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homas\OneDrive\University of Edinburgh\7Be CIRCE\SRIM Be7\"/>
    </mc:Choice>
  </mc:AlternateContent>
  <bookViews>
    <workbookView xWindow="0" yWindow="0" windowWidth="20490" windowHeight="7530" tabRatio="817" firstSheet="1" activeTab="2"/>
  </bookViews>
  <sheets>
    <sheet name="Instructions" sheetId="6" r:id="rId1"/>
    <sheet name="Reaction" sheetId="1" r:id="rId2"/>
    <sheet name="Kinematic Curves" sheetId="5" r:id="rId3"/>
    <sheet name="S1103" sheetId="13" r:id="rId4"/>
    <sheet name="Target" sheetId="11" r:id="rId5"/>
    <sheet name="Yield" sheetId="3" r:id="rId6"/>
    <sheet name="Rutherford Scattering" sheetId="9" r:id="rId7"/>
    <sheet name="E loss" sheetId="7" r:id="rId8"/>
    <sheet name="SRIM Data" sheetId="8" r:id="rId9"/>
    <sheet name="Detectors" sheetId="12" r:id="rId10"/>
    <sheet name="Gamow Peak" sheetId="2" r:id="rId11"/>
    <sheet name="Kin Curves with Eloss" sheetId="10" r:id="rId12"/>
    <sheet name="Masses" sheetId="4" r:id="rId13"/>
  </sheets>
  <definedNames>
    <definedName name="_xlnm._FilterDatabase" localSheetId="12" hidden="1">Masses!$A$9:$G$29</definedName>
    <definedName name="A_values">Masses!$C:$C</definedName>
    <definedName name="Beryllium_in__H__C" localSheetId="8">'SRIM Data'!$DW$7:$EF$153</definedName>
    <definedName name="Delta_values">Masses!$G:$G</definedName>
    <definedName name="Symbol_values">Masses!$D:$D</definedName>
    <definedName name="Z_values">Masses!$B:$B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3" i="9" l="1"/>
  <c r="BL5" i="9"/>
  <c r="S2" i="4"/>
  <c r="R2" i="4"/>
  <c r="Q2" i="4"/>
  <c r="F13" i="11"/>
  <c r="D17" i="11"/>
  <c r="K17" i="9"/>
  <c r="Y3" i="4"/>
  <c r="W3" i="4"/>
  <c r="V3" i="4"/>
  <c r="F5" i="9"/>
  <c r="Y2" i="4"/>
  <c r="W2" i="4"/>
  <c r="V2" i="4"/>
  <c r="F4" i="9"/>
  <c r="K19" i="9"/>
  <c r="K20" i="9"/>
  <c r="N19" i="9"/>
  <c r="BM6" i="9"/>
  <c r="BN6" i="9"/>
  <c r="BO6" i="9"/>
  <c r="BP6" i="9"/>
  <c r="BM7" i="9"/>
  <c r="N3" i="4"/>
  <c r="L3" i="4"/>
  <c r="K3" i="4"/>
  <c r="G32" i="1"/>
  <c r="N2" i="4"/>
  <c r="L2" i="4"/>
  <c r="K2" i="4"/>
  <c r="G31" i="1"/>
  <c r="C25" i="1"/>
  <c r="AW25" i="9"/>
  <c r="AV26" i="9"/>
  <c r="S3" i="4"/>
  <c r="R3" i="4"/>
  <c r="Q3" i="4"/>
  <c r="F14" i="11"/>
  <c r="G5" i="9"/>
  <c r="G4" i="9"/>
  <c r="AQ23" i="9"/>
  <c r="AO25" i="9"/>
  <c r="E5" i="9"/>
  <c r="E4" i="9"/>
  <c r="AP25" i="9"/>
  <c r="AQ25" i="9"/>
  <c r="AX25" i="9"/>
  <c r="AZ25" i="9"/>
  <c r="AY25" i="9"/>
  <c r="AR25" i="9"/>
  <c r="AU25" i="9"/>
  <c r="AS25" i="9"/>
  <c r="AT25" i="9"/>
  <c r="AN25" i="9"/>
  <c r="AM25" i="9"/>
  <c r="AL25" i="9"/>
  <c r="AK25" i="9"/>
  <c r="S23" i="9"/>
  <c r="Q25" i="9"/>
  <c r="U25" i="9"/>
  <c r="R25" i="9"/>
  <c r="S22" i="9"/>
  <c r="C50" i="9"/>
  <c r="P9" i="5"/>
  <c r="E3" i="5"/>
  <c r="E31" i="1"/>
  <c r="E32" i="1"/>
  <c r="E34" i="1"/>
  <c r="E36" i="1"/>
  <c r="D36" i="1"/>
  <c r="C36" i="1"/>
  <c r="P10" i="5"/>
  <c r="H3" i="5"/>
  <c r="O15" i="5"/>
  <c r="O14" i="5"/>
  <c r="O13" i="5"/>
  <c r="O10" i="5"/>
  <c r="O9" i="5"/>
  <c r="P8" i="5"/>
  <c r="O8" i="5"/>
  <c r="R7" i="5"/>
  <c r="O7" i="5"/>
  <c r="P7" i="5"/>
  <c r="O12" i="5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46" i="12"/>
  <c r="AQ47" i="12"/>
  <c r="AQ48" i="12"/>
  <c r="AQ49" i="12"/>
  <c r="AQ50" i="12"/>
  <c r="AQ51" i="12"/>
  <c r="AQ52" i="12"/>
  <c r="AQ53" i="12"/>
  <c r="AQ54" i="12"/>
  <c r="AQ55" i="12"/>
  <c r="AQ56" i="12"/>
  <c r="AQ57" i="12"/>
  <c r="AQ58" i="12"/>
  <c r="AQ59" i="12"/>
  <c r="AQ60" i="12"/>
  <c r="AQ61" i="12"/>
  <c r="AQ62" i="12"/>
  <c r="AQ63" i="12"/>
  <c r="AQ64" i="12"/>
  <c r="AQ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2" i="12"/>
  <c r="AP33" i="12"/>
  <c r="AP34" i="12"/>
  <c r="AP35" i="12"/>
  <c r="AP36" i="12"/>
  <c r="AP37" i="12"/>
  <c r="AP38" i="12"/>
  <c r="AP39" i="12"/>
  <c r="AP40" i="12"/>
  <c r="AP41" i="12"/>
  <c r="AP42" i="12"/>
  <c r="AP43" i="12"/>
  <c r="AP44" i="12"/>
  <c r="AP45" i="12"/>
  <c r="AP46" i="12"/>
  <c r="AP47" i="12"/>
  <c r="AP48" i="12"/>
  <c r="AP49" i="12"/>
  <c r="AP50" i="12"/>
  <c r="AP51" i="12"/>
  <c r="AP52" i="12"/>
  <c r="AP53" i="12"/>
  <c r="AP54" i="12"/>
  <c r="AP55" i="12"/>
  <c r="AP56" i="12"/>
  <c r="AP57" i="12"/>
  <c r="AP58" i="12"/>
  <c r="AP59" i="12"/>
  <c r="AP60" i="12"/>
  <c r="AP61" i="12"/>
  <c r="AP62" i="12"/>
  <c r="AP63" i="12"/>
  <c r="AP64" i="12"/>
  <c r="AP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O38" i="12"/>
  <c r="AO39" i="12"/>
  <c r="AO40" i="12"/>
  <c r="AO41" i="12"/>
  <c r="AO42" i="12"/>
  <c r="AO43" i="12"/>
  <c r="AO44" i="12"/>
  <c r="AO45" i="12"/>
  <c r="AO46" i="12"/>
  <c r="AO47" i="12"/>
  <c r="AO48" i="12"/>
  <c r="AO49" i="12"/>
  <c r="AO50" i="12"/>
  <c r="AO51" i="12"/>
  <c r="AO52" i="12"/>
  <c r="AO53" i="12"/>
  <c r="AO54" i="12"/>
  <c r="AO55" i="12"/>
  <c r="AO56" i="12"/>
  <c r="AO57" i="12"/>
  <c r="AO58" i="12"/>
  <c r="AO59" i="12"/>
  <c r="AO60" i="12"/>
  <c r="AO61" i="12"/>
  <c r="AO62" i="12"/>
  <c r="AO63" i="12"/>
  <c r="AO64" i="12"/>
  <c r="AO17" i="12"/>
  <c r="AN18" i="12"/>
  <c r="AN19" i="12"/>
  <c r="AN20" i="12"/>
  <c r="AN21" i="12"/>
  <c r="AN22" i="12"/>
  <c r="AN23" i="12"/>
  <c r="AN24" i="12"/>
  <c r="AN25" i="12"/>
  <c r="AN26" i="12"/>
  <c r="AN27" i="12"/>
  <c r="AN28" i="12"/>
  <c r="AN29" i="12"/>
  <c r="AN30" i="12"/>
  <c r="AN31" i="12"/>
  <c r="AN32" i="12"/>
  <c r="AN33" i="12"/>
  <c r="AN34" i="12"/>
  <c r="AN35" i="12"/>
  <c r="AN36" i="12"/>
  <c r="AN37" i="12"/>
  <c r="AN38" i="12"/>
  <c r="AN39" i="12"/>
  <c r="AN40" i="12"/>
  <c r="AN41" i="12"/>
  <c r="AN42" i="12"/>
  <c r="AN43" i="12"/>
  <c r="AN44" i="12"/>
  <c r="AN45" i="12"/>
  <c r="AN46" i="12"/>
  <c r="AN47" i="12"/>
  <c r="AN48" i="12"/>
  <c r="AN49" i="12"/>
  <c r="AN50" i="12"/>
  <c r="AN51" i="12"/>
  <c r="AN52" i="12"/>
  <c r="AN53" i="12"/>
  <c r="AN54" i="12"/>
  <c r="AN55" i="12"/>
  <c r="AN56" i="12"/>
  <c r="AN57" i="12"/>
  <c r="AN58" i="12"/>
  <c r="AN59" i="12"/>
  <c r="AN60" i="12"/>
  <c r="AN61" i="12"/>
  <c r="AN62" i="12"/>
  <c r="AN63" i="12"/>
  <c r="AN64" i="12"/>
  <c r="AN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M48" i="12"/>
  <c r="AM49" i="12"/>
  <c r="AM50" i="12"/>
  <c r="AM51" i="12"/>
  <c r="AM52" i="12"/>
  <c r="AM53" i="12"/>
  <c r="AM54" i="12"/>
  <c r="AM55" i="12"/>
  <c r="AM56" i="12"/>
  <c r="AM57" i="12"/>
  <c r="AM58" i="12"/>
  <c r="AM59" i="12"/>
  <c r="AM60" i="12"/>
  <c r="AM61" i="12"/>
  <c r="AM62" i="12"/>
  <c r="AM63" i="12"/>
  <c r="AM64" i="12"/>
  <c r="AM17" i="12"/>
  <c r="BJ96" i="9"/>
  <c r="BJ97" i="9"/>
  <c r="BJ98" i="9"/>
  <c r="BJ99" i="9"/>
  <c r="BJ100" i="9"/>
  <c r="BJ101" i="9"/>
  <c r="BJ102" i="9"/>
  <c r="BJ103" i="9"/>
  <c r="BJ104" i="9"/>
  <c r="BJ105" i="9"/>
  <c r="BJ106" i="9"/>
  <c r="BJ107" i="9"/>
  <c r="BJ108" i="9"/>
  <c r="BJ109" i="9"/>
  <c r="BJ110" i="9"/>
  <c r="BJ111" i="9"/>
  <c r="BJ112" i="9"/>
  <c r="BJ113" i="9"/>
  <c r="BJ114" i="9"/>
  <c r="BJ115" i="9"/>
  <c r="BJ116" i="9"/>
  <c r="BJ117" i="9"/>
  <c r="BJ118" i="9"/>
  <c r="BJ119" i="9"/>
  <c r="BJ120" i="9"/>
  <c r="BJ121" i="9"/>
  <c r="BJ122" i="9"/>
  <c r="BJ123" i="9"/>
  <c r="BJ124" i="9"/>
  <c r="BJ125" i="9"/>
  <c r="BJ126" i="9"/>
  <c r="BJ127" i="9"/>
  <c r="BJ128" i="9"/>
  <c r="BJ129" i="9"/>
  <c r="BJ130" i="9"/>
  <c r="BJ131" i="9"/>
  <c r="BJ132" i="9"/>
  <c r="BJ133" i="9"/>
  <c r="BJ134" i="9"/>
  <c r="BJ135" i="9"/>
  <c r="BJ136" i="9"/>
  <c r="BJ137" i="9"/>
  <c r="BJ138" i="9"/>
  <c r="BJ139" i="9"/>
  <c r="BJ140" i="9"/>
  <c r="BJ141" i="9"/>
  <c r="BJ142" i="9"/>
  <c r="BJ143" i="9"/>
  <c r="BJ144" i="9"/>
  <c r="BJ145" i="9"/>
  <c r="BJ146" i="9"/>
  <c r="BJ147" i="9"/>
  <c r="BJ148" i="9"/>
  <c r="BJ149" i="9"/>
  <c r="BJ150" i="9"/>
  <c r="BJ151" i="9"/>
  <c r="BJ152" i="9"/>
  <c r="BJ153" i="9"/>
  <c r="BJ154" i="9"/>
  <c r="BJ155" i="9"/>
  <c r="BJ156" i="9"/>
  <c r="BJ157" i="9"/>
  <c r="BJ158" i="9"/>
  <c r="BJ159" i="9"/>
  <c r="BJ160" i="9"/>
  <c r="BJ161" i="9"/>
  <c r="BJ162" i="9"/>
  <c r="BJ163" i="9"/>
  <c r="BJ164" i="9"/>
  <c r="BJ165" i="9"/>
  <c r="BJ166" i="9"/>
  <c r="BJ167" i="9"/>
  <c r="BJ168" i="9"/>
  <c r="BJ169" i="9"/>
  <c r="BJ170" i="9"/>
  <c r="BJ171" i="9"/>
  <c r="BJ172" i="9"/>
  <c r="BJ173" i="9"/>
  <c r="BJ174" i="9"/>
  <c r="BJ175" i="9"/>
  <c r="BJ176" i="9"/>
  <c r="BJ177" i="9"/>
  <c r="BJ178" i="9"/>
  <c r="BJ179" i="9"/>
  <c r="BJ180" i="9"/>
  <c r="BJ181" i="9"/>
  <c r="BJ182" i="9"/>
  <c r="BJ183" i="9"/>
  <c r="BJ184" i="9"/>
  <c r="BJ185" i="9"/>
  <c r="BJ186" i="9"/>
  <c r="BI97" i="9"/>
  <c r="BI98" i="9"/>
  <c r="BI99" i="9"/>
  <c r="BI100" i="9"/>
  <c r="BI101" i="9"/>
  <c r="BI102" i="9"/>
  <c r="BI103" i="9"/>
  <c r="BI104" i="9"/>
  <c r="BI105" i="9"/>
  <c r="BI106" i="9"/>
  <c r="BI107" i="9"/>
  <c r="BI108" i="9"/>
  <c r="BI109" i="9"/>
  <c r="BI110" i="9"/>
  <c r="BI111" i="9"/>
  <c r="BI112" i="9"/>
  <c r="BI113" i="9"/>
  <c r="BI114" i="9"/>
  <c r="BI115" i="9"/>
  <c r="BI116" i="9"/>
  <c r="BI117" i="9"/>
  <c r="BI118" i="9"/>
  <c r="BI119" i="9"/>
  <c r="BI120" i="9"/>
  <c r="BI121" i="9"/>
  <c r="BI122" i="9"/>
  <c r="BI123" i="9"/>
  <c r="BI124" i="9"/>
  <c r="BI125" i="9"/>
  <c r="BI126" i="9"/>
  <c r="BI127" i="9"/>
  <c r="BI128" i="9"/>
  <c r="BI129" i="9"/>
  <c r="BI130" i="9"/>
  <c r="BI131" i="9"/>
  <c r="BI132" i="9"/>
  <c r="BI133" i="9"/>
  <c r="BI134" i="9"/>
  <c r="BI135" i="9"/>
  <c r="BI136" i="9"/>
  <c r="BI137" i="9"/>
  <c r="BI138" i="9"/>
  <c r="BI139" i="9"/>
  <c r="BI140" i="9"/>
  <c r="BI141" i="9"/>
  <c r="BI142" i="9"/>
  <c r="BI143" i="9"/>
  <c r="BI144" i="9"/>
  <c r="BI145" i="9"/>
  <c r="BI146" i="9"/>
  <c r="BI147" i="9"/>
  <c r="BI148" i="9"/>
  <c r="BI149" i="9"/>
  <c r="BI150" i="9"/>
  <c r="BI151" i="9"/>
  <c r="BI152" i="9"/>
  <c r="BI153" i="9"/>
  <c r="BI154" i="9"/>
  <c r="BI155" i="9"/>
  <c r="BI156" i="9"/>
  <c r="BI157" i="9"/>
  <c r="BI158" i="9"/>
  <c r="BI159" i="9"/>
  <c r="BI160" i="9"/>
  <c r="BI161" i="9"/>
  <c r="BI162" i="9"/>
  <c r="BI163" i="9"/>
  <c r="BI164" i="9"/>
  <c r="BI165" i="9"/>
  <c r="BI166" i="9"/>
  <c r="BI167" i="9"/>
  <c r="BI168" i="9"/>
  <c r="BI169" i="9"/>
  <c r="BI170" i="9"/>
  <c r="BI171" i="9"/>
  <c r="BI172" i="9"/>
  <c r="BI173" i="9"/>
  <c r="BI174" i="9"/>
  <c r="BI175" i="9"/>
  <c r="BI176" i="9"/>
  <c r="BI177" i="9"/>
  <c r="BI178" i="9"/>
  <c r="BI179" i="9"/>
  <c r="BI180" i="9"/>
  <c r="BI181" i="9"/>
  <c r="BI182" i="9"/>
  <c r="BI183" i="9"/>
  <c r="BI184" i="9"/>
  <c r="BI185" i="9"/>
  <c r="BI186" i="9"/>
  <c r="BI96" i="9"/>
  <c r="BH96" i="9"/>
  <c r="BH97" i="9"/>
  <c r="BH98" i="9"/>
  <c r="BH99" i="9"/>
  <c r="BH100" i="9"/>
  <c r="BH101" i="9"/>
  <c r="BH102" i="9"/>
  <c r="BH103" i="9"/>
  <c r="BH104" i="9"/>
  <c r="BH105" i="9"/>
  <c r="BH106" i="9"/>
  <c r="BH107" i="9"/>
  <c r="BH108" i="9"/>
  <c r="BH109" i="9"/>
  <c r="BH110" i="9"/>
  <c r="BH111" i="9"/>
  <c r="BH112" i="9"/>
  <c r="BH113" i="9"/>
  <c r="BH114" i="9"/>
  <c r="BH115" i="9"/>
  <c r="BH116" i="9"/>
  <c r="BH117" i="9"/>
  <c r="BH118" i="9"/>
  <c r="BH119" i="9"/>
  <c r="BH120" i="9"/>
  <c r="BH121" i="9"/>
  <c r="BH122" i="9"/>
  <c r="BH123" i="9"/>
  <c r="BH124" i="9"/>
  <c r="BH125" i="9"/>
  <c r="BH126" i="9"/>
  <c r="BH127" i="9"/>
  <c r="BH128" i="9"/>
  <c r="BH129" i="9"/>
  <c r="BH130" i="9"/>
  <c r="BH131" i="9"/>
  <c r="BH132" i="9"/>
  <c r="BH133" i="9"/>
  <c r="BH134" i="9"/>
  <c r="BH135" i="9"/>
  <c r="BH136" i="9"/>
  <c r="BH137" i="9"/>
  <c r="BH138" i="9"/>
  <c r="BH139" i="9"/>
  <c r="BH140" i="9"/>
  <c r="BH141" i="9"/>
  <c r="BH142" i="9"/>
  <c r="BH143" i="9"/>
  <c r="BH144" i="9"/>
  <c r="BH145" i="9"/>
  <c r="BH146" i="9"/>
  <c r="BH147" i="9"/>
  <c r="BH148" i="9"/>
  <c r="BH149" i="9"/>
  <c r="BH150" i="9"/>
  <c r="BH151" i="9"/>
  <c r="BH152" i="9"/>
  <c r="BH153" i="9"/>
  <c r="BH154" i="9"/>
  <c r="BH155" i="9"/>
  <c r="BH156" i="9"/>
  <c r="BH157" i="9"/>
  <c r="BH158" i="9"/>
  <c r="BH159" i="9"/>
  <c r="BH160" i="9"/>
  <c r="BH161" i="9"/>
  <c r="BH162" i="9"/>
  <c r="BH163" i="9"/>
  <c r="BH164" i="9"/>
  <c r="BH165" i="9"/>
  <c r="BH166" i="9"/>
  <c r="BH167" i="9"/>
  <c r="BH168" i="9"/>
  <c r="BH169" i="9"/>
  <c r="BH170" i="9"/>
  <c r="BH171" i="9"/>
  <c r="BH172" i="9"/>
  <c r="BH173" i="9"/>
  <c r="BH174" i="9"/>
  <c r="BH175" i="9"/>
  <c r="BH176" i="9"/>
  <c r="BH177" i="9"/>
  <c r="BH178" i="9"/>
  <c r="BH179" i="9"/>
  <c r="BH180" i="9"/>
  <c r="BH181" i="9"/>
  <c r="BH182" i="9"/>
  <c r="BH183" i="9"/>
  <c r="BH184" i="9"/>
  <c r="BH185" i="9"/>
  <c r="BH186" i="9"/>
  <c r="D10" i="11"/>
  <c r="BI5" i="9"/>
  <c r="BJ5" i="9"/>
  <c r="BH6" i="9"/>
  <c r="BI6" i="9"/>
  <c r="BJ6" i="9"/>
  <c r="BH7" i="9"/>
  <c r="BI7" i="9"/>
  <c r="BJ7" i="9"/>
  <c r="BH8" i="9"/>
  <c r="B148" i="7"/>
  <c r="B149" i="7"/>
  <c r="C151" i="7"/>
  <c r="B151" i="7"/>
  <c r="B150" i="7"/>
  <c r="B152" i="7"/>
  <c r="C150" i="7"/>
  <c r="C152" i="7"/>
  <c r="C147" i="7"/>
  <c r="C153" i="7"/>
  <c r="C154" i="7"/>
  <c r="AF32" i="10"/>
  <c r="AF33" i="10"/>
  <c r="AG35" i="10"/>
  <c r="AF35" i="10"/>
  <c r="AF34" i="10"/>
  <c r="AF36" i="10"/>
  <c r="AG34" i="10"/>
  <c r="AG36" i="10"/>
  <c r="AG37" i="10"/>
  <c r="AG38" i="10"/>
  <c r="AG39" i="10"/>
  <c r="AG41" i="10"/>
  <c r="AF41" i="10"/>
  <c r="AG40" i="10"/>
  <c r="AF40" i="10"/>
  <c r="C131" i="7"/>
  <c r="C137" i="7"/>
  <c r="C138" i="7"/>
  <c r="C135" i="7"/>
  <c r="C134" i="7"/>
  <c r="B135" i="7"/>
  <c r="B134" i="7"/>
  <c r="B132" i="7"/>
  <c r="A145" i="7"/>
  <c r="B133" i="7"/>
  <c r="B136" i="7"/>
  <c r="C136" i="7"/>
  <c r="EI140" i="8"/>
  <c r="EH140" i="8"/>
  <c r="EI139" i="8"/>
  <c r="EH139" i="8"/>
  <c r="EI138" i="8"/>
  <c r="EH138" i="8"/>
  <c r="EI137" i="8"/>
  <c r="EH137" i="8"/>
  <c r="EI136" i="8"/>
  <c r="EH136" i="8"/>
  <c r="EI135" i="8"/>
  <c r="EH135" i="8"/>
  <c r="EI134" i="8"/>
  <c r="EH134" i="8"/>
  <c r="EI133" i="8"/>
  <c r="EH133" i="8"/>
  <c r="EI132" i="8"/>
  <c r="EH132" i="8"/>
  <c r="EI131" i="8"/>
  <c r="EH131" i="8"/>
  <c r="EI130" i="8"/>
  <c r="EH130" i="8"/>
  <c r="EI129" i="8"/>
  <c r="EH129" i="8"/>
  <c r="EI128" i="8"/>
  <c r="EH128" i="8"/>
  <c r="EI127" i="8"/>
  <c r="EH127" i="8"/>
  <c r="EI126" i="8"/>
  <c r="EH126" i="8"/>
  <c r="EI125" i="8"/>
  <c r="EH125" i="8"/>
  <c r="EI124" i="8"/>
  <c r="EH124" i="8"/>
  <c r="EI123" i="8"/>
  <c r="EH123" i="8"/>
  <c r="EI122" i="8"/>
  <c r="EH122" i="8"/>
  <c r="EI121" i="8"/>
  <c r="EH121" i="8"/>
  <c r="EI120" i="8"/>
  <c r="EH120" i="8"/>
  <c r="EI119" i="8"/>
  <c r="EH119" i="8"/>
  <c r="EI118" i="8"/>
  <c r="EH118" i="8"/>
  <c r="EI117" i="8"/>
  <c r="EH117" i="8"/>
  <c r="EI116" i="8"/>
  <c r="EH116" i="8"/>
  <c r="EI115" i="8"/>
  <c r="EH115" i="8"/>
  <c r="EI114" i="8"/>
  <c r="EH114" i="8"/>
  <c r="EI113" i="8"/>
  <c r="EH113" i="8"/>
  <c r="EI112" i="8"/>
  <c r="EH112" i="8"/>
  <c r="EI111" i="8"/>
  <c r="EH111" i="8"/>
  <c r="EI110" i="8"/>
  <c r="EH110" i="8"/>
  <c r="EI109" i="8"/>
  <c r="EH109" i="8"/>
  <c r="EI108" i="8"/>
  <c r="EH108" i="8"/>
  <c r="EI107" i="8"/>
  <c r="EH107" i="8"/>
  <c r="EI106" i="8"/>
  <c r="EH106" i="8"/>
  <c r="EI105" i="8"/>
  <c r="EH105" i="8"/>
  <c r="EI104" i="8"/>
  <c r="EH104" i="8"/>
  <c r="EI103" i="8"/>
  <c r="EH103" i="8"/>
  <c r="EI102" i="8"/>
  <c r="EH102" i="8"/>
  <c r="EI101" i="8"/>
  <c r="EH101" i="8"/>
  <c r="EI100" i="8"/>
  <c r="EH100" i="8"/>
  <c r="EI99" i="8"/>
  <c r="EH99" i="8"/>
  <c r="EI98" i="8"/>
  <c r="EH98" i="8"/>
  <c r="EI97" i="8"/>
  <c r="EH97" i="8"/>
  <c r="EI96" i="8"/>
  <c r="EH96" i="8"/>
  <c r="EI95" i="8"/>
  <c r="EH95" i="8"/>
  <c r="EI94" i="8"/>
  <c r="EH94" i="8"/>
  <c r="EI93" i="8"/>
  <c r="EH93" i="8"/>
  <c r="EI92" i="8"/>
  <c r="EH92" i="8"/>
  <c r="EI91" i="8"/>
  <c r="EH91" i="8"/>
  <c r="EI90" i="8"/>
  <c r="EH90" i="8"/>
  <c r="EI89" i="8"/>
  <c r="EH89" i="8"/>
  <c r="EI88" i="8"/>
  <c r="EH88" i="8"/>
  <c r="EI87" i="8"/>
  <c r="EH87" i="8"/>
  <c r="EI86" i="8"/>
  <c r="EH86" i="8"/>
  <c r="EI85" i="8"/>
  <c r="EH85" i="8"/>
  <c r="EI84" i="8"/>
  <c r="EH84" i="8"/>
  <c r="EI83" i="8"/>
  <c r="EH83" i="8"/>
  <c r="EI82" i="8"/>
  <c r="EH82" i="8"/>
  <c r="EI81" i="8"/>
  <c r="EH81" i="8"/>
  <c r="EI80" i="8"/>
  <c r="EH80" i="8"/>
  <c r="EI79" i="8"/>
  <c r="EH79" i="8"/>
  <c r="EI78" i="8"/>
  <c r="EH78" i="8"/>
  <c r="EI77" i="8"/>
  <c r="EH77" i="8"/>
  <c r="EI76" i="8"/>
  <c r="EH76" i="8"/>
  <c r="EI75" i="8"/>
  <c r="EH75" i="8"/>
  <c r="EI74" i="8"/>
  <c r="EH74" i="8"/>
  <c r="EI73" i="8"/>
  <c r="EH73" i="8"/>
  <c r="EI72" i="8"/>
  <c r="EH72" i="8"/>
  <c r="EI71" i="8"/>
  <c r="EH71" i="8"/>
  <c r="EI70" i="8"/>
  <c r="EH70" i="8"/>
  <c r="EI69" i="8"/>
  <c r="EH69" i="8"/>
  <c r="EI68" i="8"/>
  <c r="EH68" i="8"/>
  <c r="EI67" i="8"/>
  <c r="EH67" i="8"/>
  <c r="EI66" i="8"/>
  <c r="EH66" i="8"/>
  <c r="EI65" i="8"/>
  <c r="EH65" i="8"/>
  <c r="EI64" i="8"/>
  <c r="EH64" i="8"/>
  <c r="EI63" i="8"/>
  <c r="EH63" i="8"/>
  <c r="EI62" i="8"/>
  <c r="EH62" i="8"/>
  <c r="EI61" i="8"/>
  <c r="EH61" i="8"/>
  <c r="EI60" i="8"/>
  <c r="EH60" i="8"/>
  <c r="EI59" i="8"/>
  <c r="EH59" i="8"/>
  <c r="EI58" i="8"/>
  <c r="EH58" i="8"/>
  <c r="EI57" i="8"/>
  <c r="EH57" i="8"/>
  <c r="EI56" i="8"/>
  <c r="EH56" i="8"/>
  <c r="EI55" i="8"/>
  <c r="EH55" i="8"/>
  <c r="EI54" i="8"/>
  <c r="EH54" i="8"/>
  <c r="EI53" i="8"/>
  <c r="EH53" i="8"/>
  <c r="EI52" i="8"/>
  <c r="EH52" i="8"/>
  <c r="EI51" i="8"/>
  <c r="EH51" i="8"/>
  <c r="EI50" i="8"/>
  <c r="EH50" i="8"/>
  <c r="EI49" i="8"/>
  <c r="EH49" i="8"/>
  <c r="EI48" i="8"/>
  <c r="EH48" i="8"/>
  <c r="EI47" i="8"/>
  <c r="EH47" i="8"/>
  <c r="EI46" i="8"/>
  <c r="EH46" i="8"/>
  <c r="EI45" i="8"/>
  <c r="EH45" i="8"/>
  <c r="EI44" i="8"/>
  <c r="EH44" i="8"/>
  <c r="EI43" i="8"/>
  <c r="EH43" i="8"/>
  <c r="EI42" i="8"/>
  <c r="EH42" i="8"/>
  <c r="EI41" i="8"/>
  <c r="EH41" i="8"/>
  <c r="EI40" i="8"/>
  <c r="EH40" i="8"/>
  <c r="EI39" i="8"/>
  <c r="EH39" i="8"/>
  <c r="EI38" i="8"/>
  <c r="EH38" i="8"/>
  <c r="EI37" i="8"/>
  <c r="EH37" i="8"/>
  <c r="EI36" i="8"/>
  <c r="EH36" i="8"/>
  <c r="EI35" i="8"/>
  <c r="EH35" i="8"/>
  <c r="EI34" i="8"/>
  <c r="EH34" i="8"/>
  <c r="EI33" i="8"/>
  <c r="EH33" i="8"/>
  <c r="EI32" i="8"/>
  <c r="EH32" i="8"/>
  <c r="EI31" i="8"/>
  <c r="EH31" i="8"/>
  <c r="EI30" i="8"/>
  <c r="EH30" i="8"/>
  <c r="EI29" i="8"/>
  <c r="EH29" i="8"/>
  <c r="EI28" i="8"/>
  <c r="EH28" i="8"/>
  <c r="EI27" i="8"/>
  <c r="EH27" i="8"/>
  <c r="EI26" i="8"/>
  <c r="EH26" i="8"/>
  <c r="EI25" i="8"/>
  <c r="EH25" i="8"/>
  <c r="EI24" i="8"/>
  <c r="EH24" i="8"/>
  <c r="EI23" i="8"/>
  <c r="EH23" i="8"/>
  <c r="EI22" i="8"/>
  <c r="EH22" i="8"/>
  <c r="EI21" i="8"/>
  <c r="EH21" i="8"/>
  <c r="EI20" i="8"/>
  <c r="EH20" i="8"/>
  <c r="EI19" i="8"/>
  <c r="EH19" i="8"/>
  <c r="EI18" i="8"/>
  <c r="EH18" i="8"/>
  <c r="EI17" i="8"/>
  <c r="EH17" i="8"/>
  <c r="EI16" i="8"/>
  <c r="EH16" i="8"/>
  <c r="EI15" i="8"/>
  <c r="EH15" i="8"/>
  <c r="EI14" i="8"/>
  <c r="EH14" i="8"/>
  <c r="EI13" i="8"/>
  <c r="EH13" i="8"/>
  <c r="EI12" i="8"/>
  <c r="EH12" i="8"/>
  <c r="EI11" i="8"/>
  <c r="EH11" i="8"/>
  <c r="EI10" i="8"/>
  <c r="EH10" i="8"/>
  <c r="EI9" i="8"/>
  <c r="EH9" i="8"/>
  <c r="G30" i="4"/>
  <c r="G10" i="4"/>
  <c r="L5" i="4"/>
  <c r="C6" i="9"/>
  <c r="D6" i="9"/>
  <c r="F2" i="4"/>
  <c r="F3" i="4"/>
  <c r="F7" i="1"/>
  <c r="B9" i="2"/>
  <c r="F8" i="1"/>
  <c r="F10" i="1"/>
  <c r="B8" i="2"/>
  <c r="C8" i="2"/>
  <c r="B4" i="2"/>
  <c r="G94" i="4"/>
  <c r="G123" i="4"/>
  <c r="G56" i="4"/>
  <c r="D12" i="1"/>
  <c r="G16" i="4"/>
  <c r="G24" i="4"/>
  <c r="G67" i="4"/>
  <c r="G11" i="4"/>
  <c r="G9" i="4"/>
  <c r="G74" i="4"/>
  <c r="G116" i="4"/>
  <c r="G158" i="4"/>
  <c r="G150" i="4"/>
  <c r="G132" i="4"/>
  <c r="F4" i="4"/>
  <c r="N11" i="1"/>
  <c r="P11" i="1"/>
  <c r="Q17" i="1"/>
  <c r="G61" i="4"/>
  <c r="G68" i="4"/>
  <c r="G87" i="4"/>
  <c r="G80" i="4"/>
  <c r="N32" i="1"/>
  <c r="P32" i="1"/>
  <c r="L4" i="4"/>
  <c r="Q37" i="1"/>
  <c r="A6" i="13"/>
  <c r="I6" i="13"/>
  <c r="C8" i="13"/>
  <c r="C14" i="13"/>
  <c r="C15" i="13"/>
  <c r="L74" i="8"/>
  <c r="L107" i="8"/>
  <c r="L124" i="8"/>
  <c r="L115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8" i="8"/>
  <c r="L109" i="8"/>
  <c r="L110" i="8"/>
  <c r="L111" i="8"/>
  <c r="L112" i="8"/>
  <c r="L113" i="8"/>
  <c r="L114" i="8"/>
  <c r="L116" i="8"/>
  <c r="L117" i="8"/>
  <c r="L118" i="8"/>
  <c r="L119" i="8"/>
  <c r="L120" i="8"/>
  <c r="L121" i="8"/>
  <c r="L122" i="8"/>
  <c r="L123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B9" i="13"/>
  <c r="B10" i="13"/>
  <c r="M112" i="8"/>
  <c r="C12" i="13"/>
  <c r="B12" i="13"/>
  <c r="B11" i="13"/>
  <c r="B13" i="13"/>
  <c r="M111" i="8"/>
  <c r="C11" i="13"/>
  <c r="C13" i="13"/>
  <c r="M74" i="8"/>
  <c r="M107" i="8"/>
  <c r="M124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8" i="8"/>
  <c r="M109" i="8"/>
  <c r="M110" i="8"/>
  <c r="M113" i="8"/>
  <c r="M114" i="8"/>
  <c r="M115" i="8"/>
  <c r="M116" i="8"/>
  <c r="M117" i="8"/>
  <c r="M118" i="8"/>
  <c r="M119" i="8"/>
  <c r="M120" i="8"/>
  <c r="M121" i="8"/>
  <c r="M122" i="8"/>
  <c r="M123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L210" i="8"/>
  <c r="L243" i="8"/>
  <c r="L260" i="8"/>
  <c r="L251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4" i="8"/>
  <c r="L245" i="8"/>
  <c r="L246" i="8"/>
  <c r="L247" i="8"/>
  <c r="L248" i="8"/>
  <c r="L249" i="8"/>
  <c r="L250" i="8"/>
  <c r="L252" i="8"/>
  <c r="L253" i="8"/>
  <c r="L254" i="8"/>
  <c r="L255" i="8"/>
  <c r="L256" i="8"/>
  <c r="L257" i="8"/>
  <c r="L258" i="8"/>
  <c r="L259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J9" i="13"/>
  <c r="J10" i="13"/>
  <c r="M249" i="8"/>
  <c r="K12" i="13"/>
  <c r="J12" i="13"/>
  <c r="J11" i="13"/>
  <c r="J13" i="13"/>
  <c r="M248" i="8"/>
  <c r="K11" i="13"/>
  <c r="K13" i="13"/>
  <c r="K14" i="13"/>
  <c r="M210" i="8"/>
  <c r="M177" i="8"/>
  <c r="M160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K15" i="13"/>
  <c r="K16" i="13"/>
  <c r="J18" i="13"/>
  <c r="K18" i="13"/>
  <c r="K17" i="13"/>
  <c r="K19" i="13"/>
  <c r="J17" i="13"/>
  <c r="J19" i="13"/>
  <c r="N8" i="13"/>
  <c r="M8" i="13"/>
  <c r="A21" i="13"/>
  <c r="I21" i="13"/>
  <c r="Q21" i="13"/>
  <c r="Y21" i="13"/>
  <c r="AG21" i="13"/>
  <c r="C23" i="13"/>
  <c r="Z74" i="8"/>
  <c r="Z107" i="8"/>
  <c r="Z90" i="8"/>
  <c r="Z82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5" i="8"/>
  <c r="Z76" i="8"/>
  <c r="Z77" i="8"/>
  <c r="Z78" i="8"/>
  <c r="Z79" i="8"/>
  <c r="Z80" i="8"/>
  <c r="Z81" i="8"/>
  <c r="Z83" i="8"/>
  <c r="Z84" i="8"/>
  <c r="Z85" i="8"/>
  <c r="Z86" i="8"/>
  <c r="Z87" i="8"/>
  <c r="Z88" i="8"/>
  <c r="Z89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AA84" i="8"/>
  <c r="AA99" i="8"/>
  <c r="AA75" i="8"/>
  <c r="AA81" i="8"/>
  <c r="AA85" i="8"/>
  <c r="AA78" i="8"/>
  <c r="AA126" i="8"/>
  <c r="AA83" i="8"/>
  <c r="AA98" i="8"/>
  <c r="AA74" i="8"/>
  <c r="AA80" i="8"/>
  <c r="AA77" i="8"/>
  <c r="AA125" i="8"/>
  <c r="AA41" i="8"/>
  <c r="AA57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6" i="8"/>
  <c r="AA79" i="8"/>
  <c r="AA82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Z210" i="8"/>
  <c r="Z177" i="8"/>
  <c r="Z193" i="8"/>
  <c r="Z201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Z164" i="8"/>
  <c r="Z165" i="8"/>
  <c r="Z166" i="8"/>
  <c r="Z167" i="8"/>
  <c r="Z168" i="8"/>
  <c r="Z169" i="8"/>
  <c r="Z170" i="8"/>
  <c r="Z171" i="8"/>
  <c r="Z172" i="8"/>
  <c r="Z173" i="8"/>
  <c r="Z174" i="8"/>
  <c r="Z175" i="8"/>
  <c r="Z176" i="8"/>
  <c r="Z178" i="8"/>
  <c r="Z179" i="8"/>
  <c r="Z180" i="8"/>
  <c r="Z181" i="8"/>
  <c r="Z182" i="8"/>
  <c r="Z183" i="8"/>
  <c r="Z184" i="8"/>
  <c r="Z185" i="8"/>
  <c r="Z186" i="8"/>
  <c r="Z187" i="8"/>
  <c r="Z188" i="8"/>
  <c r="Z189" i="8"/>
  <c r="Z190" i="8"/>
  <c r="Z191" i="8"/>
  <c r="Z192" i="8"/>
  <c r="Z194" i="8"/>
  <c r="Z195" i="8"/>
  <c r="Z196" i="8"/>
  <c r="Z197" i="8"/>
  <c r="Z198" i="8"/>
  <c r="Z199" i="8"/>
  <c r="Z200" i="8"/>
  <c r="Z202" i="8"/>
  <c r="Z203" i="8"/>
  <c r="Z204" i="8"/>
  <c r="Z205" i="8"/>
  <c r="Z206" i="8"/>
  <c r="Z207" i="8"/>
  <c r="Z208" i="8"/>
  <c r="Z209" i="8"/>
  <c r="Z211" i="8"/>
  <c r="Z212" i="8"/>
  <c r="Z213" i="8"/>
  <c r="Z214" i="8"/>
  <c r="Z215" i="8"/>
  <c r="Z216" i="8"/>
  <c r="Z217" i="8"/>
  <c r="Z218" i="8"/>
  <c r="Z219" i="8"/>
  <c r="Z220" i="8"/>
  <c r="Z221" i="8"/>
  <c r="Z222" i="8"/>
  <c r="Z223" i="8"/>
  <c r="Z224" i="8"/>
  <c r="Z225" i="8"/>
  <c r="Z226" i="8"/>
  <c r="Z227" i="8"/>
  <c r="Z228" i="8"/>
  <c r="Z229" i="8"/>
  <c r="Z230" i="8"/>
  <c r="Z231" i="8"/>
  <c r="Z232" i="8"/>
  <c r="Z233" i="8"/>
  <c r="Z234" i="8"/>
  <c r="Z235" i="8"/>
  <c r="Z236" i="8"/>
  <c r="Z237" i="8"/>
  <c r="Z238" i="8"/>
  <c r="Z239" i="8"/>
  <c r="Z240" i="8"/>
  <c r="Z241" i="8"/>
  <c r="Z242" i="8"/>
  <c r="Z243" i="8"/>
  <c r="Z244" i="8"/>
  <c r="Z245" i="8"/>
  <c r="Z246" i="8"/>
  <c r="Z247" i="8"/>
  <c r="Z248" i="8"/>
  <c r="Z249" i="8"/>
  <c r="Z250" i="8"/>
  <c r="Z251" i="8"/>
  <c r="Z252" i="8"/>
  <c r="Z253" i="8"/>
  <c r="Z254" i="8"/>
  <c r="Z255" i="8"/>
  <c r="Z256" i="8"/>
  <c r="Z257" i="8"/>
  <c r="Z258" i="8"/>
  <c r="Z259" i="8"/>
  <c r="Z260" i="8"/>
  <c r="Z261" i="8"/>
  <c r="Z262" i="8"/>
  <c r="Z263" i="8"/>
  <c r="Z264" i="8"/>
  <c r="Z265" i="8"/>
  <c r="Z266" i="8"/>
  <c r="Z267" i="8"/>
  <c r="Z268" i="8"/>
  <c r="Z269" i="8"/>
  <c r="Z270" i="8"/>
  <c r="Z271" i="8"/>
  <c r="Z272" i="8"/>
  <c r="Z273" i="8"/>
  <c r="Z274" i="8"/>
  <c r="Z275" i="8"/>
  <c r="Z276" i="8"/>
  <c r="AA210" i="8"/>
  <c r="AA233" i="8"/>
  <c r="AA191" i="8"/>
  <c r="AA205" i="8"/>
  <c r="AA197" i="8"/>
  <c r="AA262" i="8"/>
  <c r="AA209" i="8"/>
  <c r="AA232" i="8"/>
  <c r="AA190" i="8"/>
  <c r="AA204" i="8"/>
  <c r="AA196" i="8"/>
  <c r="AA261" i="8"/>
  <c r="AA177" i="8"/>
  <c r="AA193" i="8"/>
  <c r="AA201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2" i="8"/>
  <c r="AA194" i="8"/>
  <c r="AA195" i="8"/>
  <c r="AA198" i="8"/>
  <c r="AA199" i="8"/>
  <c r="AA200" i="8"/>
  <c r="AA202" i="8"/>
  <c r="AA203" i="8"/>
  <c r="AA206" i="8"/>
  <c r="AA207" i="8"/>
  <c r="AA208" i="8"/>
  <c r="AA211" i="8"/>
  <c r="AA212" i="8"/>
  <c r="AA213" i="8"/>
  <c r="AA214" i="8"/>
  <c r="AA215" i="8"/>
  <c r="AA216" i="8"/>
  <c r="AA217" i="8"/>
  <c r="AA218" i="8"/>
  <c r="AA219" i="8"/>
  <c r="AA220" i="8"/>
  <c r="AA221" i="8"/>
  <c r="AA222" i="8"/>
  <c r="AA223" i="8"/>
  <c r="AA224" i="8"/>
  <c r="AA225" i="8"/>
  <c r="AA226" i="8"/>
  <c r="AA227" i="8"/>
  <c r="AA228" i="8"/>
  <c r="AA229" i="8"/>
  <c r="AA230" i="8"/>
  <c r="AA231" i="8"/>
  <c r="AA234" i="8"/>
  <c r="AA235" i="8"/>
  <c r="AA236" i="8"/>
  <c r="AA237" i="8"/>
  <c r="AA238" i="8"/>
  <c r="AA239" i="8"/>
  <c r="AA240" i="8"/>
  <c r="AA241" i="8"/>
  <c r="AA242" i="8"/>
  <c r="AA243" i="8"/>
  <c r="AA244" i="8"/>
  <c r="AA245" i="8"/>
  <c r="AA246" i="8"/>
  <c r="AA247" i="8"/>
  <c r="AA248" i="8"/>
  <c r="AA249" i="8"/>
  <c r="AA250" i="8"/>
  <c r="AA251" i="8"/>
  <c r="AA252" i="8"/>
  <c r="AA253" i="8"/>
  <c r="AA254" i="8"/>
  <c r="AA255" i="8"/>
  <c r="AA256" i="8"/>
  <c r="AA257" i="8"/>
  <c r="AA258" i="8"/>
  <c r="AA259" i="8"/>
  <c r="AA260" i="8"/>
  <c r="AA263" i="8"/>
  <c r="AA264" i="8"/>
  <c r="AA265" i="8"/>
  <c r="AA266" i="8"/>
  <c r="AA267" i="8"/>
  <c r="AA268" i="8"/>
  <c r="AA269" i="8"/>
  <c r="AA270" i="8"/>
  <c r="AA271" i="8"/>
  <c r="AA272" i="8"/>
  <c r="AA273" i="8"/>
  <c r="AA274" i="8"/>
  <c r="AA275" i="8"/>
  <c r="AA276" i="8"/>
  <c r="AN74" i="8"/>
  <c r="AN107" i="8"/>
  <c r="AN90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O83" i="8"/>
  <c r="AO91" i="8"/>
  <c r="AO61" i="8"/>
  <c r="AO24" i="8"/>
  <c r="AO73" i="8"/>
  <c r="AO82" i="8"/>
  <c r="AO90" i="8"/>
  <c r="AO60" i="8"/>
  <c r="AO23" i="8"/>
  <c r="AO72" i="8"/>
  <c r="C38" i="13"/>
  <c r="AO74" i="8"/>
  <c r="AO107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8" i="8"/>
  <c r="AO59" i="8"/>
  <c r="AO62" i="8"/>
  <c r="AO63" i="8"/>
  <c r="AO64" i="8"/>
  <c r="AO65" i="8"/>
  <c r="AO66" i="8"/>
  <c r="AO67" i="8"/>
  <c r="AO68" i="8"/>
  <c r="AO69" i="8"/>
  <c r="AO70" i="8"/>
  <c r="AO71" i="8"/>
  <c r="AO75" i="8"/>
  <c r="AO76" i="8"/>
  <c r="AO77" i="8"/>
  <c r="AO78" i="8"/>
  <c r="AO79" i="8"/>
  <c r="AO80" i="8"/>
  <c r="AO81" i="8"/>
  <c r="AO84" i="8"/>
  <c r="AO85" i="8"/>
  <c r="AO86" i="8"/>
  <c r="AO87" i="8"/>
  <c r="AO88" i="8"/>
  <c r="AO89" i="8"/>
  <c r="AO92" i="8"/>
  <c r="AO93" i="8"/>
  <c r="AO94" i="8"/>
  <c r="AO95" i="8"/>
  <c r="AO96" i="8"/>
  <c r="AO97" i="8"/>
  <c r="AO98" i="8"/>
  <c r="AO99" i="8"/>
  <c r="AO100" i="8"/>
  <c r="AO101" i="8"/>
  <c r="AO102" i="8"/>
  <c r="AO103" i="8"/>
  <c r="AO104" i="8"/>
  <c r="AO105" i="8"/>
  <c r="AO106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N210" i="8"/>
  <c r="AN243" i="8"/>
  <c r="AN226" i="8"/>
  <c r="AN145" i="8"/>
  <c r="AN146" i="8"/>
  <c r="AN147" i="8"/>
  <c r="AN148" i="8"/>
  <c r="AN149" i="8"/>
  <c r="AN150" i="8"/>
  <c r="AN151" i="8"/>
  <c r="AN152" i="8"/>
  <c r="AN153" i="8"/>
  <c r="AN154" i="8"/>
  <c r="AN155" i="8"/>
  <c r="AN156" i="8"/>
  <c r="AN157" i="8"/>
  <c r="AN158" i="8"/>
  <c r="AN159" i="8"/>
  <c r="AN160" i="8"/>
  <c r="AN161" i="8"/>
  <c r="AN162" i="8"/>
  <c r="AN163" i="8"/>
  <c r="AN164" i="8"/>
  <c r="AN165" i="8"/>
  <c r="AN166" i="8"/>
  <c r="AN167" i="8"/>
  <c r="AN168" i="8"/>
  <c r="AN169" i="8"/>
  <c r="AN170" i="8"/>
  <c r="AN171" i="8"/>
  <c r="AN172" i="8"/>
  <c r="AN173" i="8"/>
  <c r="AN174" i="8"/>
  <c r="AN175" i="8"/>
  <c r="AN176" i="8"/>
  <c r="AN177" i="8"/>
  <c r="AN178" i="8"/>
  <c r="AN179" i="8"/>
  <c r="AN180" i="8"/>
  <c r="AN181" i="8"/>
  <c r="AN182" i="8"/>
  <c r="AN183" i="8"/>
  <c r="AN184" i="8"/>
  <c r="AN185" i="8"/>
  <c r="AN186" i="8"/>
  <c r="AN187" i="8"/>
  <c r="AN188" i="8"/>
  <c r="AN189" i="8"/>
  <c r="AN190" i="8"/>
  <c r="AN191" i="8"/>
  <c r="AN192" i="8"/>
  <c r="AN193" i="8"/>
  <c r="AN194" i="8"/>
  <c r="AN195" i="8"/>
  <c r="AN196" i="8"/>
  <c r="AN197" i="8"/>
  <c r="AN198" i="8"/>
  <c r="AN199" i="8"/>
  <c r="AN200" i="8"/>
  <c r="AN201" i="8"/>
  <c r="AN202" i="8"/>
  <c r="AN203" i="8"/>
  <c r="AN204" i="8"/>
  <c r="AN205" i="8"/>
  <c r="AN206" i="8"/>
  <c r="AN207" i="8"/>
  <c r="AN208" i="8"/>
  <c r="AN209" i="8"/>
  <c r="AN211" i="8"/>
  <c r="AN212" i="8"/>
  <c r="AN213" i="8"/>
  <c r="AN214" i="8"/>
  <c r="AN215" i="8"/>
  <c r="AN216" i="8"/>
  <c r="AN217" i="8"/>
  <c r="AN218" i="8"/>
  <c r="AN219" i="8"/>
  <c r="AN220" i="8"/>
  <c r="AN221" i="8"/>
  <c r="AN222" i="8"/>
  <c r="AN223" i="8"/>
  <c r="AN224" i="8"/>
  <c r="AN225" i="8"/>
  <c r="AN227" i="8"/>
  <c r="AN228" i="8"/>
  <c r="AN229" i="8"/>
  <c r="AN230" i="8"/>
  <c r="AN231" i="8"/>
  <c r="AN232" i="8"/>
  <c r="AN233" i="8"/>
  <c r="AN234" i="8"/>
  <c r="AN235" i="8"/>
  <c r="AN236" i="8"/>
  <c r="AN237" i="8"/>
  <c r="AN238" i="8"/>
  <c r="AN239" i="8"/>
  <c r="AN240" i="8"/>
  <c r="AN241" i="8"/>
  <c r="AN242" i="8"/>
  <c r="AN244" i="8"/>
  <c r="AN245" i="8"/>
  <c r="AN246" i="8"/>
  <c r="AN247" i="8"/>
  <c r="AN248" i="8"/>
  <c r="AN249" i="8"/>
  <c r="AN250" i="8"/>
  <c r="AN251" i="8"/>
  <c r="AN252" i="8"/>
  <c r="AN253" i="8"/>
  <c r="AN254" i="8"/>
  <c r="AN255" i="8"/>
  <c r="AN256" i="8"/>
  <c r="AN257" i="8"/>
  <c r="AN258" i="8"/>
  <c r="AN259" i="8"/>
  <c r="AN260" i="8"/>
  <c r="AN261" i="8"/>
  <c r="AN262" i="8"/>
  <c r="AN263" i="8"/>
  <c r="AN264" i="8"/>
  <c r="AN265" i="8"/>
  <c r="AN266" i="8"/>
  <c r="AN267" i="8"/>
  <c r="AN268" i="8"/>
  <c r="AN269" i="8"/>
  <c r="AN270" i="8"/>
  <c r="AN271" i="8"/>
  <c r="AN272" i="8"/>
  <c r="AN273" i="8"/>
  <c r="AN274" i="8"/>
  <c r="AN275" i="8"/>
  <c r="AN276" i="8"/>
  <c r="AO219" i="8"/>
  <c r="AO227" i="8"/>
  <c r="AO183" i="8"/>
  <c r="AO206" i="8"/>
  <c r="AO218" i="8"/>
  <c r="AO226" i="8"/>
  <c r="AO182" i="8"/>
  <c r="AO205" i="8"/>
  <c r="AO210" i="8"/>
  <c r="AO243" i="8"/>
  <c r="AO145" i="8"/>
  <c r="AO146" i="8"/>
  <c r="AO147" i="8"/>
  <c r="AO148" i="8"/>
  <c r="AO149" i="8"/>
  <c r="AO150" i="8"/>
  <c r="AO151" i="8"/>
  <c r="AO152" i="8"/>
  <c r="AO153" i="8"/>
  <c r="AO154" i="8"/>
  <c r="AO155" i="8"/>
  <c r="AO156" i="8"/>
  <c r="AO157" i="8"/>
  <c r="AO158" i="8"/>
  <c r="AO159" i="8"/>
  <c r="AO160" i="8"/>
  <c r="AO161" i="8"/>
  <c r="AO162" i="8"/>
  <c r="AO163" i="8"/>
  <c r="AO164" i="8"/>
  <c r="AO165" i="8"/>
  <c r="AO166" i="8"/>
  <c r="AO167" i="8"/>
  <c r="AO168" i="8"/>
  <c r="AO169" i="8"/>
  <c r="AO170" i="8"/>
  <c r="AO171" i="8"/>
  <c r="AO172" i="8"/>
  <c r="AO173" i="8"/>
  <c r="AO174" i="8"/>
  <c r="AO175" i="8"/>
  <c r="AO176" i="8"/>
  <c r="AO177" i="8"/>
  <c r="AO178" i="8"/>
  <c r="AO179" i="8"/>
  <c r="AO180" i="8"/>
  <c r="AO181" i="8"/>
  <c r="AO184" i="8"/>
  <c r="AO185" i="8"/>
  <c r="AO186" i="8"/>
  <c r="AO187" i="8"/>
  <c r="AO188" i="8"/>
  <c r="AO189" i="8"/>
  <c r="AO190" i="8"/>
  <c r="AO191" i="8"/>
  <c r="AO192" i="8"/>
  <c r="AO193" i="8"/>
  <c r="AO194" i="8"/>
  <c r="AO195" i="8"/>
  <c r="AO196" i="8"/>
  <c r="AO197" i="8"/>
  <c r="AO198" i="8"/>
  <c r="AO199" i="8"/>
  <c r="AO200" i="8"/>
  <c r="AO201" i="8"/>
  <c r="AO202" i="8"/>
  <c r="AO203" i="8"/>
  <c r="AO204" i="8"/>
  <c r="AO207" i="8"/>
  <c r="AO208" i="8"/>
  <c r="AO209" i="8"/>
  <c r="AO211" i="8"/>
  <c r="AO212" i="8"/>
  <c r="AO213" i="8"/>
  <c r="AO214" i="8"/>
  <c r="AO215" i="8"/>
  <c r="AO216" i="8"/>
  <c r="AO217" i="8"/>
  <c r="AO220" i="8"/>
  <c r="AO221" i="8"/>
  <c r="AO222" i="8"/>
  <c r="AO223" i="8"/>
  <c r="AO224" i="8"/>
  <c r="AO225" i="8"/>
  <c r="AO228" i="8"/>
  <c r="AO229" i="8"/>
  <c r="AO230" i="8"/>
  <c r="AO231" i="8"/>
  <c r="AO232" i="8"/>
  <c r="AO233" i="8"/>
  <c r="AO234" i="8"/>
  <c r="AO235" i="8"/>
  <c r="AO236" i="8"/>
  <c r="AO237" i="8"/>
  <c r="AO238" i="8"/>
  <c r="AO239" i="8"/>
  <c r="AO240" i="8"/>
  <c r="AO241" i="8"/>
  <c r="AO242" i="8"/>
  <c r="AO244" i="8"/>
  <c r="AO245" i="8"/>
  <c r="AO246" i="8"/>
  <c r="AO247" i="8"/>
  <c r="AO248" i="8"/>
  <c r="AO249" i="8"/>
  <c r="AO250" i="8"/>
  <c r="AO251" i="8"/>
  <c r="AO252" i="8"/>
  <c r="AO253" i="8"/>
  <c r="AO254" i="8"/>
  <c r="AO255" i="8"/>
  <c r="AO256" i="8"/>
  <c r="AO257" i="8"/>
  <c r="AO258" i="8"/>
  <c r="AO259" i="8"/>
  <c r="AO260" i="8"/>
  <c r="AO261" i="8"/>
  <c r="AO262" i="8"/>
  <c r="AO263" i="8"/>
  <c r="AO264" i="8"/>
  <c r="AO265" i="8"/>
  <c r="AO266" i="8"/>
  <c r="AO267" i="8"/>
  <c r="AO268" i="8"/>
  <c r="AO269" i="8"/>
  <c r="AO270" i="8"/>
  <c r="AO271" i="8"/>
  <c r="AO272" i="8"/>
  <c r="AO273" i="8"/>
  <c r="AO274" i="8"/>
  <c r="AO275" i="8"/>
  <c r="AO276" i="8"/>
  <c r="A36" i="13"/>
  <c r="I36" i="13"/>
  <c r="Q36" i="13"/>
  <c r="Y36" i="13"/>
  <c r="AG36" i="13"/>
  <c r="A51" i="13"/>
  <c r="I51" i="13"/>
  <c r="BB74" i="8"/>
  <c r="BB107" i="8"/>
  <c r="BB90" i="8"/>
  <c r="BB98" i="8"/>
  <c r="BB9" i="8"/>
  <c r="BB10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23" i="8"/>
  <c r="BB24" i="8"/>
  <c r="BB25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38" i="8"/>
  <c r="BB39" i="8"/>
  <c r="BB40" i="8"/>
  <c r="BB41" i="8"/>
  <c r="BB42" i="8"/>
  <c r="BB43" i="8"/>
  <c r="BB44" i="8"/>
  <c r="BB45" i="8"/>
  <c r="BB46" i="8"/>
  <c r="BB47" i="8"/>
  <c r="BB48" i="8"/>
  <c r="BB49" i="8"/>
  <c r="BB50" i="8"/>
  <c r="BB51" i="8"/>
  <c r="BB52" i="8"/>
  <c r="BB53" i="8"/>
  <c r="BB54" i="8"/>
  <c r="BB55" i="8"/>
  <c r="BB56" i="8"/>
  <c r="BB57" i="8"/>
  <c r="BB58" i="8"/>
  <c r="BB59" i="8"/>
  <c r="BB60" i="8"/>
  <c r="BB61" i="8"/>
  <c r="BB62" i="8"/>
  <c r="BB63" i="8"/>
  <c r="BB64" i="8"/>
  <c r="BB65" i="8"/>
  <c r="BB66" i="8"/>
  <c r="BB67" i="8"/>
  <c r="BB68" i="8"/>
  <c r="BB69" i="8"/>
  <c r="BB70" i="8"/>
  <c r="BB71" i="8"/>
  <c r="BB72" i="8"/>
  <c r="BB73" i="8"/>
  <c r="BB75" i="8"/>
  <c r="BB76" i="8"/>
  <c r="BB77" i="8"/>
  <c r="BB78" i="8"/>
  <c r="BB79" i="8"/>
  <c r="BB80" i="8"/>
  <c r="BB81" i="8"/>
  <c r="BB82" i="8"/>
  <c r="BB83" i="8"/>
  <c r="BB84" i="8"/>
  <c r="BB85" i="8"/>
  <c r="BB86" i="8"/>
  <c r="BB87" i="8"/>
  <c r="BB88" i="8"/>
  <c r="BB89" i="8"/>
  <c r="BB91" i="8"/>
  <c r="BB92" i="8"/>
  <c r="BB93" i="8"/>
  <c r="BB94" i="8"/>
  <c r="BB95" i="8"/>
  <c r="BB96" i="8"/>
  <c r="BB97" i="8"/>
  <c r="BB99" i="8"/>
  <c r="BB100" i="8"/>
  <c r="BB101" i="8"/>
  <c r="BB102" i="8"/>
  <c r="BB103" i="8"/>
  <c r="BB104" i="8"/>
  <c r="BB105" i="8"/>
  <c r="BB106" i="8"/>
  <c r="BB108" i="8"/>
  <c r="BB109" i="8"/>
  <c r="BB110" i="8"/>
  <c r="BB111" i="8"/>
  <c r="BB112" i="8"/>
  <c r="BB113" i="8"/>
  <c r="BB114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40" i="8"/>
  <c r="B54" i="13"/>
  <c r="B55" i="13"/>
  <c r="BC96" i="8"/>
  <c r="C57" i="13"/>
  <c r="B57" i="13"/>
  <c r="B56" i="13"/>
  <c r="B58" i="13"/>
  <c r="BC95" i="8"/>
  <c r="C56" i="13"/>
  <c r="C58" i="13"/>
  <c r="C59" i="13"/>
  <c r="BC74" i="8"/>
  <c r="BC107" i="8"/>
  <c r="BC90" i="8"/>
  <c r="BC9" i="8"/>
  <c r="BC10" i="8"/>
  <c r="BC11" i="8"/>
  <c r="BC12" i="8"/>
  <c r="BC13" i="8"/>
  <c r="BC14" i="8"/>
  <c r="BC15" i="8"/>
  <c r="BC16" i="8"/>
  <c r="BC17" i="8"/>
  <c r="BC18" i="8"/>
  <c r="BC19" i="8"/>
  <c r="BC20" i="8"/>
  <c r="BC21" i="8"/>
  <c r="BC22" i="8"/>
  <c r="BC23" i="8"/>
  <c r="BC24" i="8"/>
  <c r="BC25" i="8"/>
  <c r="BC26" i="8"/>
  <c r="BC27" i="8"/>
  <c r="BC28" i="8"/>
  <c r="BC29" i="8"/>
  <c r="BC30" i="8"/>
  <c r="BC31" i="8"/>
  <c r="BC32" i="8"/>
  <c r="BC33" i="8"/>
  <c r="BC34" i="8"/>
  <c r="BC35" i="8"/>
  <c r="BC36" i="8"/>
  <c r="BC37" i="8"/>
  <c r="BC38" i="8"/>
  <c r="BC39" i="8"/>
  <c r="BC40" i="8"/>
  <c r="BC41" i="8"/>
  <c r="BC42" i="8"/>
  <c r="BC43" i="8"/>
  <c r="BC44" i="8"/>
  <c r="BC45" i="8"/>
  <c r="BC46" i="8"/>
  <c r="BC47" i="8"/>
  <c r="BC48" i="8"/>
  <c r="BC49" i="8"/>
  <c r="BC50" i="8"/>
  <c r="BC51" i="8"/>
  <c r="BC52" i="8"/>
  <c r="BC53" i="8"/>
  <c r="BC54" i="8"/>
  <c r="BC55" i="8"/>
  <c r="BC56" i="8"/>
  <c r="BC57" i="8"/>
  <c r="BC58" i="8"/>
  <c r="BC59" i="8"/>
  <c r="BC60" i="8"/>
  <c r="BC61" i="8"/>
  <c r="BC62" i="8"/>
  <c r="BC63" i="8"/>
  <c r="BC64" i="8"/>
  <c r="BC65" i="8"/>
  <c r="BC66" i="8"/>
  <c r="BC67" i="8"/>
  <c r="BC68" i="8"/>
  <c r="BC69" i="8"/>
  <c r="BC70" i="8"/>
  <c r="BC71" i="8"/>
  <c r="BC72" i="8"/>
  <c r="BC73" i="8"/>
  <c r="BC75" i="8"/>
  <c r="BC76" i="8"/>
  <c r="BC77" i="8"/>
  <c r="BC78" i="8"/>
  <c r="BC79" i="8"/>
  <c r="BC80" i="8"/>
  <c r="BC81" i="8"/>
  <c r="BC82" i="8"/>
  <c r="BC83" i="8"/>
  <c r="BC84" i="8"/>
  <c r="BC85" i="8"/>
  <c r="BC86" i="8"/>
  <c r="BC87" i="8"/>
  <c r="BC88" i="8"/>
  <c r="BC89" i="8"/>
  <c r="BC91" i="8"/>
  <c r="BC92" i="8"/>
  <c r="BC93" i="8"/>
  <c r="BC94" i="8"/>
  <c r="BC97" i="8"/>
  <c r="BC98" i="8"/>
  <c r="BC99" i="8"/>
  <c r="BC100" i="8"/>
  <c r="BC101" i="8"/>
  <c r="BC102" i="8"/>
  <c r="BC103" i="8"/>
  <c r="BC104" i="8"/>
  <c r="BC105" i="8"/>
  <c r="BC106" i="8"/>
  <c r="BC108" i="8"/>
  <c r="BC109" i="8"/>
  <c r="BC110" i="8"/>
  <c r="BC111" i="8"/>
  <c r="BC112" i="8"/>
  <c r="BC113" i="8"/>
  <c r="BC114" i="8"/>
  <c r="BC115" i="8"/>
  <c r="BC116" i="8"/>
  <c r="BC117" i="8"/>
  <c r="BC118" i="8"/>
  <c r="BC119" i="8"/>
  <c r="BC120" i="8"/>
  <c r="BC121" i="8"/>
  <c r="BC122" i="8"/>
  <c r="BC123" i="8"/>
  <c r="BC124" i="8"/>
  <c r="BC125" i="8"/>
  <c r="BC126" i="8"/>
  <c r="BC127" i="8"/>
  <c r="BC128" i="8"/>
  <c r="BC129" i="8"/>
  <c r="BC130" i="8"/>
  <c r="BC131" i="8"/>
  <c r="BC132" i="8"/>
  <c r="BC133" i="8"/>
  <c r="BC134" i="8"/>
  <c r="BC135" i="8"/>
  <c r="BC136" i="8"/>
  <c r="BC137" i="8"/>
  <c r="BC138" i="8"/>
  <c r="BC139" i="8"/>
  <c r="BC140" i="8"/>
  <c r="C60" i="13"/>
  <c r="C61" i="13"/>
  <c r="B63" i="13"/>
  <c r="C63" i="13"/>
  <c r="C62" i="13"/>
  <c r="C64" i="13"/>
  <c r="B62" i="13"/>
  <c r="B64" i="13"/>
  <c r="F53" i="13"/>
  <c r="E53" i="13"/>
  <c r="BB210" i="8"/>
  <c r="BB243" i="8"/>
  <c r="BB226" i="8"/>
  <c r="BB234" i="8"/>
  <c r="BB145" i="8"/>
  <c r="BB146" i="8"/>
  <c r="BB147" i="8"/>
  <c r="BB148" i="8"/>
  <c r="BB149" i="8"/>
  <c r="BB150" i="8"/>
  <c r="BB151" i="8"/>
  <c r="BB152" i="8"/>
  <c r="BB153" i="8"/>
  <c r="BB154" i="8"/>
  <c r="BB155" i="8"/>
  <c r="BB156" i="8"/>
  <c r="BB157" i="8"/>
  <c r="BB158" i="8"/>
  <c r="BB159" i="8"/>
  <c r="BB160" i="8"/>
  <c r="BB161" i="8"/>
  <c r="BB162" i="8"/>
  <c r="BB163" i="8"/>
  <c r="BB164" i="8"/>
  <c r="BB165" i="8"/>
  <c r="BB166" i="8"/>
  <c r="BB167" i="8"/>
  <c r="BB168" i="8"/>
  <c r="BB169" i="8"/>
  <c r="BB170" i="8"/>
  <c r="BB171" i="8"/>
  <c r="BB172" i="8"/>
  <c r="BB173" i="8"/>
  <c r="BB174" i="8"/>
  <c r="BB175" i="8"/>
  <c r="BB176" i="8"/>
  <c r="BB177" i="8"/>
  <c r="BB178" i="8"/>
  <c r="BB179" i="8"/>
  <c r="BB180" i="8"/>
  <c r="BB181" i="8"/>
  <c r="BB182" i="8"/>
  <c r="BB183" i="8"/>
  <c r="BB184" i="8"/>
  <c r="BB185" i="8"/>
  <c r="BB186" i="8"/>
  <c r="BB187" i="8"/>
  <c r="BB188" i="8"/>
  <c r="BB189" i="8"/>
  <c r="BB190" i="8"/>
  <c r="BB191" i="8"/>
  <c r="BB192" i="8"/>
  <c r="BB193" i="8"/>
  <c r="BB194" i="8"/>
  <c r="BB195" i="8"/>
  <c r="BB196" i="8"/>
  <c r="BB197" i="8"/>
  <c r="BB198" i="8"/>
  <c r="BB199" i="8"/>
  <c r="BB200" i="8"/>
  <c r="BB201" i="8"/>
  <c r="BB202" i="8"/>
  <c r="BB203" i="8"/>
  <c r="BB204" i="8"/>
  <c r="BB205" i="8"/>
  <c r="BB206" i="8"/>
  <c r="BB207" i="8"/>
  <c r="BB208" i="8"/>
  <c r="BB209" i="8"/>
  <c r="BB211" i="8"/>
  <c r="BB212" i="8"/>
  <c r="BB213" i="8"/>
  <c r="BB214" i="8"/>
  <c r="BB215" i="8"/>
  <c r="BB216" i="8"/>
  <c r="BB217" i="8"/>
  <c r="BB218" i="8"/>
  <c r="BB219" i="8"/>
  <c r="BB220" i="8"/>
  <c r="BB221" i="8"/>
  <c r="BB222" i="8"/>
  <c r="BB223" i="8"/>
  <c r="BB224" i="8"/>
  <c r="BB225" i="8"/>
  <c r="BB227" i="8"/>
  <c r="BB228" i="8"/>
  <c r="BB229" i="8"/>
  <c r="BB230" i="8"/>
  <c r="BB231" i="8"/>
  <c r="BB232" i="8"/>
  <c r="BB233" i="8"/>
  <c r="BB235" i="8"/>
  <c r="BB236" i="8"/>
  <c r="BB237" i="8"/>
  <c r="BB238" i="8"/>
  <c r="BB239" i="8"/>
  <c r="BB240" i="8"/>
  <c r="BB241" i="8"/>
  <c r="BB242" i="8"/>
  <c r="BB244" i="8"/>
  <c r="BB245" i="8"/>
  <c r="BB246" i="8"/>
  <c r="BB247" i="8"/>
  <c r="BB248" i="8"/>
  <c r="BB249" i="8"/>
  <c r="BB250" i="8"/>
  <c r="BB251" i="8"/>
  <c r="BB252" i="8"/>
  <c r="BB253" i="8"/>
  <c r="BB254" i="8"/>
  <c r="BB255" i="8"/>
  <c r="BB256" i="8"/>
  <c r="BB257" i="8"/>
  <c r="BB258" i="8"/>
  <c r="BB259" i="8"/>
  <c r="BB260" i="8"/>
  <c r="BB261" i="8"/>
  <c r="BB262" i="8"/>
  <c r="BB263" i="8"/>
  <c r="BB264" i="8"/>
  <c r="BB265" i="8"/>
  <c r="BB266" i="8"/>
  <c r="BB267" i="8"/>
  <c r="BB268" i="8"/>
  <c r="BB269" i="8"/>
  <c r="BB270" i="8"/>
  <c r="BB271" i="8"/>
  <c r="BB272" i="8"/>
  <c r="BB273" i="8"/>
  <c r="BB274" i="8"/>
  <c r="BB275" i="8"/>
  <c r="BB276" i="8"/>
  <c r="J54" i="13"/>
  <c r="J55" i="13"/>
  <c r="BC232" i="8"/>
  <c r="K57" i="13"/>
  <c r="J57" i="13"/>
  <c r="J56" i="13"/>
  <c r="J58" i="13"/>
  <c r="BC231" i="8"/>
  <c r="K56" i="13"/>
  <c r="K58" i="13"/>
  <c r="K59" i="13"/>
  <c r="BC210" i="8"/>
  <c r="BC243" i="8"/>
  <c r="BC226" i="8"/>
  <c r="BC145" i="8"/>
  <c r="BC146" i="8"/>
  <c r="BC147" i="8"/>
  <c r="BC148" i="8"/>
  <c r="BC149" i="8"/>
  <c r="BC150" i="8"/>
  <c r="BC151" i="8"/>
  <c r="BC152" i="8"/>
  <c r="BC153" i="8"/>
  <c r="BC154" i="8"/>
  <c r="BC155" i="8"/>
  <c r="BC156" i="8"/>
  <c r="BC157" i="8"/>
  <c r="BC158" i="8"/>
  <c r="BC159" i="8"/>
  <c r="BC160" i="8"/>
  <c r="BC161" i="8"/>
  <c r="BC162" i="8"/>
  <c r="BC163" i="8"/>
  <c r="BC164" i="8"/>
  <c r="BC165" i="8"/>
  <c r="BC166" i="8"/>
  <c r="BC167" i="8"/>
  <c r="BC168" i="8"/>
  <c r="BC169" i="8"/>
  <c r="BC170" i="8"/>
  <c r="BC171" i="8"/>
  <c r="BC172" i="8"/>
  <c r="BC173" i="8"/>
  <c r="BC174" i="8"/>
  <c r="BC175" i="8"/>
  <c r="BC176" i="8"/>
  <c r="BC177" i="8"/>
  <c r="BC178" i="8"/>
  <c r="BC179" i="8"/>
  <c r="BC180" i="8"/>
  <c r="BC181" i="8"/>
  <c r="BC182" i="8"/>
  <c r="BC183" i="8"/>
  <c r="BC184" i="8"/>
  <c r="BC185" i="8"/>
  <c r="BC186" i="8"/>
  <c r="BC187" i="8"/>
  <c r="BC188" i="8"/>
  <c r="BC189" i="8"/>
  <c r="BC190" i="8"/>
  <c r="BC191" i="8"/>
  <c r="BC192" i="8"/>
  <c r="BC193" i="8"/>
  <c r="BC194" i="8"/>
  <c r="BC195" i="8"/>
  <c r="BC196" i="8"/>
  <c r="BC197" i="8"/>
  <c r="BC198" i="8"/>
  <c r="BC199" i="8"/>
  <c r="BC200" i="8"/>
  <c r="BC201" i="8"/>
  <c r="BC202" i="8"/>
  <c r="BC203" i="8"/>
  <c r="BC204" i="8"/>
  <c r="BC205" i="8"/>
  <c r="BC206" i="8"/>
  <c r="BC207" i="8"/>
  <c r="BC208" i="8"/>
  <c r="BC209" i="8"/>
  <c r="BC211" i="8"/>
  <c r="BC212" i="8"/>
  <c r="BC213" i="8"/>
  <c r="BC214" i="8"/>
  <c r="BC215" i="8"/>
  <c r="BC216" i="8"/>
  <c r="BC217" i="8"/>
  <c r="BC218" i="8"/>
  <c r="BC219" i="8"/>
  <c r="BC220" i="8"/>
  <c r="BC221" i="8"/>
  <c r="BC222" i="8"/>
  <c r="BC223" i="8"/>
  <c r="BC224" i="8"/>
  <c r="BC225" i="8"/>
  <c r="BC227" i="8"/>
  <c r="BC228" i="8"/>
  <c r="BC229" i="8"/>
  <c r="BC230" i="8"/>
  <c r="BC233" i="8"/>
  <c r="BC234" i="8"/>
  <c r="BC235" i="8"/>
  <c r="BC236" i="8"/>
  <c r="BC237" i="8"/>
  <c r="BC238" i="8"/>
  <c r="BC239" i="8"/>
  <c r="BC240" i="8"/>
  <c r="BC241" i="8"/>
  <c r="BC242" i="8"/>
  <c r="BC244" i="8"/>
  <c r="BC245" i="8"/>
  <c r="BC246" i="8"/>
  <c r="BC247" i="8"/>
  <c r="BC248" i="8"/>
  <c r="BC249" i="8"/>
  <c r="BC250" i="8"/>
  <c r="BC251" i="8"/>
  <c r="BC252" i="8"/>
  <c r="BC253" i="8"/>
  <c r="BC254" i="8"/>
  <c r="BC255" i="8"/>
  <c r="BC256" i="8"/>
  <c r="BC257" i="8"/>
  <c r="BC258" i="8"/>
  <c r="BC259" i="8"/>
  <c r="BC260" i="8"/>
  <c r="BC261" i="8"/>
  <c r="BC262" i="8"/>
  <c r="BC263" i="8"/>
  <c r="BC264" i="8"/>
  <c r="BC265" i="8"/>
  <c r="BC266" i="8"/>
  <c r="BC267" i="8"/>
  <c r="BC268" i="8"/>
  <c r="BC269" i="8"/>
  <c r="BC270" i="8"/>
  <c r="BC271" i="8"/>
  <c r="BC272" i="8"/>
  <c r="BC273" i="8"/>
  <c r="BC274" i="8"/>
  <c r="BC275" i="8"/>
  <c r="BC276" i="8"/>
  <c r="K60" i="13"/>
  <c r="K61" i="13"/>
  <c r="J63" i="13"/>
  <c r="K63" i="13"/>
  <c r="K62" i="13"/>
  <c r="K64" i="13"/>
  <c r="J62" i="13"/>
  <c r="J64" i="13"/>
  <c r="N53" i="13"/>
  <c r="M53" i="13"/>
  <c r="A66" i="13"/>
  <c r="I66" i="13"/>
  <c r="BP74" i="8"/>
  <c r="BP107" i="8"/>
  <c r="BP90" i="8"/>
  <c r="BP98" i="8"/>
  <c r="BP9" i="8"/>
  <c r="BP10" i="8"/>
  <c r="BP11" i="8"/>
  <c r="BP12" i="8"/>
  <c r="BP13" i="8"/>
  <c r="BP14" i="8"/>
  <c r="BP15" i="8"/>
  <c r="BP16" i="8"/>
  <c r="BP17" i="8"/>
  <c r="BP18" i="8"/>
  <c r="BP19" i="8"/>
  <c r="BP20" i="8"/>
  <c r="BP21" i="8"/>
  <c r="BP22" i="8"/>
  <c r="BP23" i="8"/>
  <c r="BP24" i="8"/>
  <c r="BP25" i="8"/>
  <c r="BP26" i="8"/>
  <c r="BP27" i="8"/>
  <c r="BP28" i="8"/>
  <c r="BP29" i="8"/>
  <c r="BP30" i="8"/>
  <c r="BP31" i="8"/>
  <c r="BP32" i="8"/>
  <c r="BP33" i="8"/>
  <c r="BP34" i="8"/>
  <c r="BP35" i="8"/>
  <c r="BP36" i="8"/>
  <c r="BP37" i="8"/>
  <c r="BP38" i="8"/>
  <c r="BP39" i="8"/>
  <c r="BP40" i="8"/>
  <c r="BP41" i="8"/>
  <c r="BP42" i="8"/>
  <c r="BP43" i="8"/>
  <c r="BP44" i="8"/>
  <c r="BP45" i="8"/>
  <c r="BP46" i="8"/>
  <c r="BP47" i="8"/>
  <c r="BP48" i="8"/>
  <c r="BP49" i="8"/>
  <c r="BP50" i="8"/>
  <c r="BP51" i="8"/>
  <c r="BP52" i="8"/>
  <c r="BP53" i="8"/>
  <c r="BP54" i="8"/>
  <c r="BP55" i="8"/>
  <c r="BP56" i="8"/>
  <c r="BP57" i="8"/>
  <c r="BP58" i="8"/>
  <c r="BP59" i="8"/>
  <c r="BP60" i="8"/>
  <c r="BP61" i="8"/>
  <c r="BP62" i="8"/>
  <c r="BP63" i="8"/>
  <c r="BP64" i="8"/>
  <c r="BP65" i="8"/>
  <c r="BP66" i="8"/>
  <c r="BP67" i="8"/>
  <c r="BP68" i="8"/>
  <c r="BP69" i="8"/>
  <c r="BP70" i="8"/>
  <c r="BP71" i="8"/>
  <c r="BP72" i="8"/>
  <c r="BP73" i="8"/>
  <c r="BP75" i="8"/>
  <c r="BP76" i="8"/>
  <c r="BP77" i="8"/>
  <c r="BP78" i="8"/>
  <c r="BP79" i="8"/>
  <c r="BP80" i="8"/>
  <c r="BP81" i="8"/>
  <c r="BP82" i="8"/>
  <c r="BP83" i="8"/>
  <c r="BP84" i="8"/>
  <c r="BP85" i="8"/>
  <c r="BP86" i="8"/>
  <c r="BP87" i="8"/>
  <c r="BP88" i="8"/>
  <c r="BP89" i="8"/>
  <c r="BP91" i="8"/>
  <c r="BP92" i="8"/>
  <c r="BP93" i="8"/>
  <c r="BP94" i="8"/>
  <c r="BP95" i="8"/>
  <c r="BP96" i="8"/>
  <c r="BP97" i="8"/>
  <c r="BP99" i="8"/>
  <c r="BP100" i="8"/>
  <c r="BP101" i="8"/>
  <c r="BP102" i="8"/>
  <c r="BP103" i="8"/>
  <c r="BP104" i="8"/>
  <c r="BP105" i="8"/>
  <c r="BP106" i="8"/>
  <c r="BP108" i="8"/>
  <c r="BP109" i="8"/>
  <c r="BP110" i="8"/>
  <c r="BP111" i="8"/>
  <c r="BP112" i="8"/>
  <c r="BP113" i="8"/>
  <c r="BP114" i="8"/>
  <c r="BP115" i="8"/>
  <c r="BP116" i="8"/>
  <c r="BP117" i="8"/>
  <c r="BP118" i="8"/>
  <c r="BP119" i="8"/>
  <c r="BP120" i="8"/>
  <c r="BP121" i="8"/>
  <c r="BP122" i="8"/>
  <c r="BP123" i="8"/>
  <c r="BP124" i="8"/>
  <c r="BP125" i="8"/>
  <c r="BP126" i="8"/>
  <c r="BP127" i="8"/>
  <c r="BP128" i="8"/>
  <c r="BP129" i="8"/>
  <c r="BP130" i="8"/>
  <c r="BP131" i="8"/>
  <c r="BP132" i="8"/>
  <c r="BP133" i="8"/>
  <c r="BP134" i="8"/>
  <c r="BP135" i="8"/>
  <c r="BP136" i="8"/>
  <c r="BP137" i="8"/>
  <c r="BP138" i="8"/>
  <c r="BP139" i="8"/>
  <c r="BP140" i="8"/>
  <c r="B69" i="13"/>
  <c r="B70" i="13"/>
  <c r="BQ106" i="8"/>
  <c r="C72" i="13"/>
  <c r="B72" i="13"/>
  <c r="B71" i="13"/>
  <c r="B73" i="13"/>
  <c r="BQ105" i="8"/>
  <c r="C71" i="13"/>
  <c r="C73" i="13"/>
  <c r="C74" i="13"/>
  <c r="BQ74" i="8"/>
  <c r="BQ107" i="8"/>
  <c r="BQ90" i="8"/>
  <c r="BQ9" i="8"/>
  <c r="BQ10" i="8"/>
  <c r="BQ11" i="8"/>
  <c r="BQ12" i="8"/>
  <c r="BQ13" i="8"/>
  <c r="BQ14" i="8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75" i="8"/>
  <c r="BQ76" i="8"/>
  <c r="BQ77" i="8"/>
  <c r="BQ78" i="8"/>
  <c r="BQ79" i="8"/>
  <c r="BQ80" i="8"/>
  <c r="BQ81" i="8"/>
  <c r="BQ82" i="8"/>
  <c r="BQ83" i="8"/>
  <c r="BQ84" i="8"/>
  <c r="BQ85" i="8"/>
  <c r="BQ86" i="8"/>
  <c r="BQ87" i="8"/>
  <c r="BQ88" i="8"/>
  <c r="BQ89" i="8"/>
  <c r="BQ91" i="8"/>
  <c r="BQ92" i="8"/>
  <c r="BQ93" i="8"/>
  <c r="BQ94" i="8"/>
  <c r="BQ95" i="8"/>
  <c r="BQ96" i="8"/>
  <c r="BQ97" i="8"/>
  <c r="BQ98" i="8"/>
  <c r="BQ99" i="8"/>
  <c r="BQ100" i="8"/>
  <c r="BQ101" i="8"/>
  <c r="BQ102" i="8"/>
  <c r="BQ103" i="8"/>
  <c r="BQ104" i="8"/>
  <c r="BQ108" i="8"/>
  <c r="BQ109" i="8"/>
  <c r="BQ110" i="8"/>
  <c r="BQ111" i="8"/>
  <c r="BQ112" i="8"/>
  <c r="BQ113" i="8"/>
  <c r="BQ114" i="8"/>
  <c r="BQ115" i="8"/>
  <c r="BQ116" i="8"/>
  <c r="BQ117" i="8"/>
  <c r="BQ118" i="8"/>
  <c r="BQ119" i="8"/>
  <c r="BQ120" i="8"/>
  <c r="BQ121" i="8"/>
  <c r="BQ122" i="8"/>
  <c r="BQ123" i="8"/>
  <c r="BQ124" i="8"/>
  <c r="BQ125" i="8"/>
  <c r="BQ126" i="8"/>
  <c r="BQ127" i="8"/>
  <c r="BQ128" i="8"/>
  <c r="BQ129" i="8"/>
  <c r="BQ130" i="8"/>
  <c r="BQ131" i="8"/>
  <c r="BQ132" i="8"/>
  <c r="BQ133" i="8"/>
  <c r="BQ134" i="8"/>
  <c r="BQ135" i="8"/>
  <c r="BQ136" i="8"/>
  <c r="BQ137" i="8"/>
  <c r="BQ138" i="8"/>
  <c r="BQ139" i="8"/>
  <c r="BQ140" i="8"/>
  <c r="C75" i="13"/>
  <c r="C76" i="13"/>
  <c r="B78" i="13"/>
  <c r="C78" i="13"/>
  <c r="C77" i="13"/>
  <c r="C79" i="13"/>
  <c r="B77" i="13"/>
  <c r="B79" i="13"/>
  <c r="F68" i="13"/>
  <c r="E68" i="13"/>
  <c r="BP210" i="8"/>
  <c r="BP243" i="8"/>
  <c r="BP226" i="8"/>
  <c r="BP234" i="8"/>
  <c r="BP145" i="8"/>
  <c r="BP146" i="8"/>
  <c r="BP147" i="8"/>
  <c r="BP148" i="8"/>
  <c r="BP149" i="8"/>
  <c r="BP150" i="8"/>
  <c r="BP151" i="8"/>
  <c r="BP152" i="8"/>
  <c r="BP153" i="8"/>
  <c r="BP154" i="8"/>
  <c r="BP155" i="8"/>
  <c r="BP156" i="8"/>
  <c r="BP157" i="8"/>
  <c r="BP158" i="8"/>
  <c r="BP159" i="8"/>
  <c r="BP160" i="8"/>
  <c r="BP161" i="8"/>
  <c r="BP162" i="8"/>
  <c r="BP163" i="8"/>
  <c r="BP164" i="8"/>
  <c r="BP165" i="8"/>
  <c r="BP166" i="8"/>
  <c r="BP167" i="8"/>
  <c r="BP168" i="8"/>
  <c r="BP169" i="8"/>
  <c r="BP170" i="8"/>
  <c r="BP171" i="8"/>
  <c r="BP172" i="8"/>
  <c r="BP173" i="8"/>
  <c r="BP174" i="8"/>
  <c r="BP175" i="8"/>
  <c r="BP176" i="8"/>
  <c r="BP177" i="8"/>
  <c r="BP178" i="8"/>
  <c r="BP179" i="8"/>
  <c r="BP180" i="8"/>
  <c r="BP181" i="8"/>
  <c r="BP182" i="8"/>
  <c r="BP183" i="8"/>
  <c r="BP184" i="8"/>
  <c r="BP185" i="8"/>
  <c r="BP186" i="8"/>
  <c r="BP187" i="8"/>
  <c r="BP188" i="8"/>
  <c r="BP189" i="8"/>
  <c r="BP190" i="8"/>
  <c r="BP191" i="8"/>
  <c r="BP192" i="8"/>
  <c r="BP193" i="8"/>
  <c r="BP194" i="8"/>
  <c r="BP195" i="8"/>
  <c r="BP196" i="8"/>
  <c r="BP197" i="8"/>
  <c r="BP198" i="8"/>
  <c r="BP199" i="8"/>
  <c r="BP200" i="8"/>
  <c r="BP201" i="8"/>
  <c r="BP202" i="8"/>
  <c r="BP203" i="8"/>
  <c r="BP204" i="8"/>
  <c r="BP205" i="8"/>
  <c r="BP206" i="8"/>
  <c r="BP207" i="8"/>
  <c r="BP208" i="8"/>
  <c r="BP209" i="8"/>
  <c r="BP211" i="8"/>
  <c r="BP212" i="8"/>
  <c r="BP213" i="8"/>
  <c r="BP214" i="8"/>
  <c r="BP215" i="8"/>
  <c r="BP216" i="8"/>
  <c r="BP217" i="8"/>
  <c r="BP218" i="8"/>
  <c r="BP219" i="8"/>
  <c r="BP220" i="8"/>
  <c r="BP221" i="8"/>
  <c r="BP222" i="8"/>
  <c r="BP223" i="8"/>
  <c r="BP224" i="8"/>
  <c r="BP225" i="8"/>
  <c r="BP227" i="8"/>
  <c r="BP228" i="8"/>
  <c r="BP229" i="8"/>
  <c r="BP230" i="8"/>
  <c r="BP231" i="8"/>
  <c r="BP232" i="8"/>
  <c r="BP233" i="8"/>
  <c r="BP235" i="8"/>
  <c r="BP236" i="8"/>
  <c r="BP237" i="8"/>
  <c r="BP238" i="8"/>
  <c r="BP239" i="8"/>
  <c r="BP240" i="8"/>
  <c r="BP241" i="8"/>
  <c r="BP242" i="8"/>
  <c r="BP244" i="8"/>
  <c r="BP245" i="8"/>
  <c r="BP246" i="8"/>
  <c r="BP247" i="8"/>
  <c r="BP248" i="8"/>
  <c r="BP249" i="8"/>
  <c r="BP250" i="8"/>
  <c r="BP251" i="8"/>
  <c r="BP252" i="8"/>
  <c r="BP253" i="8"/>
  <c r="BP254" i="8"/>
  <c r="BP255" i="8"/>
  <c r="BP256" i="8"/>
  <c r="BP257" i="8"/>
  <c r="BP258" i="8"/>
  <c r="BP259" i="8"/>
  <c r="BP260" i="8"/>
  <c r="BP261" i="8"/>
  <c r="BP262" i="8"/>
  <c r="BP263" i="8"/>
  <c r="BP264" i="8"/>
  <c r="BP265" i="8"/>
  <c r="BP266" i="8"/>
  <c r="BP267" i="8"/>
  <c r="BP268" i="8"/>
  <c r="BP269" i="8"/>
  <c r="BP270" i="8"/>
  <c r="BP271" i="8"/>
  <c r="BP272" i="8"/>
  <c r="BP273" i="8"/>
  <c r="BP274" i="8"/>
  <c r="BP275" i="8"/>
  <c r="BP276" i="8"/>
  <c r="J69" i="13"/>
  <c r="J70" i="13"/>
  <c r="BQ233" i="8"/>
  <c r="K72" i="13"/>
  <c r="J72" i="13"/>
  <c r="J71" i="13"/>
  <c r="J73" i="13"/>
  <c r="BQ232" i="8"/>
  <c r="K71" i="13"/>
  <c r="K73" i="13"/>
  <c r="K74" i="13"/>
  <c r="BQ210" i="8"/>
  <c r="BQ243" i="8"/>
  <c r="BQ226" i="8"/>
  <c r="BQ145" i="8"/>
  <c r="BQ146" i="8"/>
  <c r="BQ147" i="8"/>
  <c r="BQ148" i="8"/>
  <c r="BQ149" i="8"/>
  <c r="BQ150" i="8"/>
  <c r="BQ151" i="8"/>
  <c r="BQ152" i="8"/>
  <c r="BQ153" i="8"/>
  <c r="BQ154" i="8"/>
  <c r="BQ155" i="8"/>
  <c r="BQ156" i="8"/>
  <c r="BQ157" i="8"/>
  <c r="BQ158" i="8"/>
  <c r="BQ159" i="8"/>
  <c r="BQ160" i="8"/>
  <c r="BQ161" i="8"/>
  <c r="BQ162" i="8"/>
  <c r="BQ163" i="8"/>
  <c r="BQ164" i="8"/>
  <c r="BQ165" i="8"/>
  <c r="BQ166" i="8"/>
  <c r="BQ167" i="8"/>
  <c r="BQ168" i="8"/>
  <c r="BQ169" i="8"/>
  <c r="BQ170" i="8"/>
  <c r="BQ171" i="8"/>
  <c r="BQ172" i="8"/>
  <c r="BQ173" i="8"/>
  <c r="BQ174" i="8"/>
  <c r="BQ175" i="8"/>
  <c r="BQ176" i="8"/>
  <c r="BQ177" i="8"/>
  <c r="BQ178" i="8"/>
  <c r="BQ179" i="8"/>
  <c r="BQ180" i="8"/>
  <c r="BQ181" i="8"/>
  <c r="BQ182" i="8"/>
  <c r="BQ183" i="8"/>
  <c r="BQ184" i="8"/>
  <c r="BQ185" i="8"/>
  <c r="BQ186" i="8"/>
  <c r="BQ187" i="8"/>
  <c r="BQ188" i="8"/>
  <c r="BQ189" i="8"/>
  <c r="BQ190" i="8"/>
  <c r="BQ191" i="8"/>
  <c r="BQ192" i="8"/>
  <c r="BQ193" i="8"/>
  <c r="BQ194" i="8"/>
  <c r="BQ195" i="8"/>
  <c r="BQ196" i="8"/>
  <c r="BQ197" i="8"/>
  <c r="BQ198" i="8"/>
  <c r="BQ199" i="8"/>
  <c r="BQ200" i="8"/>
  <c r="BQ201" i="8"/>
  <c r="BQ202" i="8"/>
  <c r="BQ203" i="8"/>
  <c r="BQ204" i="8"/>
  <c r="BQ205" i="8"/>
  <c r="BQ206" i="8"/>
  <c r="BQ207" i="8"/>
  <c r="BQ208" i="8"/>
  <c r="BQ209" i="8"/>
  <c r="BQ211" i="8"/>
  <c r="BQ212" i="8"/>
  <c r="BQ213" i="8"/>
  <c r="BQ214" i="8"/>
  <c r="BQ215" i="8"/>
  <c r="BQ216" i="8"/>
  <c r="BQ217" i="8"/>
  <c r="BQ218" i="8"/>
  <c r="BQ219" i="8"/>
  <c r="BQ220" i="8"/>
  <c r="BQ221" i="8"/>
  <c r="BQ222" i="8"/>
  <c r="BQ223" i="8"/>
  <c r="BQ224" i="8"/>
  <c r="BQ225" i="8"/>
  <c r="BQ227" i="8"/>
  <c r="BQ228" i="8"/>
  <c r="BQ229" i="8"/>
  <c r="BQ230" i="8"/>
  <c r="BQ231" i="8"/>
  <c r="BQ234" i="8"/>
  <c r="BQ235" i="8"/>
  <c r="BQ236" i="8"/>
  <c r="BQ237" i="8"/>
  <c r="BQ238" i="8"/>
  <c r="BQ239" i="8"/>
  <c r="BQ240" i="8"/>
  <c r="BQ241" i="8"/>
  <c r="BQ242" i="8"/>
  <c r="BQ244" i="8"/>
  <c r="BQ245" i="8"/>
  <c r="BQ246" i="8"/>
  <c r="BQ247" i="8"/>
  <c r="BQ248" i="8"/>
  <c r="BQ249" i="8"/>
  <c r="BQ250" i="8"/>
  <c r="BQ251" i="8"/>
  <c r="BQ252" i="8"/>
  <c r="BQ253" i="8"/>
  <c r="BQ254" i="8"/>
  <c r="BQ255" i="8"/>
  <c r="BQ256" i="8"/>
  <c r="BQ257" i="8"/>
  <c r="BQ258" i="8"/>
  <c r="BQ259" i="8"/>
  <c r="BQ260" i="8"/>
  <c r="BQ261" i="8"/>
  <c r="BQ262" i="8"/>
  <c r="BQ263" i="8"/>
  <c r="BQ264" i="8"/>
  <c r="BQ265" i="8"/>
  <c r="BQ266" i="8"/>
  <c r="BQ267" i="8"/>
  <c r="BQ268" i="8"/>
  <c r="BQ269" i="8"/>
  <c r="BQ270" i="8"/>
  <c r="BQ271" i="8"/>
  <c r="BQ272" i="8"/>
  <c r="BQ273" i="8"/>
  <c r="BQ274" i="8"/>
  <c r="BQ275" i="8"/>
  <c r="BQ276" i="8"/>
  <c r="K75" i="13"/>
  <c r="K76" i="13"/>
  <c r="J78" i="13"/>
  <c r="K78" i="13"/>
  <c r="K77" i="13"/>
  <c r="K79" i="13"/>
  <c r="J77" i="13"/>
  <c r="J79" i="13"/>
  <c r="N68" i="13"/>
  <c r="M68" i="13"/>
  <c r="A81" i="13"/>
  <c r="I81" i="13"/>
  <c r="CD74" i="8"/>
  <c r="CD107" i="8"/>
  <c r="CD124" i="8"/>
  <c r="CD115" i="8"/>
  <c r="CD9" i="8"/>
  <c r="CD10" i="8"/>
  <c r="CD11" i="8"/>
  <c r="CD12" i="8"/>
  <c r="CD13" i="8"/>
  <c r="CD14" i="8"/>
  <c r="CD15" i="8"/>
  <c r="CD16" i="8"/>
  <c r="CD17" i="8"/>
  <c r="CD18" i="8"/>
  <c r="CD19" i="8"/>
  <c r="CD20" i="8"/>
  <c r="CD21" i="8"/>
  <c r="CD22" i="8"/>
  <c r="CD23" i="8"/>
  <c r="CD24" i="8"/>
  <c r="CD25" i="8"/>
  <c r="CD26" i="8"/>
  <c r="CD27" i="8"/>
  <c r="CD28" i="8"/>
  <c r="CD29" i="8"/>
  <c r="CD30" i="8"/>
  <c r="CD31" i="8"/>
  <c r="CD32" i="8"/>
  <c r="CD33" i="8"/>
  <c r="CD34" i="8"/>
  <c r="CD35" i="8"/>
  <c r="CD36" i="8"/>
  <c r="CD37" i="8"/>
  <c r="CD38" i="8"/>
  <c r="CD39" i="8"/>
  <c r="CD40" i="8"/>
  <c r="CD41" i="8"/>
  <c r="CD42" i="8"/>
  <c r="CD43" i="8"/>
  <c r="CD44" i="8"/>
  <c r="CD45" i="8"/>
  <c r="CD46" i="8"/>
  <c r="CD47" i="8"/>
  <c r="CD48" i="8"/>
  <c r="CD49" i="8"/>
  <c r="CD50" i="8"/>
  <c r="CD51" i="8"/>
  <c r="CD52" i="8"/>
  <c r="CD53" i="8"/>
  <c r="CD54" i="8"/>
  <c r="CD55" i="8"/>
  <c r="CD56" i="8"/>
  <c r="CD57" i="8"/>
  <c r="CD58" i="8"/>
  <c r="CD59" i="8"/>
  <c r="CD60" i="8"/>
  <c r="CD61" i="8"/>
  <c r="CD62" i="8"/>
  <c r="CD63" i="8"/>
  <c r="CD64" i="8"/>
  <c r="CD65" i="8"/>
  <c r="CD66" i="8"/>
  <c r="CD67" i="8"/>
  <c r="CD68" i="8"/>
  <c r="CD69" i="8"/>
  <c r="CD70" i="8"/>
  <c r="CD71" i="8"/>
  <c r="CD72" i="8"/>
  <c r="CD73" i="8"/>
  <c r="CD75" i="8"/>
  <c r="CD76" i="8"/>
  <c r="CD77" i="8"/>
  <c r="CD78" i="8"/>
  <c r="CD79" i="8"/>
  <c r="CD80" i="8"/>
  <c r="CD81" i="8"/>
  <c r="CD82" i="8"/>
  <c r="CD83" i="8"/>
  <c r="CD84" i="8"/>
  <c r="CD85" i="8"/>
  <c r="CD86" i="8"/>
  <c r="CD87" i="8"/>
  <c r="CD88" i="8"/>
  <c r="CD89" i="8"/>
  <c r="CD90" i="8"/>
  <c r="CD91" i="8"/>
  <c r="CD92" i="8"/>
  <c r="CD93" i="8"/>
  <c r="CD94" i="8"/>
  <c r="CD95" i="8"/>
  <c r="CD96" i="8"/>
  <c r="CD97" i="8"/>
  <c r="CD98" i="8"/>
  <c r="CD99" i="8"/>
  <c r="CD100" i="8"/>
  <c r="CD101" i="8"/>
  <c r="CD102" i="8"/>
  <c r="CD103" i="8"/>
  <c r="CD104" i="8"/>
  <c r="CD105" i="8"/>
  <c r="CD106" i="8"/>
  <c r="CD108" i="8"/>
  <c r="CD109" i="8"/>
  <c r="CD110" i="8"/>
  <c r="CD111" i="8"/>
  <c r="CD112" i="8"/>
  <c r="CD113" i="8"/>
  <c r="CD114" i="8"/>
  <c r="CD116" i="8"/>
  <c r="CD117" i="8"/>
  <c r="CD118" i="8"/>
  <c r="CD119" i="8"/>
  <c r="CD120" i="8"/>
  <c r="CD121" i="8"/>
  <c r="CD122" i="8"/>
  <c r="CD123" i="8"/>
  <c r="CD125" i="8"/>
  <c r="CD126" i="8"/>
  <c r="CD127" i="8"/>
  <c r="CD128" i="8"/>
  <c r="CD129" i="8"/>
  <c r="CD130" i="8"/>
  <c r="CD131" i="8"/>
  <c r="CD132" i="8"/>
  <c r="CD133" i="8"/>
  <c r="CD134" i="8"/>
  <c r="CD135" i="8"/>
  <c r="CD136" i="8"/>
  <c r="CD137" i="8"/>
  <c r="CD138" i="8"/>
  <c r="CD139" i="8"/>
  <c r="CD140" i="8"/>
  <c r="B84" i="13"/>
  <c r="B85" i="13"/>
  <c r="CE113" i="8"/>
  <c r="C87" i="13"/>
  <c r="B87" i="13"/>
  <c r="B86" i="13"/>
  <c r="B88" i="13"/>
  <c r="CE112" i="8"/>
  <c r="C86" i="13"/>
  <c r="C88" i="13"/>
  <c r="C89" i="13"/>
  <c r="CE74" i="8"/>
  <c r="CE107" i="8"/>
  <c r="CE124" i="8"/>
  <c r="CE9" i="8"/>
  <c r="CE10" i="8"/>
  <c r="CE11" i="8"/>
  <c r="CE12" i="8"/>
  <c r="CE13" i="8"/>
  <c r="CE14" i="8"/>
  <c r="CE15" i="8"/>
  <c r="CE16" i="8"/>
  <c r="CE17" i="8"/>
  <c r="CE18" i="8"/>
  <c r="CE19" i="8"/>
  <c r="CE20" i="8"/>
  <c r="CE21" i="8"/>
  <c r="CE22" i="8"/>
  <c r="CE23" i="8"/>
  <c r="CE24" i="8"/>
  <c r="CE25" i="8"/>
  <c r="CE26" i="8"/>
  <c r="CE27" i="8"/>
  <c r="CE28" i="8"/>
  <c r="CE29" i="8"/>
  <c r="CE30" i="8"/>
  <c r="CE31" i="8"/>
  <c r="CE32" i="8"/>
  <c r="CE33" i="8"/>
  <c r="CE34" i="8"/>
  <c r="CE35" i="8"/>
  <c r="CE36" i="8"/>
  <c r="CE37" i="8"/>
  <c r="CE38" i="8"/>
  <c r="CE39" i="8"/>
  <c r="CE40" i="8"/>
  <c r="CE41" i="8"/>
  <c r="CE42" i="8"/>
  <c r="CE43" i="8"/>
  <c r="CE44" i="8"/>
  <c r="CE45" i="8"/>
  <c r="CE46" i="8"/>
  <c r="CE47" i="8"/>
  <c r="CE48" i="8"/>
  <c r="CE49" i="8"/>
  <c r="CE50" i="8"/>
  <c r="CE51" i="8"/>
  <c r="CE52" i="8"/>
  <c r="CE53" i="8"/>
  <c r="CE54" i="8"/>
  <c r="CE55" i="8"/>
  <c r="CE56" i="8"/>
  <c r="CE57" i="8"/>
  <c r="CE58" i="8"/>
  <c r="CE59" i="8"/>
  <c r="CE60" i="8"/>
  <c r="CE61" i="8"/>
  <c r="CE62" i="8"/>
  <c r="CE63" i="8"/>
  <c r="CE64" i="8"/>
  <c r="CE65" i="8"/>
  <c r="CE66" i="8"/>
  <c r="CE67" i="8"/>
  <c r="CE68" i="8"/>
  <c r="CE69" i="8"/>
  <c r="CE70" i="8"/>
  <c r="CE71" i="8"/>
  <c r="CE72" i="8"/>
  <c r="CE73" i="8"/>
  <c r="CE75" i="8"/>
  <c r="CE76" i="8"/>
  <c r="CE77" i="8"/>
  <c r="CE78" i="8"/>
  <c r="CE79" i="8"/>
  <c r="CE80" i="8"/>
  <c r="CE81" i="8"/>
  <c r="CE82" i="8"/>
  <c r="CE83" i="8"/>
  <c r="CE84" i="8"/>
  <c r="CE85" i="8"/>
  <c r="CE86" i="8"/>
  <c r="CE87" i="8"/>
  <c r="CE88" i="8"/>
  <c r="CE89" i="8"/>
  <c r="CE90" i="8"/>
  <c r="CE91" i="8"/>
  <c r="CE92" i="8"/>
  <c r="CE93" i="8"/>
  <c r="CE94" i="8"/>
  <c r="CE95" i="8"/>
  <c r="CE96" i="8"/>
  <c r="CE97" i="8"/>
  <c r="CE98" i="8"/>
  <c r="CE99" i="8"/>
  <c r="CE100" i="8"/>
  <c r="CE101" i="8"/>
  <c r="CE102" i="8"/>
  <c r="CE103" i="8"/>
  <c r="CE104" i="8"/>
  <c r="CE105" i="8"/>
  <c r="CE106" i="8"/>
  <c r="CE108" i="8"/>
  <c r="CE109" i="8"/>
  <c r="CE110" i="8"/>
  <c r="CE111" i="8"/>
  <c r="CE114" i="8"/>
  <c r="CE115" i="8"/>
  <c r="CE116" i="8"/>
  <c r="CE117" i="8"/>
  <c r="CE118" i="8"/>
  <c r="CE119" i="8"/>
  <c r="CE120" i="8"/>
  <c r="CE121" i="8"/>
  <c r="CE122" i="8"/>
  <c r="CE123" i="8"/>
  <c r="CE125" i="8"/>
  <c r="CE126" i="8"/>
  <c r="CE127" i="8"/>
  <c r="CE128" i="8"/>
  <c r="CE129" i="8"/>
  <c r="CE130" i="8"/>
  <c r="CE131" i="8"/>
  <c r="CE132" i="8"/>
  <c r="CE133" i="8"/>
  <c r="CE134" i="8"/>
  <c r="CE135" i="8"/>
  <c r="CE136" i="8"/>
  <c r="CE137" i="8"/>
  <c r="CE138" i="8"/>
  <c r="CE139" i="8"/>
  <c r="CE140" i="8"/>
  <c r="C90" i="13"/>
  <c r="C91" i="13"/>
  <c r="B93" i="13"/>
  <c r="C93" i="13"/>
  <c r="C92" i="13"/>
  <c r="C94" i="13"/>
  <c r="B92" i="13"/>
  <c r="B94" i="13"/>
  <c r="F83" i="13"/>
  <c r="E83" i="13"/>
  <c r="CD210" i="8"/>
  <c r="CD243" i="8"/>
  <c r="CD260" i="8"/>
  <c r="CD251" i="8"/>
  <c r="CD145" i="8"/>
  <c r="CD146" i="8"/>
  <c r="CD147" i="8"/>
  <c r="CD148" i="8"/>
  <c r="CD149" i="8"/>
  <c r="CD150" i="8"/>
  <c r="CD151" i="8"/>
  <c r="CD152" i="8"/>
  <c r="CD153" i="8"/>
  <c r="CD154" i="8"/>
  <c r="CD155" i="8"/>
  <c r="CD156" i="8"/>
  <c r="CD157" i="8"/>
  <c r="CD158" i="8"/>
  <c r="CD159" i="8"/>
  <c r="CD160" i="8"/>
  <c r="CD161" i="8"/>
  <c r="CD162" i="8"/>
  <c r="CD163" i="8"/>
  <c r="CD164" i="8"/>
  <c r="CD165" i="8"/>
  <c r="CD166" i="8"/>
  <c r="CD167" i="8"/>
  <c r="CD168" i="8"/>
  <c r="CD169" i="8"/>
  <c r="CD170" i="8"/>
  <c r="CD171" i="8"/>
  <c r="CD172" i="8"/>
  <c r="CD173" i="8"/>
  <c r="CD174" i="8"/>
  <c r="CD175" i="8"/>
  <c r="CD176" i="8"/>
  <c r="CD177" i="8"/>
  <c r="CD178" i="8"/>
  <c r="CD179" i="8"/>
  <c r="CD180" i="8"/>
  <c r="CD181" i="8"/>
  <c r="CD182" i="8"/>
  <c r="CD183" i="8"/>
  <c r="CD184" i="8"/>
  <c r="CD185" i="8"/>
  <c r="CD186" i="8"/>
  <c r="CD187" i="8"/>
  <c r="CD188" i="8"/>
  <c r="CD189" i="8"/>
  <c r="CD190" i="8"/>
  <c r="CD191" i="8"/>
  <c r="CD192" i="8"/>
  <c r="CD193" i="8"/>
  <c r="CD194" i="8"/>
  <c r="CD195" i="8"/>
  <c r="CD196" i="8"/>
  <c r="CD197" i="8"/>
  <c r="CD198" i="8"/>
  <c r="CD199" i="8"/>
  <c r="CD200" i="8"/>
  <c r="CD201" i="8"/>
  <c r="CD202" i="8"/>
  <c r="CD203" i="8"/>
  <c r="CD204" i="8"/>
  <c r="CD205" i="8"/>
  <c r="CD206" i="8"/>
  <c r="CD207" i="8"/>
  <c r="CD208" i="8"/>
  <c r="CD209" i="8"/>
  <c r="CD211" i="8"/>
  <c r="CD212" i="8"/>
  <c r="CD213" i="8"/>
  <c r="CD214" i="8"/>
  <c r="CD215" i="8"/>
  <c r="CD216" i="8"/>
  <c r="CD217" i="8"/>
  <c r="CD218" i="8"/>
  <c r="CD219" i="8"/>
  <c r="CD220" i="8"/>
  <c r="CD221" i="8"/>
  <c r="CD222" i="8"/>
  <c r="CD223" i="8"/>
  <c r="CD224" i="8"/>
  <c r="CD225" i="8"/>
  <c r="CD226" i="8"/>
  <c r="CD227" i="8"/>
  <c r="CD228" i="8"/>
  <c r="CD229" i="8"/>
  <c r="CD230" i="8"/>
  <c r="CD231" i="8"/>
  <c r="CD232" i="8"/>
  <c r="CD233" i="8"/>
  <c r="CD234" i="8"/>
  <c r="CD235" i="8"/>
  <c r="CD236" i="8"/>
  <c r="CD237" i="8"/>
  <c r="CD238" i="8"/>
  <c r="CD239" i="8"/>
  <c r="CD240" i="8"/>
  <c r="CD241" i="8"/>
  <c r="CD242" i="8"/>
  <c r="CD244" i="8"/>
  <c r="CD245" i="8"/>
  <c r="CD246" i="8"/>
  <c r="CD247" i="8"/>
  <c r="CD248" i="8"/>
  <c r="CD249" i="8"/>
  <c r="CD250" i="8"/>
  <c r="CD252" i="8"/>
  <c r="CD253" i="8"/>
  <c r="CD254" i="8"/>
  <c r="CD255" i="8"/>
  <c r="CD256" i="8"/>
  <c r="CD257" i="8"/>
  <c r="CD258" i="8"/>
  <c r="CD259" i="8"/>
  <c r="CD261" i="8"/>
  <c r="CD262" i="8"/>
  <c r="CD263" i="8"/>
  <c r="CD264" i="8"/>
  <c r="CD265" i="8"/>
  <c r="CD266" i="8"/>
  <c r="CD267" i="8"/>
  <c r="CD268" i="8"/>
  <c r="CD269" i="8"/>
  <c r="CD270" i="8"/>
  <c r="CD271" i="8"/>
  <c r="CD272" i="8"/>
  <c r="CD273" i="8"/>
  <c r="CD274" i="8"/>
  <c r="CD275" i="8"/>
  <c r="CD276" i="8"/>
  <c r="J84" i="13"/>
  <c r="J85" i="13"/>
  <c r="CE244" i="8"/>
  <c r="K87" i="13"/>
  <c r="J87" i="13"/>
  <c r="J86" i="13"/>
  <c r="J88" i="13"/>
  <c r="CE243" i="8"/>
  <c r="K86" i="13"/>
  <c r="K88" i="13"/>
  <c r="K89" i="13"/>
  <c r="CE210" i="8"/>
  <c r="CE260" i="8"/>
  <c r="CE251" i="8"/>
  <c r="CE145" i="8"/>
  <c r="CE146" i="8"/>
  <c r="CE147" i="8"/>
  <c r="CE148" i="8"/>
  <c r="CE149" i="8"/>
  <c r="CE150" i="8"/>
  <c r="CE151" i="8"/>
  <c r="CE152" i="8"/>
  <c r="CE153" i="8"/>
  <c r="CE154" i="8"/>
  <c r="CE155" i="8"/>
  <c r="CE156" i="8"/>
  <c r="CE157" i="8"/>
  <c r="CE158" i="8"/>
  <c r="CE159" i="8"/>
  <c r="CE160" i="8"/>
  <c r="CE161" i="8"/>
  <c r="CE162" i="8"/>
  <c r="CE163" i="8"/>
  <c r="CE164" i="8"/>
  <c r="CE165" i="8"/>
  <c r="CE166" i="8"/>
  <c r="CE167" i="8"/>
  <c r="CE168" i="8"/>
  <c r="CE169" i="8"/>
  <c r="CE170" i="8"/>
  <c r="CE171" i="8"/>
  <c r="CE172" i="8"/>
  <c r="CE173" i="8"/>
  <c r="CE174" i="8"/>
  <c r="CE175" i="8"/>
  <c r="CE176" i="8"/>
  <c r="CE177" i="8"/>
  <c r="CE178" i="8"/>
  <c r="CE179" i="8"/>
  <c r="CE180" i="8"/>
  <c r="CE181" i="8"/>
  <c r="CE182" i="8"/>
  <c r="CE183" i="8"/>
  <c r="CE184" i="8"/>
  <c r="CE185" i="8"/>
  <c r="CE186" i="8"/>
  <c r="CE187" i="8"/>
  <c r="CE188" i="8"/>
  <c r="CE189" i="8"/>
  <c r="CE190" i="8"/>
  <c r="CE191" i="8"/>
  <c r="CE192" i="8"/>
  <c r="CE193" i="8"/>
  <c r="CE194" i="8"/>
  <c r="CE195" i="8"/>
  <c r="CE196" i="8"/>
  <c r="CE197" i="8"/>
  <c r="CE198" i="8"/>
  <c r="CE199" i="8"/>
  <c r="CE200" i="8"/>
  <c r="CE201" i="8"/>
  <c r="CE202" i="8"/>
  <c r="CE203" i="8"/>
  <c r="CE204" i="8"/>
  <c r="CE205" i="8"/>
  <c r="CE206" i="8"/>
  <c r="CE207" i="8"/>
  <c r="CE208" i="8"/>
  <c r="CE209" i="8"/>
  <c r="CE211" i="8"/>
  <c r="CE212" i="8"/>
  <c r="CE213" i="8"/>
  <c r="CE214" i="8"/>
  <c r="CE215" i="8"/>
  <c r="CE216" i="8"/>
  <c r="CE217" i="8"/>
  <c r="CE218" i="8"/>
  <c r="CE219" i="8"/>
  <c r="CE220" i="8"/>
  <c r="CE221" i="8"/>
  <c r="CE222" i="8"/>
  <c r="CE223" i="8"/>
  <c r="CE224" i="8"/>
  <c r="CE225" i="8"/>
  <c r="CE226" i="8"/>
  <c r="CE227" i="8"/>
  <c r="CE228" i="8"/>
  <c r="CE229" i="8"/>
  <c r="CE230" i="8"/>
  <c r="CE231" i="8"/>
  <c r="CE232" i="8"/>
  <c r="CE233" i="8"/>
  <c r="CE234" i="8"/>
  <c r="CE235" i="8"/>
  <c r="CE236" i="8"/>
  <c r="CE237" i="8"/>
  <c r="CE238" i="8"/>
  <c r="CE239" i="8"/>
  <c r="CE240" i="8"/>
  <c r="CE241" i="8"/>
  <c r="CE242" i="8"/>
  <c r="CE245" i="8"/>
  <c r="CE246" i="8"/>
  <c r="CE247" i="8"/>
  <c r="CE248" i="8"/>
  <c r="CE249" i="8"/>
  <c r="CE250" i="8"/>
  <c r="CE252" i="8"/>
  <c r="CE253" i="8"/>
  <c r="CE254" i="8"/>
  <c r="CE255" i="8"/>
  <c r="CE256" i="8"/>
  <c r="CE257" i="8"/>
  <c r="CE258" i="8"/>
  <c r="CE259" i="8"/>
  <c r="CE261" i="8"/>
  <c r="CE262" i="8"/>
  <c r="CE263" i="8"/>
  <c r="CE264" i="8"/>
  <c r="CE265" i="8"/>
  <c r="CE266" i="8"/>
  <c r="CE267" i="8"/>
  <c r="CE268" i="8"/>
  <c r="CE269" i="8"/>
  <c r="CE270" i="8"/>
  <c r="CE271" i="8"/>
  <c r="CE272" i="8"/>
  <c r="CE273" i="8"/>
  <c r="CE274" i="8"/>
  <c r="CE275" i="8"/>
  <c r="CE276" i="8"/>
  <c r="K90" i="13"/>
  <c r="K91" i="13"/>
  <c r="J93" i="13"/>
  <c r="K93" i="13"/>
  <c r="K92" i="13"/>
  <c r="K94" i="13"/>
  <c r="J92" i="13"/>
  <c r="J94" i="13"/>
  <c r="N83" i="13"/>
  <c r="M83" i="13"/>
  <c r="A97" i="13"/>
  <c r="I97" i="13"/>
  <c r="CR74" i="8"/>
  <c r="CR107" i="8"/>
  <c r="CR124" i="8"/>
  <c r="CR115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R62" i="8"/>
  <c r="CR63" i="8"/>
  <c r="CR64" i="8"/>
  <c r="CR65" i="8"/>
  <c r="CR66" i="8"/>
  <c r="CR67" i="8"/>
  <c r="CR68" i="8"/>
  <c r="CR69" i="8"/>
  <c r="CR70" i="8"/>
  <c r="CR71" i="8"/>
  <c r="CR72" i="8"/>
  <c r="CR73" i="8"/>
  <c r="CR75" i="8"/>
  <c r="CR76" i="8"/>
  <c r="CR77" i="8"/>
  <c r="CR78" i="8"/>
  <c r="CR79" i="8"/>
  <c r="CR80" i="8"/>
  <c r="CR81" i="8"/>
  <c r="CR82" i="8"/>
  <c r="CR83" i="8"/>
  <c r="CR84" i="8"/>
  <c r="CR85" i="8"/>
  <c r="CR86" i="8"/>
  <c r="CR87" i="8"/>
  <c r="CR88" i="8"/>
  <c r="CR89" i="8"/>
  <c r="CR90" i="8"/>
  <c r="CR91" i="8"/>
  <c r="CR92" i="8"/>
  <c r="CR93" i="8"/>
  <c r="CR94" i="8"/>
  <c r="CR95" i="8"/>
  <c r="CR96" i="8"/>
  <c r="CR97" i="8"/>
  <c r="CR98" i="8"/>
  <c r="CR99" i="8"/>
  <c r="CR100" i="8"/>
  <c r="CR101" i="8"/>
  <c r="CR102" i="8"/>
  <c r="CR103" i="8"/>
  <c r="CR104" i="8"/>
  <c r="CR105" i="8"/>
  <c r="CR106" i="8"/>
  <c r="CR108" i="8"/>
  <c r="CR109" i="8"/>
  <c r="CR110" i="8"/>
  <c r="CR111" i="8"/>
  <c r="CR112" i="8"/>
  <c r="CR113" i="8"/>
  <c r="CR114" i="8"/>
  <c r="CR116" i="8"/>
  <c r="CR117" i="8"/>
  <c r="CR118" i="8"/>
  <c r="CR119" i="8"/>
  <c r="CR120" i="8"/>
  <c r="CR121" i="8"/>
  <c r="CR122" i="8"/>
  <c r="CR123" i="8"/>
  <c r="CR125" i="8"/>
  <c r="CR126" i="8"/>
  <c r="CR127" i="8"/>
  <c r="CR128" i="8"/>
  <c r="CR129" i="8"/>
  <c r="CR130" i="8"/>
  <c r="CR131" i="8"/>
  <c r="CR132" i="8"/>
  <c r="CR133" i="8"/>
  <c r="CR134" i="8"/>
  <c r="CR135" i="8"/>
  <c r="CR136" i="8"/>
  <c r="CR137" i="8"/>
  <c r="CR138" i="8"/>
  <c r="CR139" i="8"/>
  <c r="CR140" i="8"/>
  <c r="B100" i="13"/>
  <c r="B101" i="13"/>
  <c r="CS115" i="8"/>
  <c r="C103" i="13"/>
  <c r="B103" i="13"/>
  <c r="B102" i="13"/>
  <c r="B104" i="13"/>
  <c r="CS114" i="8"/>
  <c r="C102" i="13"/>
  <c r="C104" i="13"/>
  <c r="C105" i="13"/>
  <c r="CS74" i="8"/>
  <c r="CS107" i="8"/>
  <c r="CS124" i="8"/>
  <c r="CS9" i="8"/>
  <c r="CS10" i="8"/>
  <c r="CS11" i="8"/>
  <c r="CS12" i="8"/>
  <c r="CS13" i="8"/>
  <c r="CS14" i="8"/>
  <c r="CS15" i="8"/>
  <c r="CS16" i="8"/>
  <c r="CS17" i="8"/>
  <c r="CS18" i="8"/>
  <c r="CS19" i="8"/>
  <c r="CS20" i="8"/>
  <c r="CS21" i="8"/>
  <c r="CS22" i="8"/>
  <c r="CS23" i="8"/>
  <c r="CS24" i="8"/>
  <c r="CS25" i="8"/>
  <c r="CS26" i="8"/>
  <c r="CS27" i="8"/>
  <c r="CS28" i="8"/>
  <c r="CS29" i="8"/>
  <c r="CS30" i="8"/>
  <c r="CS31" i="8"/>
  <c r="CS32" i="8"/>
  <c r="CS33" i="8"/>
  <c r="CS34" i="8"/>
  <c r="CS35" i="8"/>
  <c r="CS36" i="8"/>
  <c r="CS37" i="8"/>
  <c r="CS38" i="8"/>
  <c r="CS39" i="8"/>
  <c r="CS40" i="8"/>
  <c r="CS41" i="8"/>
  <c r="CS42" i="8"/>
  <c r="CS43" i="8"/>
  <c r="CS44" i="8"/>
  <c r="CS45" i="8"/>
  <c r="CS46" i="8"/>
  <c r="CS47" i="8"/>
  <c r="CS48" i="8"/>
  <c r="CS49" i="8"/>
  <c r="CS50" i="8"/>
  <c r="CS51" i="8"/>
  <c r="CS52" i="8"/>
  <c r="CS53" i="8"/>
  <c r="CS54" i="8"/>
  <c r="CS55" i="8"/>
  <c r="CS56" i="8"/>
  <c r="CS57" i="8"/>
  <c r="CS58" i="8"/>
  <c r="CS59" i="8"/>
  <c r="CS60" i="8"/>
  <c r="CS61" i="8"/>
  <c r="CS62" i="8"/>
  <c r="CS63" i="8"/>
  <c r="CS64" i="8"/>
  <c r="CS65" i="8"/>
  <c r="CS66" i="8"/>
  <c r="CS67" i="8"/>
  <c r="CS68" i="8"/>
  <c r="CS69" i="8"/>
  <c r="CS70" i="8"/>
  <c r="CS71" i="8"/>
  <c r="CS72" i="8"/>
  <c r="CS73" i="8"/>
  <c r="CS75" i="8"/>
  <c r="CS76" i="8"/>
  <c r="CS77" i="8"/>
  <c r="CS78" i="8"/>
  <c r="CS79" i="8"/>
  <c r="CS80" i="8"/>
  <c r="CS81" i="8"/>
  <c r="CS82" i="8"/>
  <c r="CS83" i="8"/>
  <c r="CS84" i="8"/>
  <c r="CS85" i="8"/>
  <c r="CS86" i="8"/>
  <c r="CS87" i="8"/>
  <c r="CS88" i="8"/>
  <c r="CS89" i="8"/>
  <c r="CS90" i="8"/>
  <c r="CS91" i="8"/>
  <c r="CS92" i="8"/>
  <c r="CS93" i="8"/>
  <c r="CS94" i="8"/>
  <c r="CS95" i="8"/>
  <c r="CS96" i="8"/>
  <c r="CS97" i="8"/>
  <c r="CS98" i="8"/>
  <c r="CS99" i="8"/>
  <c r="CS100" i="8"/>
  <c r="CS101" i="8"/>
  <c r="CS102" i="8"/>
  <c r="CS103" i="8"/>
  <c r="CS104" i="8"/>
  <c r="CS105" i="8"/>
  <c r="CS106" i="8"/>
  <c r="CS108" i="8"/>
  <c r="CS109" i="8"/>
  <c r="CS110" i="8"/>
  <c r="CS111" i="8"/>
  <c r="CS112" i="8"/>
  <c r="CS113" i="8"/>
  <c r="CS116" i="8"/>
  <c r="CS117" i="8"/>
  <c r="CS118" i="8"/>
  <c r="CS119" i="8"/>
  <c r="CS120" i="8"/>
  <c r="CS121" i="8"/>
  <c r="CS122" i="8"/>
  <c r="CS123" i="8"/>
  <c r="CS125" i="8"/>
  <c r="CS126" i="8"/>
  <c r="CS127" i="8"/>
  <c r="CS128" i="8"/>
  <c r="CS129" i="8"/>
  <c r="CS130" i="8"/>
  <c r="CS131" i="8"/>
  <c r="CS132" i="8"/>
  <c r="CS133" i="8"/>
  <c r="CS134" i="8"/>
  <c r="CS135" i="8"/>
  <c r="CS136" i="8"/>
  <c r="CS137" i="8"/>
  <c r="CS138" i="8"/>
  <c r="CS139" i="8"/>
  <c r="CS140" i="8"/>
  <c r="C106" i="13"/>
  <c r="C107" i="13"/>
  <c r="B109" i="13"/>
  <c r="C109" i="13"/>
  <c r="C108" i="13"/>
  <c r="C110" i="13"/>
  <c r="B108" i="13"/>
  <c r="B110" i="13"/>
  <c r="F99" i="13"/>
  <c r="E99" i="13"/>
  <c r="CR210" i="8"/>
  <c r="CR243" i="8"/>
  <c r="CR226" i="8"/>
  <c r="CR234" i="8"/>
  <c r="CR145" i="8"/>
  <c r="CR146" i="8"/>
  <c r="CR147" i="8"/>
  <c r="CR148" i="8"/>
  <c r="CR149" i="8"/>
  <c r="CR150" i="8"/>
  <c r="CR151" i="8"/>
  <c r="CR152" i="8"/>
  <c r="CR153" i="8"/>
  <c r="CR154" i="8"/>
  <c r="CR155" i="8"/>
  <c r="CR156" i="8"/>
  <c r="CR157" i="8"/>
  <c r="CR158" i="8"/>
  <c r="CR159" i="8"/>
  <c r="CR160" i="8"/>
  <c r="CR161" i="8"/>
  <c r="CR162" i="8"/>
  <c r="CR163" i="8"/>
  <c r="CR164" i="8"/>
  <c r="CR165" i="8"/>
  <c r="CR166" i="8"/>
  <c r="CR167" i="8"/>
  <c r="CR168" i="8"/>
  <c r="CR169" i="8"/>
  <c r="CR170" i="8"/>
  <c r="CR171" i="8"/>
  <c r="CR172" i="8"/>
  <c r="CR173" i="8"/>
  <c r="CR174" i="8"/>
  <c r="CR175" i="8"/>
  <c r="CR176" i="8"/>
  <c r="CR177" i="8"/>
  <c r="CR178" i="8"/>
  <c r="CR179" i="8"/>
  <c r="CR180" i="8"/>
  <c r="CR181" i="8"/>
  <c r="CR182" i="8"/>
  <c r="CR183" i="8"/>
  <c r="CR184" i="8"/>
  <c r="CR185" i="8"/>
  <c r="CR186" i="8"/>
  <c r="CR187" i="8"/>
  <c r="CR188" i="8"/>
  <c r="CR189" i="8"/>
  <c r="CR190" i="8"/>
  <c r="CR191" i="8"/>
  <c r="CR192" i="8"/>
  <c r="CR193" i="8"/>
  <c r="CR194" i="8"/>
  <c r="CR195" i="8"/>
  <c r="CR196" i="8"/>
  <c r="CR197" i="8"/>
  <c r="CR198" i="8"/>
  <c r="CR199" i="8"/>
  <c r="CR200" i="8"/>
  <c r="CR201" i="8"/>
  <c r="CR202" i="8"/>
  <c r="CR203" i="8"/>
  <c r="CR204" i="8"/>
  <c r="CR205" i="8"/>
  <c r="CR206" i="8"/>
  <c r="CR207" i="8"/>
  <c r="CR208" i="8"/>
  <c r="CR209" i="8"/>
  <c r="CR211" i="8"/>
  <c r="CR212" i="8"/>
  <c r="CR213" i="8"/>
  <c r="CR214" i="8"/>
  <c r="CR215" i="8"/>
  <c r="CR216" i="8"/>
  <c r="CR217" i="8"/>
  <c r="CR218" i="8"/>
  <c r="CR219" i="8"/>
  <c r="CR220" i="8"/>
  <c r="CR221" i="8"/>
  <c r="CR222" i="8"/>
  <c r="CR223" i="8"/>
  <c r="CR224" i="8"/>
  <c r="CR225" i="8"/>
  <c r="CR227" i="8"/>
  <c r="CR228" i="8"/>
  <c r="CR229" i="8"/>
  <c r="CR230" i="8"/>
  <c r="CR231" i="8"/>
  <c r="CR232" i="8"/>
  <c r="CR233" i="8"/>
  <c r="CR235" i="8"/>
  <c r="CR236" i="8"/>
  <c r="CR237" i="8"/>
  <c r="CR238" i="8"/>
  <c r="CR239" i="8"/>
  <c r="CR240" i="8"/>
  <c r="CR241" i="8"/>
  <c r="CR242" i="8"/>
  <c r="CR244" i="8"/>
  <c r="CR245" i="8"/>
  <c r="CR246" i="8"/>
  <c r="CR247" i="8"/>
  <c r="CR248" i="8"/>
  <c r="CR249" i="8"/>
  <c r="CR250" i="8"/>
  <c r="CR251" i="8"/>
  <c r="CR252" i="8"/>
  <c r="CR253" i="8"/>
  <c r="CR254" i="8"/>
  <c r="CR255" i="8"/>
  <c r="CR256" i="8"/>
  <c r="CR257" i="8"/>
  <c r="CR258" i="8"/>
  <c r="CR259" i="8"/>
  <c r="CR260" i="8"/>
  <c r="CR261" i="8"/>
  <c r="CR262" i="8"/>
  <c r="CR263" i="8"/>
  <c r="CR264" i="8"/>
  <c r="CR265" i="8"/>
  <c r="CR266" i="8"/>
  <c r="CR267" i="8"/>
  <c r="CR268" i="8"/>
  <c r="CR269" i="8"/>
  <c r="CR270" i="8"/>
  <c r="CR271" i="8"/>
  <c r="CR272" i="8"/>
  <c r="CR273" i="8"/>
  <c r="CR274" i="8"/>
  <c r="CR275" i="8"/>
  <c r="CR276" i="8"/>
  <c r="J100" i="13"/>
  <c r="J101" i="13"/>
  <c r="CS233" i="8"/>
  <c r="K103" i="13"/>
  <c r="J103" i="13"/>
  <c r="J102" i="13"/>
  <c r="J104" i="13"/>
  <c r="CS232" i="8"/>
  <c r="K102" i="13"/>
  <c r="K104" i="13"/>
  <c r="K105" i="13"/>
  <c r="CS210" i="8"/>
  <c r="CS243" i="8"/>
  <c r="CS226" i="8"/>
  <c r="CS145" i="8"/>
  <c r="CS146" i="8"/>
  <c r="CS147" i="8"/>
  <c r="CS148" i="8"/>
  <c r="CS149" i="8"/>
  <c r="CS150" i="8"/>
  <c r="CS151" i="8"/>
  <c r="CS152" i="8"/>
  <c r="CS153" i="8"/>
  <c r="CS154" i="8"/>
  <c r="CS155" i="8"/>
  <c r="CS156" i="8"/>
  <c r="CS157" i="8"/>
  <c r="CS158" i="8"/>
  <c r="CS159" i="8"/>
  <c r="CS160" i="8"/>
  <c r="CS161" i="8"/>
  <c r="CS162" i="8"/>
  <c r="CS163" i="8"/>
  <c r="CS164" i="8"/>
  <c r="CS165" i="8"/>
  <c r="CS166" i="8"/>
  <c r="CS167" i="8"/>
  <c r="CS168" i="8"/>
  <c r="CS169" i="8"/>
  <c r="CS170" i="8"/>
  <c r="CS171" i="8"/>
  <c r="CS172" i="8"/>
  <c r="CS173" i="8"/>
  <c r="CS174" i="8"/>
  <c r="CS175" i="8"/>
  <c r="CS176" i="8"/>
  <c r="CS177" i="8"/>
  <c r="CS178" i="8"/>
  <c r="CS179" i="8"/>
  <c r="CS180" i="8"/>
  <c r="CS181" i="8"/>
  <c r="CS182" i="8"/>
  <c r="CS183" i="8"/>
  <c r="CS184" i="8"/>
  <c r="CS185" i="8"/>
  <c r="CS186" i="8"/>
  <c r="CS187" i="8"/>
  <c r="CS188" i="8"/>
  <c r="CS189" i="8"/>
  <c r="CS190" i="8"/>
  <c r="CS191" i="8"/>
  <c r="CS192" i="8"/>
  <c r="CS193" i="8"/>
  <c r="CS194" i="8"/>
  <c r="CS195" i="8"/>
  <c r="CS196" i="8"/>
  <c r="CS197" i="8"/>
  <c r="CS198" i="8"/>
  <c r="CS199" i="8"/>
  <c r="CS200" i="8"/>
  <c r="CS201" i="8"/>
  <c r="CS202" i="8"/>
  <c r="CS203" i="8"/>
  <c r="CS204" i="8"/>
  <c r="CS205" i="8"/>
  <c r="CS206" i="8"/>
  <c r="CS207" i="8"/>
  <c r="CS208" i="8"/>
  <c r="CS209" i="8"/>
  <c r="CS211" i="8"/>
  <c r="CS212" i="8"/>
  <c r="CS213" i="8"/>
  <c r="CS214" i="8"/>
  <c r="CS215" i="8"/>
  <c r="CS216" i="8"/>
  <c r="CS217" i="8"/>
  <c r="CS218" i="8"/>
  <c r="CS219" i="8"/>
  <c r="CS220" i="8"/>
  <c r="CS221" i="8"/>
  <c r="CS222" i="8"/>
  <c r="CS223" i="8"/>
  <c r="CS224" i="8"/>
  <c r="CS225" i="8"/>
  <c r="CS227" i="8"/>
  <c r="CS228" i="8"/>
  <c r="CS229" i="8"/>
  <c r="CS230" i="8"/>
  <c r="CS231" i="8"/>
  <c r="CS234" i="8"/>
  <c r="CS235" i="8"/>
  <c r="CS236" i="8"/>
  <c r="CS237" i="8"/>
  <c r="CS238" i="8"/>
  <c r="CS239" i="8"/>
  <c r="CS240" i="8"/>
  <c r="CS241" i="8"/>
  <c r="CS242" i="8"/>
  <c r="CS244" i="8"/>
  <c r="CS245" i="8"/>
  <c r="CS246" i="8"/>
  <c r="CS247" i="8"/>
  <c r="CS248" i="8"/>
  <c r="CS249" i="8"/>
  <c r="CS250" i="8"/>
  <c r="CS251" i="8"/>
  <c r="CS252" i="8"/>
  <c r="CS253" i="8"/>
  <c r="CS254" i="8"/>
  <c r="CS255" i="8"/>
  <c r="CS256" i="8"/>
  <c r="CS257" i="8"/>
  <c r="CS258" i="8"/>
  <c r="CS259" i="8"/>
  <c r="CS260" i="8"/>
  <c r="CS261" i="8"/>
  <c r="CS262" i="8"/>
  <c r="CS263" i="8"/>
  <c r="CS264" i="8"/>
  <c r="CS265" i="8"/>
  <c r="CS266" i="8"/>
  <c r="CS267" i="8"/>
  <c r="CS268" i="8"/>
  <c r="CS269" i="8"/>
  <c r="CS270" i="8"/>
  <c r="CS271" i="8"/>
  <c r="CS272" i="8"/>
  <c r="CS273" i="8"/>
  <c r="CS274" i="8"/>
  <c r="CS275" i="8"/>
  <c r="CS276" i="8"/>
  <c r="K106" i="13"/>
  <c r="K107" i="13"/>
  <c r="J109" i="13"/>
  <c r="K109" i="13"/>
  <c r="K108" i="13"/>
  <c r="K110" i="13"/>
  <c r="J108" i="13"/>
  <c r="J110" i="13"/>
  <c r="N99" i="13"/>
  <c r="M99" i="13"/>
  <c r="I10" i="11"/>
  <c r="D25" i="11"/>
  <c r="AB6" i="3"/>
  <c r="AF6" i="3"/>
  <c r="AB7" i="3"/>
  <c r="AF7" i="3"/>
  <c r="AB8" i="3"/>
  <c r="AF8" i="3"/>
  <c r="AB9" i="3"/>
  <c r="AF9" i="3"/>
  <c r="AB10" i="3"/>
  <c r="AF10" i="3"/>
  <c r="AB11" i="3"/>
  <c r="AF11" i="3"/>
  <c r="AB12" i="3"/>
  <c r="AF12" i="3"/>
  <c r="C13" i="3"/>
  <c r="AB13" i="3"/>
  <c r="AF13" i="3"/>
  <c r="C14" i="3"/>
  <c r="C15" i="3"/>
  <c r="AB15" i="3"/>
  <c r="S15" i="3"/>
  <c r="AF15" i="3"/>
  <c r="S16" i="3"/>
  <c r="AB16" i="3"/>
  <c r="S17" i="3"/>
  <c r="E21" i="3"/>
  <c r="E22" i="3"/>
  <c r="U22" i="3"/>
  <c r="AO32" i="3"/>
  <c r="AP32" i="3"/>
  <c r="AC35" i="3"/>
  <c r="AA35" i="3"/>
  <c r="Z35" i="3"/>
  <c r="AG35" i="3"/>
  <c r="AH35" i="3"/>
  <c r="AI35" i="3"/>
  <c r="AC36" i="3"/>
  <c r="AA36" i="3"/>
  <c r="Z36" i="3"/>
  <c r="AG36" i="3"/>
  <c r="AH36" i="3"/>
  <c r="AI36" i="3"/>
  <c r="AC37" i="3"/>
  <c r="AA37" i="3"/>
  <c r="Z37" i="3"/>
  <c r="AG37" i="3"/>
  <c r="AH37" i="3"/>
  <c r="AI37" i="3"/>
  <c r="AC38" i="3"/>
  <c r="AA38" i="3"/>
  <c r="Z38" i="3"/>
  <c r="AG38" i="3"/>
  <c r="AH38" i="3"/>
  <c r="AI38" i="3"/>
  <c r="AO38" i="3"/>
  <c r="AM38" i="3"/>
  <c r="AP38" i="3"/>
  <c r="AQ38" i="3"/>
  <c r="BI38" i="3"/>
  <c r="BJ38" i="3"/>
  <c r="AF39" i="3"/>
  <c r="AO39" i="3"/>
  <c r="AM39" i="3"/>
  <c r="AP39" i="3"/>
  <c r="AQ39" i="3"/>
  <c r="BI39" i="3"/>
  <c r="BJ39" i="3"/>
  <c r="AO40" i="3"/>
  <c r="AM40" i="3"/>
  <c r="AP40" i="3"/>
  <c r="BI40" i="3"/>
  <c r="BJ40" i="3"/>
  <c r="E41" i="3"/>
  <c r="U41" i="3"/>
  <c r="AQ41" i="3"/>
  <c r="BI41" i="3"/>
  <c r="BJ41" i="3"/>
  <c r="U42" i="3"/>
  <c r="AO42" i="3"/>
  <c r="AM42" i="3"/>
  <c r="AP42" i="3"/>
  <c r="BI42" i="3"/>
  <c r="BJ42" i="3"/>
  <c r="S43" i="3"/>
  <c r="X43" i="3"/>
  <c r="AO43" i="3"/>
  <c r="AM43" i="3"/>
  <c r="AP43" i="3"/>
  <c r="BI43" i="3"/>
  <c r="BJ43" i="3"/>
  <c r="AQ44" i="3"/>
  <c r="BI44" i="3"/>
  <c r="BJ44" i="3"/>
  <c r="AO45" i="3"/>
  <c r="AM45" i="3"/>
  <c r="AP45" i="3"/>
  <c r="BI45" i="3"/>
  <c r="BJ45" i="3"/>
  <c r="AO46" i="3"/>
  <c r="AM46" i="3"/>
  <c r="AP46" i="3"/>
  <c r="AQ46" i="3"/>
  <c r="BI46" i="3"/>
  <c r="BJ46" i="3"/>
  <c r="AO47" i="3"/>
  <c r="AM47" i="3"/>
  <c r="AP47" i="3"/>
  <c r="AQ47" i="3"/>
  <c r="BI47" i="3"/>
  <c r="BJ47" i="3"/>
  <c r="AK48" i="3"/>
  <c r="BI48" i="3"/>
  <c r="BJ48" i="3"/>
  <c r="BI49" i="3"/>
  <c r="BJ49" i="3"/>
  <c r="BI50" i="3"/>
  <c r="BJ50" i="3"/>
  <c r="S51" i="3"/>
  <c r="U51" i="3"/>
  <c r="BI51" i="3"/>
  <c r="BJ51" i="3"/>
  <c r="BI52" i="3"/>
  <c r="BJ52" i="3"/>
  <c r="BI53" i="3"/>
  <c r="BJ53" i="3"/>
  <c r="AP54" i="3"/>
  <c r="AQ54" i="3"/>
  <c r="AS54" i="3"/>
  <c r="AT54" i="3"/>
  <c r="BI54" i="3"/>
  <c r="BJ54" i="3"/>
  <c r="AP55" i="3"/>
  <c r="AQ55" i="3"/>
  <c r="AS55" i="3"/>
  <c r="AT55" i="3"/>
  <c r="BI55" i="3"/>
  <c r="BJ55" i="3"/>
  <c r="AP56" i="3"/>
  <c r="AQ56" i="3"/>
  <c r="AS56" i="3"/>
  <c r="AT56" i="3"/>
  <c r="BI56" i="3"/>
  <c r="BJ56" i="3"/>
  <c r="AP57" i="3"/>
  <c r="AQ57" i="3"/>
  <c r="AS57" i="3"/>
  <c r="AT57" i="3"/>
  <c r="BI57" i="3"/>
  <c r="BJ57" i="3"/>
  <c r="AP58" i="3"/>
  <c r="AQ58" i="3"/>
  <c r="AS58" i="3"/>
  <c r="AT58" i="3"/>
  <c r="BI58" i="3"/>
  <c r="BJ58" i="3"/>
  <c r="BI59" i="3"/>
  <c r="BJ59" i="3"/>
  <c r="BI60" i="3"/>
  <c r="BJ60" i="3"/>
  <c r="BI61" i="3"/>
  <c r="BJ61" i="3"/>
  <c r="BI62" i="3"/>
  <c r="BJ62" i="3"/>
  <c r="BI63" i="3"/>
  <c r="BJ63" i="3"/>
  <c r="BE64" i="3"/>
  <c r="BJ65" i="3"/>
  <c r="BJ64" i="3"/>
  <c r="BF64" i="3"/>
  <c r="BI64" i="3"/>
  <c r="BI65" i="3"/>
  <c r="BI66" i="3"/>
  <c r="BJ66" i="3"/>
  <c r="BI67" i="3"/>
  <c r="BJ67" i="3"/>
  <c r="BI68" i="3"/>
  <c r="BJ68" i="3"/>
  <c r="BI69" i="3"/>
  <c r="BJ69" i="3"/>
  <c r="BI70" i="3"/>
  <c r="BJ70" i="3"/>
  <c r="BI71" i="3"/>
  <c r="BJ71" i="3"/>
  <c r="C72" i="3"/>
  <c r="BI72" i="3"/>
  <c r="BJ72" i="3"/>
  <c r="BI73" i="3"/>
  <c r="BJ73" i="3"/>
  <c r="K74" i="3"/>
  <c r="BI74" i="3"/>
  <c r="BJ74" i="3"/>
  <c r="BI75" i="3"/>
  <c r="BJ75" i="3"/>
  <c r="BI76" i="3"/>
  <c r="BJ76" i="3"/>
  <c r="BI77" i="3"/>
  <c r="BJ77" i="3"/>
  <c r="BI78" i="3"/>
  <c r="BJ78" i="3"/>
  <c r="K79" i="3"/>
  <c r="BI79" i="3"/>
  <c r="BJ79" i="3"/>
  <c r="K80" i="3"/>
  <c r="BI80" i="3"/>
  <c r="BJ80" i="3"/>
  <c r="BI81" i="3"/>
  <c r="BJ81" i="3"/>
  <c r="BI82" i="3"/>
  <c r="BJ82" i="3"/>
  <c r="BI83" i="3"/>
  <c r="BJ83" i="3"/>
  <c r="BI84" i="3"/>
  <c r="BJ84" i="3"/>
  <c r="BI85" i="3"/>
  <c r="BJ85" i="3"/>
  <c r="BI86" i="3"/>
  <c r="BJ86" i="3"/>
  <c r="BI87" i="3"/>
  <c r="BJ87" i="3"/>
  <c r="BI88" i="3"/>
  <c r="BJ88" i="3"/>
  <c r="BI89" i="3"/>
  <c r="BJ89" i="3"/>
  <c r="E90" i="3"/>
  <c r="L90" i="3"/>
  <c r="BI90" i="3"/>
  <c r="BJ90" i="3"/>
  <c r="BI91" i="3"/>
  <c r="BJ91" i="3"/>
  <c r="BI92" i="3"/>
  <c r="BJ92" i="3"/>
  <c r="BI93" i="3"/>
  <c r="BJ93" i="3"/>
  <c r="BI94" i="3"/>
  <c r="BJ94" i="3"/>
  <c r="BI95" i="3"/>
  <c r="BJ95" i="3"/>
  <c r="K96" i="3"/>
  <c r="X3" i="4"/>
  <c r="E6" i="9"/>
  <c r="W4" i="4"/>
  <c r="C7" i="9"/>
  <c r="E7" i="9"/>
  <c r="X5" i="4"/>
  <c r="D7" i="9"/>
  <c r="W5" i="4"/>
  <c r="L25" i="9"/>
  <c r="M25" i="9"/>
  <c r="C46" i="9"/>
  <c r="N25" i="9"/>
  <c r="O25" i="9"/>
  <c r="P25" i="9"/>
  <c r="Y25" i="9"/>
  <c r="AA25" i="9"/>
  <c r="AJ25" i="9"/>
  <c r="G46" i="9"/>
  <c r="K26" i="9"/>
  <c r="L26" i="9"/>
  <c r="M26" i="9"/>
  <c r="N26" i="9"/>
  <c r="O26" i="9"/>
  <c r="P26" i="9"/>
  <c r="X26" i="9"/>
  <c r="Y26" i="9"/>
  <c r="AA26" i="9"/>
  <c r="AI26" i="9"/>
  <c r="AJ26" i="9"/>
  <c r="AK26" i="9"/>
  <c r="AL26" i="9"/>
  <c r="AM26" i="9"/>
  <c r="AN26" i="9"/>
  <c r="AW26" i="9"/>
  <c r="AY26" i="9"/>
  <c r="K27" i="9"/>
  <c r="L27" i="9"/>
  <c r="M27" i="9"/>
  <c r="N27" i="9"/>
  <c r="O27" i="9"/>
  <c r="P27" i="9"/>
  <c r="X27" i="9"/>
  <c r="Y27" i="9"/>
  <c r="AA27" i="9"/>
  <c r="AI27" i="9"/>
  <c r="AJ27" i="9"/>
  <c r="AK27" i="9"/>
  <c r="AL27" i="9"/>
  <c r="AM27" i="9"/>
  <c r="AN27" i="9"/>
  <c r="AV27" i="9"/>
  <c r="AW27" i="9"/>
  <c r="AY27" i="9"/>
  <c r="K28" i="9"/>
  <c r="L28" i="9"/>
  <c r="M28" i="9"/>
  <c r="N28" i="9"/>
  <c r="O28" i="9"/>
  <c r="P28" i="9"/>
  <c r="X28" i="9"/>
  <c r="Y28" i="9"/>
  <c r="AA28" i="9"/>
  <c r="AI28" i="9"/>
  <c r="AJ28" i="9"/>
  <c r="AK28" i="9"/>
  <c r="AL28" i="9"/>
  <c r="AM28" i="9"/>
  <c r="AN28" i="9"/>
  <c r="AV28" i="9"/>
  <c r="AW28" i="9"/>
  <c r="AY28" i="9"/>
  <c r="K29" i="9"/>
  <c r="L29" i="9"/>
  <c r="M29" i="9"/>
  <c r="N29" i="9"/>
  <c r="O29" i="9"/>
  <c r="P29" i="9"/>
  <c r="X29" i="9"/>
  <c r="Y29" i="9"/>
  <c r="AA29" i="9"/>
  <c r="AI29" i="9"/>
  <c r="AJ29" i="9"/>
  <c r="AK29" i="9"/>
  <c r="AL29" i="9"/>
  <c r="AM29" i="9"/>
  <c r="AN29" i="9"/>
  <c r="AV29" i="9"/>
  <c r="AW29" i="9"/>
  <c r="AY29" i="9"/>
  <c r="K30" i="9"/>
  <c r="L30" i="9"/>
  <c r="M30" i="9"/>
  <c r="N30" i="9"/>
  <c r="O30" i="9"/>
  <c r="P30" i="9"/>
  <c r="X30" i="9"/>
  <c r="Y30" i="9"/>
  <c r="AA30" i="9"/>
  <c r="AI30" i="9"/>
  <c r="AJ30" i="9"/>
  <c r="AK30" i="9"/>
  <c r="AL30" i="9"/>
  <c r="AM30" i="9"/>
  <c r="AN30" i="9"/>
  <c r="AV30" i="9"/>
  <c r="AW30" i="9"/>
  <c r="AY30" i="9"/>
  <c r="K31" i="9"/>
  <c r="L31" i="9"/>
  <c r="M31" i="9"/>
  <c r="N31" i="9"/>
  <c r="O31" i="9"/>
  <c r="P31" i="9"/>
  <c r="X31" i="9"/>
  <c r="Y31" i="9"/>
  <c r="AA31" i="9"/>
  <c r="AI31" i="9"/>
  <c r="AJ31" i="9"/>
  <c r="AK31" i="9"/>
  <c r="AL31" i="9"/>
  <c r="AM31" i="9"/>
  <c r="AN31" i="9"/>
  <c r="AV31" i="9"/>
  <c r="AW31" i="9"/>
  <c r="AY31" i="9"/>
  <c r="K32" i="9"/>
  <c r="L32" i="9"/>
  <c r="M32" i="9"/>
  <c r="N32" i="9"/>
  <c r="O32" i="9"/>
  <c r="P32" i="9"/>
  <c r="X32" i="9"/>
  <c r="Y32" i="9"/>
  <c r="AA32" i="9"/>
  <c r="AI32" i="9"/>
  <c r="AJ32" i="9"/>
  <c r="AK32" i="9"/>
  <c r="AL32" i="9"/>
  <c r="AM32" i="9"/>
  <c r="AN32" i="9"/>
  <c r="AV32" i="9"/>
  <c r="AW32" i="9"/>
  <c r="AY32" i="9"/>
  <c r="K33" i="9"/>
  <c r="L33" i="9"/>
  <c r="M33" i="9"/>
  <c r="N33" i="9"/>
  <c r="O33" i="9"/>
  <c r="P33" i="9"/>
  <c r="X33" i="9"/>
  <c r="Y33" i="9"/>
  <c r="AA33" i="9"/>
  <c r="AI33" i="9"/>
  <c r="AJ33" i="9"/>
  <c r="AK33" i="9"/>
  <c r="AL33" i="9"/>
  <c r="AM33" i="9"/>
  <c r="AN33" i="9"/>
  <c r="AV33" i="9"/>
  <c r="AW33" i="9"/>
  <c r="AY33" i="9"/>
  <c r="K34" i="9"/>
  <c r="L34" i="9"/>
  <c r="M34" i="9"/>
  <c r="N34" i="9"/>
  <c r="O34" i="9"/>
  <c r="P34" i="9"/>
  <c r="X34" i="9"/>
  <c r="Y34" i="9"/>
  <c r="AA34" i="9"/>
  <c r="AI34" i="9"/>
  <c r="AJ34" i="9"/>
  <c r="AK34" i="9"/>
  <c r="AL34" i="9"/>
  <c r="AM34" i="9"/>
  <c r="AN34" i="9"/>
  <c r="AV34" i="9"/>
  <c r="AW34" i="9"/>
  <c r="AY34" i="9"/>
  <c r="K35" i="9"/>
  <c r="L35" i="9"/>
  <c r="M35" i="9"/>
  <c r="N35" i="9"/>
  <c r="O35" i="9"/>
  <c r="P35" i="9"/>
  <c r="X35" i="9"/>
  <c r="Y35" i="9"/>
  <c r="AA35" i="9"/>
  <c r="AI35" i="9"/>
  <c r="AJ35" i="9"/>
  <c r="AK35" i="9"/>
  <c r="AL35" i="9"/>
  <c r="AM35" i="9"/>
  <c r="AN35" i="9"/>
  <c r="AV35" i="9"/>
  <c r="AW35" i="9"/>
  <c r="AY35" i="9"/>
  <c r="K36" i="9"/>
  <c r="L36" i="9"/>
  <c r="M36" i="9"/>
  <c r="N36" i="9"/>
  <c r="O36" i="9"/>
  <c r="P36" i="9"/>
  <c r="X36" i="9"/>
  <c r="Y36" i="9"/>
  <c r="AA36" i="9"/>
  <c r="AI36" i="9"/>
  <c r="AJ36" i="9"/>
  <c r="AK36" i="9"/>
  <c r="AL36" i="9"/>
  <c r="AM36" i="9"/>
  <c r="AN36" i="9"/>
  <c r="AV36" i="9"/>
  <c r="AW36" i="9"/>
  <c r="AY36" i="9"/>
  <c r="K37" i="9"/>
  <c r="L37" i="9"/>
  <c r="M37" i="9"/>
  <c r="N37" i="9"/>
  <c r="O37" i="9"/>
  <c r="P37" i="9"/>
  <c r="X37" i="9"/>
  <c r="Y37" i="9"/>
  <c r="AA37" i="9"/>
  <c r="AI37" i="9"/>
  <c r="AJ37" i="9"/>
  <c r="AK37" i="9"/>
  <c r="AL37" i="9"/>
  <c r="AM37" i="9"/>
  <c r="AN37" i="9"/>
  <c r="AV37" i="9"/>
  <c r="AW37" i="9"/>
  <c r="AY37" i="9"/>
  <c r="K38" i="9"/>
  <c r="L38" i="9"/>
  <c r="M38" i="9"/>
  <c r="N38" i="9"/>
  <c r="O38" i="9"/>
  <c r="P38" i="9"/>
  <c r="X38" i="9"/>
  <c r="Y38" i="9"/>
  <c r="AA38" i="9"/>
  <c r="AI38" i="9"/>
  <c r="AJ38" i="9"/>
  <c r="AK38" i="9"/>
  <c r="AL38" i="9"/>
  <c r="AM38" i="9"/>
  <c r="AN38" i="9"/>
  <c r="AV38" i="9"/>
  <c r="AW38" i="9"/>
  <c r="AY38" i="9"/>
  <c r="K39" i="9"/>
  <c r="L39" i="9"/>
  <c r="M39" i="9"/>
  <c r="N39" i="9"/>
  <c r="O39" i="9"/>
  <c r="P39" i="9"/>
  <c r="X39" i="9"/>
  <c r="Y39" i="9"/>
  <c r="AA39" i="9"/>
  <c r="AI39" i="9"/>
  <c r="AJ39" i="9"/>
  <c r="AK39" i="9"/>
  <c r="AL39" i="9"/>
  <c r="AM39" i="9"/>
  <c r="AN39" i="9"/>
  <c r="AV39" i="9"/>
  <c r="AW39" i="9"/>
  <c r="AY39" i="9"/>
  <c r="K40" i="9"/>
  <c r="L40" i="9"/>
  <c r="M40" i="9"/>
  <c r="N40" i="9"/>
  <c r="O40" i="9"/>
  <c r="P40" i="9"/>
  <c r="X40" i="9"/>
  <c r="Y40" i="9"/>
  <c r="AA40" i="9"/>
  <c r="AI40" i="9"/>
  <c r="AJ40" i="9"/>
  <c r="AK40" i="9"/>
  <c r="AL40" i="9"/>
  <c r="AM40" i="9"/>
  <c r="AN40" i="9"/>
  <c r="AV40" i="9"/>
  <c r="AW40" i="9"/>
  <c r="AY40" i="9"/>
  <c r="K41" i="9"/>
  <c r="L41" i="9"/>
  <c r="M41" i="9"/>
  <c r="N41" i="9"/>
  <c r="O41" i="9"/>
  <c r="P41" i="9"/>
  <c r="X41" i="9"/>
  <c r="Y41" i="9"/>
  <c r="AA41" i="9"/>
  <c r="AI41" i="9"/>
  <c r="AJ41" i="9"/>
  <c r="AK41" i="9"/>
  <c r="AL41" i="9"/>
  <c r="AM41" i="9"/>
  <c r="AN41" i="9"/>
  <c r="AV41" i="9"/>
  <c r="AW41" i="9"/>
  <c r="AY41" i="9"/>
  <c r="K42" i="9"/>
  <c r="L42" i="9"/>
  <c r="M42" i="9"/>
  <c r="N42" i="9"/>
  <c r="O42" i="9"/>
  <c r="P42" i="9"/>
  <c r="X42" i="9"/>
  <c r="Y42" i="9"/>
  <c r="AA42" i="9"/>
  <c r="AI42" i="9"/>
  <c r="AJ42" i="9"/>
  <c r="AK42" i="9"/>
  <c r="AL42" i="9"/>
  <c r="AM42" i="9"/>
  <c r="AN42" i="9"/>
  <c r="AV42" i="9"/>
  <c r="AW42" i="9"/>
  <c r="AY42" i="9"/>
  <c r="K43" i="9"/>
  <c r="L43" i="9"/>
  <c r="M43" i="9"/>
  <c r="N43" i="9"/>
  <c r="O43" i="9"/>
  <c r="P43" i="9"/>
  <c r="X43" i="9"/>
  <c r="Y43" i="9"/>
  <c r="AA43" i="9"/>
  <c r="AI43" i="9"/>
  <c r="AJ43" i="9"/>
  <c r="AK43" i="9"/>
  <c r="AL43" i="9"/>
  <c r="AM43" i="9"/>
  <c r="AN43" i="9"/>
  <c r="AV43" i="9"/>
  <c r="AW43" i="9"/>
  <c r="AY43" i="9"/>
  <c r="K44" i="9"/>
  <c r="L44" i="9"/>
  <c r="M44" i="9"/>
  <c r="N44" i="9"/>
  <c r="O44" i="9"/>
  <c r="P44" i="9"/>
  <c r="X44" i="9"/>
  <c r="Y44" i="9"/>
  <c r="AA44" i="9"/>
  <c r="AI44" i="9"/>
  <c r="AJ44" i="9"/>
  <c r="AK44" i="9"/>
  <c r="AL44" i="9"/>
  <c r="AM44" i="9"/>
  <c r="AN44" i="9"/>
  <c r="AV44" i="9"/>
  <c r="AW44" i="9"/>
  <c r="AY44" i="9"/>
  <c r="K45" i="9"/>
  <c r="L45" i="9"/>
  <c r="M45" i="9"/>
  <c r="N45" i="9"/>
  <c r="O45" i="9"/>
  <c r="P45" i="9"/>
  <c r="X45" i="9"/>
  <c r="Y45" i="9"/>
  <c r="AA45" i="9"/>
  <c r="AI45" i="9"/>
  <c r="AJ45" i="9"/>
  <c r="AK45" i="9"/>
  <c r="AL45" i="9"/>
  <c r="AM45" i="9"/>
  <c r="AN45" i="9"/>
  <c r="AV45" i="9"/>
  <c r="AW45" i="9"/>
  <c r="AY45" i="9"/>
  <c r="K46" i="9"/>
  <c r="L46" i="9"/>
  <c r="M46" i="9"/>
  <c r="N46" i="9"/>
  <c r="O46" i="9"/>
  <c r="P46" i="9"/>
  <c r="X46" i="9"/>
  <c r="Y46" i="9"/>
  <c r="AA46" i="9"/>
  <c r="AI46" i="9"/>
  <c r="AJ46" i="9"/>
  <c r="AK46" i="9"/>
  <c r="AL46" i="9"/>
  <c r="AM46" i="9"/>
  <c r="AN46" i="9"/>
  <c r="AV46" i="9"/>
  <c r="AW46" i="9"/>
  <c r="AY46" i="9"/>
  <c r="K47" i="9"/>
  <c r="L47" i="9"/>
  <c r="M47" i="9"/>
  <c r="N47" i="9"/>
  <c r="O47" i="9"/>
  <c r="P47" i="9"/>
  <c r="X47" i="9"/>
  <c r="Y47" i="9"/>
  <c r="AA47" i="9"/>
  <c r="AI47" i="9"/>
  <c r="AJ47" i="9"/>
  <c r="AK47" i="9"/>
  <c r="AL47" i="9"/>
  <c r="AM47" i="9"/>
  <c r="AN47" i="9"/>
  <c r="AV47" i="9"/>
  <c r="AW47" i="9"/>
  <c r="AY47" i="9"/>
  <c r="C48" i="9"/>
  <c r="G48" i="9"/>
  <c r="K48" i="9"/>
  <c r="L48" i="9"/>
  <c r="M48" i="9"/>
  <c r="N48" i="9"/>
  <c r="O48" i="9"/>
  <c r="P48" i="9"/>
  <c r="X48" i="9"/>
  <c r="Y48" i="9"/>
  <c r="AA48" i="9"/>
  <c r="AI48" i="9"/>
  <c r="AJ48" i="9"/>
  <c r="AK48" i="9"/>
  <c r="AL48" i="9"/>
  <c r="AM48" i="9"/>
  <c r="AN48" i="9"/>
  <c r="AV48" i="9"/>
  <c r="AW48" i="9"/>
  <c r="AY48" i="9"/>
  <c r="C49" i="9"/>
  <c r="G49" i="9"/>
  <c r="K49" i="9"/>
  <c r="L49" i="9"/>
  <c r="M49" i="9"/>
  <c r="N49" i="9"/>
  <c r="O49" i="9"/>
  <c r="P49" i="9"/>
  <c r="X49" i="9"/>
  <c r="Y49" i="9"/>
  <c r="AA49" i="9"/>
  <c r="AI49" i="9"/>
  <c r="AJ49" i="9"/>
  <c r="AK49" i="9"/>
  <c r="AL49" i="9"/>
  <c r="AM49" i="9"/>
  <c r="AN49" i="9"/>
  <c r="AV49" i="9"/>
  <c r="AW49" i="9"/>
  <c r="AY49" i="9"/>
  <c r="K50" i="9"/>
  <c r="N50" i="9"/>
  <c r="L50" i="9"/>
  <c r="X50" i="9"/>
  <c r="M50" i="9"/>
  <c r="O50" i="9"/>
  <c r="Y50" i="9"/>
  <c r="K51" i="9"/>
  <c r="N51" i="9"/>
  <c r="L51" i="9"/>
  <c r="X51" i="9"/>
  <c r="M51" i="9"/>
  <c r="O51" i="9"/>
  <c r="Y51" i="9"/>
  <c r="K52" i="9"/>
  <c r="N52" i="9"/>
  <c r="L52" i="9"/>
  <c r="X52" i="9"/>
  <c r="M52" i="9"/>
  <c r="O52" i="9"/>
  <c r="Y52" i="9"/>
  <c r="K53" i="9"/>
  <c r="N53" i="9"/>
  <c r="L53" i="9"/>
  <c r="X53" i="9"/>
  <c r="M53" i="9"/>
  <c r="O53" i="9"/>
  <c r="Y53" i="9"/>
  <c r="K54" i="9"/>
  <c r="N54" i="9"/>
  <c r="L54" i="9"/>
  <c r="X54" i="9"/>
  <c r="M54" i="9"/>
  <c r="O54" i="9"/>
  <c r="Y54" i="9"/>
  <c r="K55" i="9"/>
  <c r="N55" i="9"/>
  <c r="L55" i="9"/>
  <c r="X55" i="9"/>
  <c r="M55" i="9"/>
  <c r="O55" i="9"/>
  <c r="Y55" i="9"/>
  <c r="K56" i="9"/>
  <c r="N56" i="9"/>
  <c r="L56" i="9"/>
  <c r="X56" i="9"/>
  <c r="M56" i="9"/>
  <c r="O56" i="9"/>
  <c r="Y56" i="9"/>
  <c r="K57" i="9"/>
  <c r="N57" i="9"/>
  <c r="L57" i="9"/>
  <c r="X57" i="9"/>
  <c r="M57" i="9"/>
  <c r="O57" i="9"/>
  <c r="Y57" i="9"/>
  <c r="K58" i="9"/>
  <c r="N58" i="9"/>
  <c r="L58" i="9"/>
  <c r="X58" i="9"/>
  <c r="M58" i="9"/>
  <c r="O58" i="9"/>
  <c r="Y58" i="9"/>
  <c r="K59" i="9"/>
  <c r="N59" i="9"/>
  <c r="L59" i="9"/>
  <c r="X59" i="9"/>
  <c r="M59" i="9"/>
  <c r="O59" i="9"/>
  <c r="Y59" i="9"/>
  <c r="K60" i="9"/>
  <c r="N60" i="9"/>
  <c r="L60" i="9"/>
  <c r="X60" i="9"/>
  <c r="M60" i="9"/>
  <c r="O60" i="9"/>
  <c r="Y60" i="9"/>
  <c r="K61" i="9"/>
  <c r="L61" i="9"/>
  <c r="N61" i="9"/>
  <c r="X61" i="9"/>
  <c r="M61" i="9"/>
  <c r="O61" i="9"/>
  <c r="Y61" i="9"/>
  <c r="K62" i="9"/>
  <c r="L62" i="9"/>
  <c r="N62" i="9"/>
  <c r="X62" i="9"/>
  <c r="M62" i="9"/>
  <c r="O62" i="9"/>
  <c r="Y62" i="9"/>
  <c r="K63" i="9"/>
  <c r="L63" i="9"/>
  <c r="N63" i="9"/>
  <c r="X63" i="9"/>
  <c r="M63" i="9"/>
  <c r="O63" i="9"/>
  <c r="Y63" i="9"/>
  <c r="K64" i="9"/>
  <c r="L64" i="9"/>
  <c r="N64" i="9"/>
  <c r="X64" i="9"/>
  <c r="M64" i="9"/>
  <c r="O64" i="9"/>
  <c r="Y64" i="9"/>
  <c r="K65" i="9"/>
  <c r="L65" i="9"/>
  <c r="N65" i="9"/>
  <c r="X65" i="9"/>
  <c r="M65" i="9"/>
  <c r="O65" i="9"/>
  <c r="Y65" i="9"/>
  <c r="K66" i="9"/>
  <c r="L66" i="9"/>
  <c r="N66" i="9"/>
  <c r="X66" i="9"/>
  <c r="M66" i="9"/>
  <c r="O66" i="9"/>
  <c r="Y66" i="9"/>
  <c r="K67" i="9"/>
  <c r="L67" i="9"/>
  <c r="N67" i="9"/>
  <c r="X67" i="9"/>
  <c r="M67" i="9"/>
  <c r="O67" i="9"/>
  <c r="Y67" i="9"/>
  <c r="K68" i="9"/>
  <c r="L68" i="9"/>
  <c r="N68" i="9"/>
  <c r="X68" i="9"/>
  <c r="M68" i="9"/>
  <c r="O68" i="9"/>
  <c r="Y68" i="9"/>
  <c r="K69" i="9"/>
  <c r="L69" i="9"/>
  <c r="N69" i="9"/>
  <c r="X69" i="9"/>
  <c r="M69" i="9"/>
  <c r="O69" i="9"/>
  <c r="Y69" i="9"/>
  <c r="K70" i="9"/>
  <c r="L70" i="9"/>
  <c r="N70" i="9"/>
  <c r="X70" i="9"/>
  <c r="M70" i="9"/>
  <c r="O70" i="9"/>
  <c r="Y70" i="9"/>
  <c r="K71" i="9"/>
  <c r="L71" i="9"/>
  <c r="N71" i="9"/>
  <c r="X71" i="9"/>
  <c r="M71" i="9"/>
  <c r="O71" i="9"/>
  <c r="Y71" i="9"/>
  <c r="K72" i="9"/>
  <c r="L72" i="9"/>
  <c r="N72" i="9"/>
  <c r="X72" i="9"/>
  <c r="M72" i="9"/>
  <c r="O72" i="9"/>
  <c r="Y72" i="9"/>
  <c r="AI50" i="9"/>
  <c r="AL50" i="9"/>
  <c r="AJ50" i="9"/>
  <c r="AV50" i="9"/>
  <c r="AK50" i="9"/>
  <c r="AM50" i="9"/>
  <c r="AW50" i="9"/>
  <c r="AI51" i="9"/>
  <c r="AL51" i="9"/>
  <c r="AJ51" i="9"/>
  <c r="AV51" i="9"/>
  <c r="AK51" i="9"/>
  <c r="AM51" i="9"/>
  <c r="AW51" i="9"/>
  <c r="AI52" i="9"/>
  <c r="AL52" i="9"/>
  <c r="AJ52" i="9"/>
  <c r="AV52" i="9"/>
  <c r="AK52" i="9"/>
  <c r="AM52" i="9"/>
  <c r="AW52" i="9"/>
  <c r="AI53" i="9"/>
  <c r="AL53" i="9"/>
  <c r="AJ53" i="9"/>
  <c r="AV53" i="9"/>
  <c r="AK53" i="9"/>
  <c r="AM53" i="9"/>
  <c r="AW53" i="9"/>
  <c r="AI54" i="9"/>
  <c r="AL54" i="9"/>
  <c r="AJ54" i="9"/>
  <c r="AV54" i="9"/>
  <c r="AK54" i="9"/>
  <c r="AM54" i="9"/>
  <c r="AW54" i="9"/>
  <c r="AI55" i="9"/>
  <c r="AL55" i="9"/>
  <c r="AJ55" i="9"/>
  <c r="AV55" i="9"/>
  <c r="AK55" i="9"/>
  <c r="AM55" i="9"/>
  <c r="AW55" i="9"/>
  <c r="AI56" i="9"/>
  <c r="AL56" i="9"/>
  <c r="AJ56" i="9"/>
  <c r="AV56" i="9"/>
  <c r="AK56" i="9"/>
  <c r="AM56" i="9"/>
  <c r="AW56" i="9"/>
  <c r="AI57" i="9"/>
  <c r="AL57" i="9"/>
  <c r="AJ57" i="9"/>
  <c r="AV57" i="9"/>
  <c r="AK57" i="9"/>
  <c r="AM57" i="9"/>
  <c r="AW57" i="9"/>
  <c r="AI58" i="9"/>
  <c r="AL58" i="9"/>
  <c r="AJ58" i="9"/>
  <c r="AV58" i="9"/>
  <c r="AK58" i="9"/>
  <c r="AM58" i="9"/>
  <c r="AW58" i="9"/>
  <c r="AI59" i="9"/>
  <c r="AL59" i="9"/>
  <c r="AJ59" i="9"/>
  <c r="AV59" i="9"/>
  <c r="AK59" i="9"/>
  <c r="AM59" i="9"/>
  <c r="AW59" i="9"/>
  <c r="AI60" i="9"/>
  <c r="AL60" i="9"/>
  <c r="AJ60" i="9"/>
  <c r="AV60" i="9"/>
  <c r="AK60" i="9"/>
  <c r="AM60" i="9"/>
  <c r="AW60" i="9"/>
  <c r="AI61" i="9"/>
  <c r="AJ61" i="9"/>
  <c r="AL61" i="9"/>
  <c r="AV61" i="9"/>
  <c r="AK61" i="9"/>
  <c r="AM61" i="9"/>
  <c r="AW61" i="9"/>
  <c r="AI62" i="9"/>
  <c r="AJ62" i="9"/>
  <c r="AL62" i="9"/>
  <c r="AV62" i="9"/>
  <c r="AK62" i="9"/>
  <c r="AM62" i="9"/>
  <c r="AW62" i="9"/>
  <c r="AI63" i="9"/>
  <c r="AJ63" i="9"/>
  <c r="AL63" i="9"/>
  <c r="AV63" i="9"/>
  <c r="AK63" i="9"/>
  <c r="AM63" i="9"/>
  <c r="AW63" i="9"/>
  <c r="AI64" i="9"/>
  <c r="AJ64" i="9"/>
  <c r="AL64" i="9"/>
  <c r="AV64" i="9"/>
  <c r="AK64" i="9"/>
  <c r="AM64" i="9"/>
  <c r="AW64" i="9"/>
  <c r="AI65" i="9"/>
  <c r="AJ65" i="9"/>
  <c r="AL65" i="9"/>
  <c r="AV65" i="9"/>
  <c r="AK65" i="9"/>
  <c r="AM65" i="9"/>
  <c r="AW65" i="9"/>
  <c r="AI66" i="9"/>
  <c r="AJ66" i="9"/>
  <c r="AL66" i="9"/>
  <c r="AV66" i="9"/>
  <c r="AK66" i="9"/>
  <c r="AM66" i="9"/>
  <c r="AW66" i="9"/>
  <c r="AI67" i="9"/>
  <c r="AJ67" i="9"/>
  <c r="AL67" i="9"/>
  <c r="AV67" i="9"/>
  <c r="AK67" i="9"/>
  <c r="AM67" i="9"/>
  <c r="AW67" i="9"/>
  <c r="AI68" i="9"/>
  <c r="AJ68" i="9"/>
  <c r="AL68" i="9"/>
  <c r="AV68" i="9"/>
  <c r="AK68" i="9"/>
  <c r="AM68" i="9"/>
  <c r="AW68" i="9"/>
  <c r="AI69" i="9"/>
  <c r="AJ69" i="9"/>
  <c r="AL69" i="9"/>
  <c r="AV69" i="9"/>
  <c r="AK69" i="9"/>
  <c r="AM69" i="9"/>
  <c r="AW69" i="9"/>
  <c r="AI70" i="9"/>
  <c r="AJ70" i="9"/>
  <c r="AL70" i="9"/>
  <c r="AV70" i="9"/>
  <c r="AK70" i="9"/>
  <c r="AM70" i="9"/>
  <c r="AW70" i="9"/>
  <c r="AI71" i="9"/>
  <c r="AJ71" i="9"/>
  <c r="AL71" i="9"/>
  <c r="AV71" i="9"/>
  <c r="AK71" i="9"/>
  <c r="AM71" i="9"/>
  <c r="AW71" i="9"/>
  <c r="AI72" i="9"/>
  <c r="AJ72" i="9"/>
  <c r="AL72" i="9"/>
  <c r="AV72" i="9"/>
  <c r="AK72" i="9"/>
  <c r="AM72" i="9"/>
  <c r="AW72" i="9"/>
  <c r="G50" i="9"/>
  <c r="P50" i="9"/>
  <c r="AA50" i="9"/>
  <c r="AN50" i="9"/>
  <c r="AY50" i="9"/>
  <c r="P51" i="9"/>
  <c r="AA51" i="9"/>
  <c r="AN51" i="9"/>
  <c r="AY51" i="9"/>
  <c r="P52" i="9"/>
  <c r="AA52" i="9"/>
  <c r="AN52" i="9"/>
  <c r="AY52" i="9"/>
  <c r="P53" i="9"/>
  <c r="AA53" i="9"/>
  <c r="AN53" i="9"/>
  <c r="AY53" i="9"/>
  <c r="P54" i="9"/>
  <c r="AA54" i="9"/>
  <c r="AN54" i="9"/>
  <c r="AY54" i="9"/>
  <c r="P55" i="9"/>
  <c r="AA55" i="9"/>
  <c r="AN55" i="9"/>
  <c r="AY55" i="9"/>
  <c r="P56" i="9"/>
  <c r="AA56" i="9"/>
  <c r="AN56" i="9"/>
  <c r="AY56" i="9"/>
  <c r="P57" i="9"/>
  <c r="AA57" i="9"/>
  <c r="AN57" i="9"/>
  <c r="AY57" i="9"/>
  <c r="P58" i="9"/>
  <c r="AA58" i="9"/>
  <c r="AN58" i="9"/>
  <c r="AY58" i="9"/>
  <c r="P59" i="9"/>
  <c r="AA59" i="9"/>
  <c r="AN59" i="9"/>
  <c r="AY59" i="9"/>
  <c r="P60" i="9"/>
  <c r="AA60" i="9"/>
  <c r="AN60" i="9"/>
  <c r="AY60" i="9"/>
  <c r="P61" i="9"/>
  <c r="AA61" i="9"/>
  <c r="AN61" i="9"/>
  <c r="AY61" i="9"/>
  <c r="P62" i="9"/>
  <c r="AA62" i="9"/>
  <c r="AN62" i="9"/>
  <c r="AY62" i="9"/>
  <c r="P63" i="9"/>
  <c r="AA63" i="9"/>
  <c r="AN63" i="9"/>
  <c r="AY63" i="9"/>
  <c r="P64" i="9"/>
  <c r="AA64" i="9"/>
  <c r="AN64" i="9"/>
  <c r="AY64" i="9"/>
  <c r="P65" i="9"/>
  <c r="AA65" i="9"/>
  <c r="AN65" i="9"/>
  <c r="AY65" i="9"/>
  <c r="P66" i="9"/>
  <c r="AA66" i="9"/>
  <c r="AN66" i="9"/>
  <c r="AY66" i="9"/>
  <c r="P67" i="9"/>
  <c r="AA67" i="9"/>
  <c r="AN67" i="9"/>
  <c r="AY67" i="9"/>
  <c r="P68" i="9"/>
  <c r="AA68" i="9"/>
  <c r="AN68" i="9"/>
  <c r="AY68" i="9"/>
  <c r="P69" i="9"/>
  <c r="AA69" i="9"/>
  <c r="AN69" i="9"/>
  <c r="AY69" i="9"/>
  <c r="P70" i="9"/>
  <c r="AA70" i="9"/>
  <c r="AN70" i="9"/>
  <c r="AY70" i="9"/>
  <c r="P71" i="9"/>
  <c r="AA71" i="9"/>
  <c r="AN71" i="9"/>
  <c r="AY71" i="9"/>
  <c r="P72" i="9"/>
  <c r="AA72" i="9"/>
  <c r="AN72" i="9"/>
  <c r="AY72" i="9"/>
  <c r="AA73" i="9"/>
  <c r="AY73" i="9"/>
  <c r="Y75" i="9"/>
  <c r="B196" i="9"/>
  <c r="J179" i="9"/>
  <c r="F196" i="9"/>
  <c r="AH179" i="9"/>
  <c r="L181" i="9"/>
  <c r="M181" i="9"/>
  <c r="C202" i="9"/>
  <c r="N181" i="9"/>
  <c r="O181" i="9"/>
  <c r="P181" i="9"/>
  <c r="X181" i="9"/>
  <c r="Y181" i="9"/>
  <c r="AA181" i="9"/>
  <c r="AJ181" i="9"/>
  <c r="AK181" i="9"/>
  <c r="AL181" i="9"/>
  <c r="AM181" i="9"/>
  <c r="AN181" i="9"/>
  <c r="AV181" i="9"/>
  <c r="AW181" i="9"/>
  <c r="AY181" i="9"/>
  <c r="L182" i="9"/>
  <c r="M182" i="9"/>
  <c r="N182" i="9"/>
  <c r="O182" i="9"/>
  <c r="P182" i="9"/>
  <c r="X182" i="9"/>
  <c r="Y182" i="9"/>
  <c r="AA182" i="9"/>
  <c r="AJ182" i="9"/>
  <c r="AK182" i="9"/>
  <c r="G202" i="9"/>
  <c r="AL182" i="9"/>
  <c r="AM182" i="9"/>
  <c r="AN182" i="9"/>
  <c r="AV182" i="9"/>
  <c r="AW182" i="9"/>
  <c r="AY182" i="9"/>
  <c r="L183" i="9"/>
  <c r="M183" i="9"/>
  <c r="N183" i="9"/>
  <c r="O183" i="9"/>
  <c r="P183" i="9"/>
  <c r="X183" i="9"/>
  <c r="Y183" i="9"/>
  <c r="AA183" i="9"/>
  <c r="AJ183" i="9"/>
  <c r="AK183" i="9"/>
  <c r="AL183" i="9"/>
  <c r="AM183" i="9"/>
  <c r="AN183" i="9"/>
  <c r="AV183" i="9"/>
  <c r="AW183" i="9"/>
  <c r="AY183" i="9"/>
  <c r="L184" i="9"/>
  <c r="M184" i="9"/>
  <c r="N184" i="9"/>
  <c r="O184" i="9"/>
  <c r="P184" i="9"/>
  <c r="X184" i="9"/>
  <c r="Y184" i="9"/>
  <c r="AA184" i="9"/>
  <c r="AJ184" i="9"/>
  <c r="AK184" i="9"/>
  <c r="AL184" i="9"/>
  <c r="AM184" i="9"/>
  <c r="AN184" i="9"/>
  <c r="AV184" i="9"/>
  <c r="AW184" i="9"/>
  <c r="AY184" i="9"/>
  <c r="L185" i="9"/>
  <c r="M185" i="9"/>
  <c r="N185" i="9"/>
  <c r="O185" i="9"/>
  <c r="P185" i="9"/>
  <c r="X185" i="9"/>
  <c r="Y185" i="9"/>
  <c r="AA185" i="9"/>
  <c r="AJ185" i="9"/>
  <c r="AK185" i="9"/>
  <c r="AL185" i="9"/>
  <c r="AM185" i="9"/>
  <c r="AN185" i="9"/>
  <c r="AV185" i="9"/>
  <c r="AW185" i="9"/>
  <c r="AY185" i="9"/>
  <c r="L186" i="9"/>
  <c r="M186" i="9"/>
  <c r="N186" i="9"/>
  <c r="O186" i="9"/>
  <c r="P186" i="9"/>
  <c r="X186" i="9"/>
  <c r="Y186" i="9"/>
  <c r="AA186" i="9"/>
  <c r="AJ186" i="9"/>
  <c r="AK186" i="9"/>
  <c r="AL186" i="9"/>
  <c r="AM186" i="9"/>
  <c r="AN186" i="9"/>
  <c r="AV186" i="9"/>
  <c r="AW186" i="9"/>
  <c r="AY186" i="9"/>
  <c r="L187" i="9"/>
  <c r="M187" i="9"/>
  <c r="N187" i="9"/>
  <c r="O187" i="9"/>
  <c r="P187" i="9"/>
  <c r="X187" i="9"/>
  <c r="Y187" i="9"/>
  <c r="AA187" i="9"/>
  <c r="AJ187" i="9"/>
  <c r="AK187" i="9"/>
  <c r="AL187" i="9"/>
  <c r="AM187" i="9"/>
  <c r="AN187" i="9"/>
  <c r="AV187" i="9"/>
  <c r="AW187" i="9"/>
  <c r="AY187" i="9"/>
  <c r="L188" i="9"/>
  <c r="M188" i="9"/>
  <c r="N188" i="9"/>
  <c r="O188" i="9"/>
  <c r="P188" i="9"/>
  <c r="X188" i="9"/>
  <c r="Y188" i="9"/>
  <c r="AA188" i="9"/>
  <c r="AJ188" i="9"/>
  <c r="AK188" i="9"/>
  <c r="AL188" i="9"/>
  <c r="AM188" i="9"/>
  <c r="AN188" i="9"/>
  <c r="AV188" i="9"/>
  <c r="AW188" i="9"/>
  <c r="AY188" i="9"/>
  <c r="L189" i="9"/>
  <c r="M189" i="9"/>
  <c r="N189" i="9"/>
  <c r="O189" i="9"/>
  <c r="P189" i="9"/>
  <c r="X189" i="9"/>
  <c r="Y189" i="9"/>
  <c r="AA189" i="9"/>
  <c r="AJ189" i="9"/>
  <c r="AK189" i="9"/>
  <c r="AL189" i="9"/>
  <c r="AM189" i="9"/>
  <c r="AN189" i="9"/>
  <c r="AV189" i="9"/>
  <c r="AW189" i="9"/>
  <c r="AY189" i="9"/>
  <c r="L190" i="9"/>
  <c r="M190" i="9"/>
  <c r="N190" i="9"/>
  <c r="O190" i="9"/>
  <c r="P190" i="9"/>
  <c r="X190" i="9"/>
  <c r="Y190" i="9"/>
  <c r="AA190" i="9"/>
  <c r="AJ190" i="9"/>
  <c r="AK190" i="9"/>
  <c r="AL190" i="9"/>
  <c r="AM190" i="9"/>
  <c r="AN190" i="9"/>
  <c r="AV190" i="9"/>
  <c r="AW190" i="9"/>
  <c r="AY190" i="9"/>
  <c r="L191" i="9"/>
  <c r="M191" i="9"/>
  <c r="N191" i="9"/>
  <c r="O191" i="9"/>
  <c r="P191" i="9"/>
  <c r="X191" i="9"/>
  <c r="Y191" i="9"/>
  <c r="AA191" i="9"/>
  <c r="AJ191" i="9"/>
  <c r="AK191" i="9"/>
  <c r="AL191" i="9"/>
  <c r="AM191" i="9"/>
  <c r="AN191" i="9"/>
  <c r="AV191" i="9"/>
  <c r="AW191" i="9"/>
  <c r="AY191" i="9"/>
  <c r="L192" i="9"/>
  <c r="M192" i="9"/>
  <c r="N192" i="9"/>
  <c r="O192" i="9"/>
  <c r="P192" i="9"/>
  <c r="X192" i="9"/>
  <c r="Y192" i="9"/>
  <c r="AA192" i="9"/>
  <c r="AJ192" i="9"/>
  <c r="AK192" i="9"/>
  <c r="AL192" i="9"/>
  <c r="AM192" i="9"/>
  <c r="AN192" i="9"/>
  <c r="AV192" i="9"/>
  <c r="AW192" i="9"/>
  <c r="AY192" i="9"/>
  <c r="L193" i="9"/>
  <c r="M193" i="9"/>
  <c r="N193" i="9"/>
  <c r="O193" i="9"/>
  <c r="P193" i="9"/>
  <c r="X193" i="9"/>
  <c r="Y193" i="9"/>
  <c r="AA193" i="9"/>
  <c r="AJ193" i="9"/>
  <c r="AK193" i="9"/>
  <c r="AL193" i="9"/>
  <c r="AM193" i="9"/>
  <c r="AN193" i="9"/>
  <c r="AV193" i="9"/>
  <c r="AW193" i="9"/>
  <c r="AY193" i="9"/>
  <c r="L194" i="9"/>
  <c r="M194" i="9"/>
  <c r="N194" i="9"/>
  <c r="O194" i="9"/>
  <c r="P194" i="9"/>
  <c r="X194" i="9"/>
  <c r="Y194" i="9"/>
  <c r="AA194" i="9"/>
  <c r="AJ194" i="9"/>
  <c r="AK194" i="9"/>
  <c r="AL194" i="9"/>
  <c r="AM194" i="9"/>
  <c r="AN194" i="9"/>
  <c r="AV194" i="9"/>
  <c r="AW194" i="9"/>
  <c r="AY194" i="9"/>
  <c r="L195" i="9"/>
  <c r="M195" i="9"/>
  <c r="N195" i="9"/>
  <c r="O195" i="9"/>
  <c r="P195" i="9"/>
  <c r="X195" i="9"/>
  <c r="Y195" i="9"/>
  <c r="AA195" i="9"/>
  <c r="AJ195" i="9"/>
  <c r="AK195" i="9"/>
  <c r="AL195" i="9"/>
  <c r="AM195" i="9"/>
  <c r="AN195" i="9"/>
  <c r="AV195" i="9"/>
  <c r="AW195" i="9"/>
  <c r="AY195" i="9"/>
  <c r="L196" i="9"/>
  <c r="M196" i="9"/>
  <c r="N196" i="9"/>
  <c r="O196" i="9"/>
  <c r="P196" i="9"/>
  <c r="X196" i="9"/>
  <c r="Y196" i="9"/>
  <c r="AA196" i="9"/>
  <c r="AJ196" i="9"/>
  <c r="AK196" i="9"/>
  <c r="AL196" i="9"/>
  <c r="AM196" i="9"/>
  <c r="AN196" i="9"/>
  <c r="AV196" i="9"/>
  <c r="AW196" i="9"/>
  <c r="AY196" i="9"/>
  <c r="AA197" i="9"/>
  <c r="AY197" i="9"/>
  <c r="C204" i="9"/>
  <c r="G204" i="9"/>
  <c r="C205" i="9"/>
  <c r="G205" i="9"/>
  <c r="C206" i="9"/>
  <c r="G206" i="9"/>
  <c r="L294" i="9"/>
  <c r="M294" i="9"/>
  <c r="C315" i="9"/>
  <c r="N294" i="9"/>
  <c r="O294" i="9"/>
  <c r="P294" i="9"/>
  <c r="Y294" i="9"/>
  <c r="AJ294" i="9"/>
  <c r="AK294" i="9"/>
  <c r="G315" i="9"/>
  <c r="AL294" i="9"/>
  <c r="AM294" i="9"/>
  <c r="AN294" i="9"/>
  <c r="AW294" i="9"/>
  <c r="L295" i="9"/>
  <c r="M295" i="9"/>
  <c r="N295" i="9"/>
  <c r="O295" i="9"/>
  <c r="P295" i="9"/>
  <c r="Y295" i="9"/>
  <c r="AJ295" i="9"/>
  <c r="AK295" i="9"/>
  <c r="AL295" i="9"/>
  <c r="AM295" i="9"/>
  <c r="AN295" i="9"/>
  <c r="AW295" i="9"/>
  <c r="L296" i="9"/>
  <c r="M296" i="9"/>
  <c r="N296" i="9"/>
  <c r="O296" i="9"/>
  <c r="P296" i="9"/>
  <c r="Y296" i="9"/>
  <c r="AJ296" i="9"/>
  <c r="AK296" i="9"/>
  <c r="AL296" i="9"/>
  <c r="AM296" i="9"/>
  <c r="AN296" i="9"/>
  <c r="AW296" i="9"/>
  <c r="L297" i="9"/>
  <c r="M297" i="9"/>
  <c r="N297" i="9"/>
  <c r="O297" i="9"/>
  <c r="P297" i="9"/>
  <c r="Y297" i="9"/>
  <c r="AJ297" i="9"/>
  <c r="AK297" i="9"/>
  <c r="AL297" i="9"/>
  <c r="AM297" i="9"/>
  <c r="AN297" i="9"/>
  <c r="AW297" i="9"/>
  <c r="L298" i="9"/>
  <c r="M298" i="9"/>
  <c r="N298" i="9"/>
  <c r="O298" i="9"/>
  <c r="P298" i="9"/>
  <c r="Y298" i="9"/>
  <c r="AJ298" i="9"/>
  <c r="AK298" i="9"/>
  <c r="AL298" i="9"/>
  <c r="AM298" i="9"/>
  <c r="AN298" i="9"/>
  <c r="AW298" i="9"/>
  <c r="L299" i="9"/>
  <c r="M299" i="9"/>
  <c r="N299" i="9"/>
  <c r="O299" i="9"/>
  <c r="P299" i="9"/>
  <c r="Y299" i="9"/>
  <c r="AJ299" i="9"/>
  <c r="AK299" i="9"/>
  <c r="AL299" i="9"/>
  <c r="AM299" i="9"/>
  <c r="AN299" i="9"/>
  <c r="AW299" i="9"/>
  <c r="L300" i="9"/>
  <c r="M300" i="9"/>
  <c r="N300" i="9"/>
  <c r="O300" i="9"/>
  <c r="P300" i="9"/>
  <c r="Y300" i="9"/>
  <c r="AJ300" i="9"/>
  <c r="AK300" i="9"/>
  <c r="AL300" i="9"/>
  <c r="AM300" i="9"/>
  <c r="AN300" i="9"/>
  <c r="AW300" i="9"/>
  <c r="L301" i="9"/>
  <c r="M301" i="9"/>
  <c r="N301" i="9"/>
  <c r="O301" i="9"/>
  <c r="P301" i="9"/>
  <c r="Y301" i="9"/>
  <c r="AJ301" i="9"/>
  <c r="AK301" i="9"/>
  <c r="AL301" i="9"/>
  <c r="AM301" i="9"/>
  <c r="AN301" i="9"/>
  <c r="AW301" i="9"/>
  <c r="L302" i="9"/>
  <c r="M302" i="9"/>
  <c r="N302" i="9"/>
  <c r="O302" i="9"/>
  <c r="P302" i="9"/>
  <c r="Y302" i="9"/>
  <c r="AJ302" i="9"/>
  <c r="AK302" i="9"/>
  <c r="AL302" i="9"/>
  <c r="AM302" i="9"/>
  <c r="AN302" i="9"/>
  <c r="AW302" i="9"/>
  <c r="L303" i="9"/>
  <c r="M303" i="9"/>
  <c r="N303" i="9"/>
  <c r="O303" i="9"/>
  <c r="P303" i="9"/>
  <c r="Y303" i="9"/>
  <c r="AJ303" i="9"/>
  <c r="AK303" i="9"/>
  <c r="AL303" i="9"/>
  <c r="AM303" i="9"/>
  <c r="AN303" i="9"/>
  <c r="AW303" i="9"/>
  <c r="L304" i="9"/>
  <c r="M304" i="9"/>
  <c r="N304" i="9"/>
  <c r="O304" i="9"/>
  <c r="P304" i="9"/>
  <c r="Y304" i="9"/>
  <c r="AJ304" i="9"/>
  <c r="AK304" i="9"/>
  <c r="AL304" i="9"/>
  <c r="AM304" i="9"/>
  <c r="AN304" i="9"/>
  <c r="AW304" i="9"/>
  <c r="L305" i="9"/>
  <c r="M305" i="9"/>
  <c r="N305" i="9"/>
  <c r="O305" i="9"/>
  <c r="P305" i="9"/>
  <c r="Y305" i="9"/>
  <c r="AJ305" i="9"/>
  <c r="AK305" i="9"/>
  <c r="AL305" i="9"/>
  <c r="AM305" i="9"/>
  <c r="AN305" i="9"/>
  <c r="AW305" i="9"/>
  <c r="L306" i="9"/>
  <c r="M306" i="9"/>
  <c r="N306" i="9"/>
  <c r="O306" i="9"/>
  <c r="P306" i="9"/>
  <c r="Y306" i="9"/>
  <c r="AJ306" i="9"/>
  <c r="AK306" i="9"/>
  <c r="AL306" i="9"/>
  <c r="AM306" i="9"/>
  <c r="AN306" i="9"/>
  <c r="AW306" i="9"/>
  <c r="L307" i="9"/>
  <c r="M307" i="9"/>
  <c r="N307" i="9"/>
  <c r="O307" i="9"/>
  <c r="P307" i="9"/>
  <c r="Y307" i="9"/>
  <c r="AJ307" i="9"/>
  <c r="AK307" i="9"/>
  <c r="AL307" i="9"/>
  <c r="AM307" i="9"/>
  <c r="AN307" i="9"/>
  <c r="AW307" i="9"/>
  <c r="L308" i="9"/>
  <c r="M308" i="9"/>
  <c r="N308" i="9"/>
  <c r="O308" i="9"/>
  <c r="P308" i="9"/>
  <c r="Y308" i="9"/>
  <c r="AJ308" i="9"/>
  <c r="AK308" i="9"/>
  <c r="AL308" i="9"/>
  <c r="AM308" i="9"/>
  <c r="AN308" i="9"/>
  <c r="AW308" i="9"/>
  <c r="L309" i="9"/>
  <c r="M309" i="9"/>
  <c r="N309" i="9"/>
  <c r="O309" i="9"/>
  <c r="P309" i="9"/>
  <c r="Y309" i="9"/>
  <c r="AJ309" i="9"/>
  <c r="AK309" i="9"/>
  <c r="AL309" i="9"/>
  <c r="AM309" i="9"/>
  <c r="AN309" i="9"/>
  <c r="AW309" i="9"/>
  <c r="Y311" i="9"/>
  <c r="C317" i="9"/>
  <c r="G317" i="9"/>
  <c r="C318" i="9"/>
  <c r="G318" i="9"/>
  <c r="C319" i="9"/>
  <c r="G319" i="9"/>
  <c r="C340" i="9"/>
  <c r="A6" i="7"/>
  <c r="I6" i="7"/>
  <c r="C8" i="7"/>
  <c r="C14" i="7"/>
  <c r="C15" i="7"/>
  <c r="B9" i="7"/>
  <c r="B10" i="7"/>
  <c r="C12" i="7"/>
  <c r="B12" i="7"/>
  <c r="B11" i="7"/>
  <c r="B13" i="7"/>
  <c r="C11" i="7"/>
  <c r="C13" i="7"/>
  <c r="J9" i="7"/>
  <c r="J10" i="7"/>
  <c r="K12" i="7"/>
  <c r="J12" i="7"/>
  <c r="J11" i="7"/>
  <c r="J13" i="7"/>
  <c r="K11" i="7"/>
  <c r="K13" i="7"/>
  <c r="K14" i="7"/>
  <c r="K15" i="7"/>
  <c r="K16" i="7"/>
  <c r="J18" i="7"/>
  <c r="K18" i="7"/>
  <c r="K17" i="7"/>
  <c r="K19" i="7"/>
  <c r="J17" i="7"/>
  <c r="J19" i="7"/>
  <c r="N8" i="7"/>
  <c r="M8" i="7"/>
  <c r="A21" i="7"/>
  <c r="I21" i="7"/>
  <c r="Q21" i="7"/>
  <c r="Y21" i="7"/>
  <c r="AG21" i="7"/>
  <c r="C23" i="7"/>
  <c r="C29" i="7"/>
  <c r="C30" i="7"/>
  <c r="B24" i="7"/>
  <c r="B25" i="7"/>
  <c r="C27" i="7"/>
  <c r="B27" i="7"/>
  <c r="B26" i="7"/>
  <c r="B28" i="7"/>
  <c r="C26" i="7"/>
  <c r="C28" i="7"/>
  <c r="A36" i="7"/>
  <c r="I36" i="7"/>
  <c r="Q36" i="7"/>
  <c r="Y36" i="7"/>
  <c r="AG36" i="7"/>
  <c r="C38" i="7"/>
  <c r="B39" i="7"/>
  <c r="B40" i="7"/>
  <c r="C42" i="7"/>
  <c r="B42" i="7"/>
  <c r="B41" i="7"/>
  <c r="B43" i="7"/>
  <c r="C41" i="7"/>
  <c r="C43" i="7"/>
  <c r="C44" i="7"/>
  <c r="C45" i="7"/>
  <c r="J39" i="7"/>
  <c r="J40" i="7"/>
  <c r="K42" i="7"/>
  <c r="J42" i="7"/>
  <c r="J41" i="7"/>
  <c r="J43" i="7"/>
  <c r="K41" i="7"/>
  <c r="K43" i="7"/>
  <c r="K44" i="7"/>
  <c r="K45" i="7"/>
  <c r="K46" i="7"/>
  <c r="J48" i="7"/>
  <c r="K48" i="7"/>
  <c r="K47" i="7"/>
  <c r="K49" i="7"/>
  <c r="J47" i="7"/>
  <c r="J49" i="7"/>
  <c r="N38" i="7"/>
  <c r="M38" i="7"/>
  <c r="R39" i="7"/>
  <c r="R40" i="7"/>
  <c r="S42" i="7"/>
  <c r="R42" i="7"/>
  <c r="R41" i="7"/>
  <c r="R43" i="7"/>
  <c r="S41" i="7"/>
  <c r="S43" i="7"/>
  <c r="S44" i="7"/>
  <c r="S45" i="7"/>
  <c r="S46" i="7"/>
  <c r="R48" i="7"/>
  <c r="S48" i="7"/>
  <c r="S47" i="7"/>
  <c r="S49" i="7"/>
  <c r="R47" i="7"/>
  <c r="R49" i="7"/>
  <c r="V38" i="7"/>
  <c r="U38" i="7"/>
  <c r="Z39" i="7"/>
  <c r="Z40" i="7"/>
  <c r="AA42" i="7"/>
  <c r="Z42" i="7"/>
  <c r="Z41" i="7"/>
  <c r="Z43" i="7"/>
  <c r="AA41" i="7"/>
  <c r="AA43" i="7"/>
  <c r="AA44" i="7"/>
  <c r="AA45" i="7"/>
  <c r="AA46" i="7"/>
  <c r="Z48" i="7"/>
  <c r="AA48" i="7"/>
  <c r="AA47" i="7"/>
  <c r="AA49" i="7"/>
  <c r="Z47" i="7"/>
  <c r="Z49" i="7"/>
  <c r="AD38" i="7"/>
  <c r="AC38" i="7"/>
  <c r="AH39" i="7"/>
  <c r="AH40" i="7"/>
  <c r="AI42" i="7"/>
  <c r="AH42" i="7"/>
  <c r="AH41" i="7"/>
  <c r="AH43" i="7"/>
  <c r="AI41" i="7"/>
  <c r="AI43" i="7"/>
  <c r="AI44" i="7"/>
  <c r="AI45" i="7"/>
  <c r="AI46" i="7"/>
  <c r="AH48" i="7"/>
  <c r="AI48" i="7"/>
  <c r="AI47" i="7"/>
  <c r="AI49" i="7"/>
  <c r="AH47" i="7"/>
  <c r="AH49" i="7"/>
  <c r="AL38" i="7"/>
  <c r="AK38" i="7"/>
  <c r="A51" i="7"/>
  <c r="I51" i="7"/>
  <c r="B54" i="7"/>
  <c r="B55" i="7"/>
  <c r="C57" i="7"/>
  <c r="B57" i="7"/>
  <c r="B56" i="7"/>
  <c r="B58" i="7"/>
  <c r="C56" i="7"/>
  <c r="C58" i="7"/>
  <c r="C59" i="7"/>
  <c r="C60" i="7"/>
  <c r="C61" i="7"/>
  <c r="B63" i="7"/>
  <c r="C63" i="7"/>
  <c r="C62" i="7"/>
  <c r="C64" i="7"/>
  <c r="B62" i="7"/>
  <c r="B64" i="7"/>
  <c r="F53" i="7"/>
  <c r="E53" i="7"/>
  <c r="J54" i="7"/>
  <c r="J55" i="7"/>
  <c r="K57" i="7"/>
  <c r="J57" i="7"/>
  <c r="J56" i="7"/>
  <c r="J58" i="7"/>
  <c r="K56" i="7"/>
  <c r="K58" i="7"/>
  <c r="K59" i="7"/>
  <c r="K60" i="7"/>
  <c r="K61" i="7"/>
  <c r="J63" i="7"/>
  <c r="K63" i="7"/>
  <c r="K62" i="7"/>
  <c r="K64" i="7"/>
  <c r="J62" i="7"/>
  <c r="J64" i="7"/>
  <c r="N53" i="7"/>
  <c r="M53" i="7"/>
  <c r="A66" i="7"/>
  <c r="I66" i="7"/>
  <c r="B69" i="7"/>
  <c r="B70" i="7"/>
  <c r="C72" i="7"/>
  <c r="B72" i="7"/>
  <c r="B71" i="7"/>
  <c r="B73" i="7"/>
  <c r="C71" i="7"/>
  <c r="C73" i="7"/>
  <c r="C74" i="7"/>
  <c r="C75" i="7"/>
  <c r="C76" i="7"/>
  <c r="B78" i="7"/>
  <c r="C78" i="7"/>
  <c r="C77" i="7"/>
  <c r="C79" i="7"/>
  <c r="B77" i="7"/>
  <c r="B79" i="7"/>
  <c r="F68" i="7"/>
  <c r="E68" i="7"/>
  <c r="J69" i="7"/>
  <c r="J70" i="7"/>
  <c r="K72" i="7"/>
  <c r="J72" i="7"/>
  <c r="J71" i="7"/>
  <c r="J73" i="7"/>
  <c r="K71" i="7"/>
  <c r="K73" i="7"/>
  <c r="K74" i="7"/>
  <c r="K75" i="7"/>
  <c r="K76" i="7"/>
  <c r="J78" i="7"/>
  <c r="K78" i="7"/>
  <c r="K77" i="7"/>
  <c r="K79" i="7"/>
  <c r="J77" i="7"/>
  <c r="J79" i="7"/>
  <c r="N68" i="7"/>
  <c r="M68" i="7"/>
  <c r="A81" i="7"/>
  <c r="I81" i="7"/>
  <c r="B84" i="7"/>
  <c r="B85" i="7"/>
  <c r="C87" i="7"/>
  <c r="B87" i="7"/>
  <c r="B86" i="7"/>
  <c r="B88" i="7"/>
  <c r="C86" i="7"/>
  <c r="C88" i="7"/>
  <c r="C89" i="7"/>
  <c r="C90" i="7"/>
  <c r="C91" i="7"/>
  <c r="B93" i="7"/>
  <c r="C93" i="7"/>
  <c r="C92" i="7"/>
  <c r="C94" i="7"/>
  <c r="B92" i="7"/>
  <c r="B94" i="7"/>
  <c r="F83" i="7"/>
  <c r="E83" i="7"/>
  <c r="J84" i="7"/>
  <c r="J85" i="7"/>
  <c r="K87" i="7"/>
  <c r="J87" i="7"/>
  <c r="J86" i="7"/>
  <c r="J88" i="7"/>
  <c r="K86" i="7"/>
  <c r="K88" i="7"/>
  <c r="K89" i="7"/>
  <c r="K90" i="7"/>
  <c r="K91" i="7"/>
  <c r="J93" i="7"/>
  <c r="K93" i="7"/>
  <c r="K92" i="7"/>
  <c r="K94" i="7"/>
  <c r="J92" i="7"/>
  <c r="J94" i="7"/>
  <c r="N83" i="7"/>
  <c r="M83" i="7"/>
  <c r="A97" i="7"/>
  <c r="I97" i="7"/>
  <c r="B100" i="7"/>
  <c r="B101" i="7"/>
  <c r="C103" i="7"/>
  <c r="B103" i="7"/>
  <c r="B102" i="7"/>
  <c r="B104" i="7"/>
  <c r="C102" i="7"/>
  <c r="C104" i="7"/>
  <c r="C105" i="7"/>
  <c r="C106" i="7"/>
  <c r="C107" i="7"/>
  <c r="B109" i="7"/>
  <c r="C109" i="7"/>
  <c r="C108" i="7"/>
  <c r="C110" i="7"/>
  <c r="B108" i="7"/>
  <c r="B110" i="7"/>
  <c r="F99" i="7"/>
  <c r="E99" i="7"/>
  <c r="J100" i="7"/>
  <c r="J101" i="7"/>
  <c r="K103" i="7"/>
  <c r="J103" i="7"/>
  <c r="J102" i="7"/>
  <c r="J104" i="7"/>
  <c r="K102" i="7"/>
  <c r="K104" i="7"/>
  <c r="K105" i="7"/>
  <c r="K106" i="7"/>
  <c r="K107" i="7"/>
  <c r="J109" i="7"/>
  <c r="K109" i="7"/>
  <c r="K108" i="7"/>
  <c r="K110" i="7"/>
  <c r="J108" i="7"/>
  <c r="J110" i="7"/>
  <c r="N99" i="7"/>
  <c r="M99" i="7"/>
  <c r="A113" i="7"/>
  <c r="I113" i="7"/>
  <c r="C115" i="7"/>
  <c r="C121" i="7"/>
  <c r="C122" i="7"/>
  <c r="DF74" i="8"/>
  <c r="DF107" i="8"/>
  <c r="DF124" i="8"/>
  <c r="DF115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DF62" i="8"/>
  <c r="DF63" i="8"/>
  <c r="DF64" i="8"/>
  <c r="DF65" i="8"/>
  <c r="DF66" i="8"/>
  <c r="DF67" i="8"/>
  <c r="DF68" i="8"/>
  <c r="DF69" i="8"/>
  <c r="DF70" i="8"/>
  <c r="DF71" i="8"/>
  <c r="DF72" i="8"/>
  <c r="DF73" i="8"/>
  <c r="DF75" i="8"/>
  <c r="DF76" i="8"/>
  <c r="DF77" i="8"/>
  <c r="DF78" i="8"/>
  <c r="DF79" i="8"/>
  <c r="DF80" i="8"/>
  <c r="DF81" i="8"/>
  <c r="DF82" i="8"/>
  <c r="DF83" i="8"/>
  <c r="DF84" i="8"/>
  <c r="DF85" i="8"/>
  <c r="DF86" i="8"/>
  <c r="DF87" i="8"/>
  <c r="DF88" i="8"/>
  <c r="DF89" i="8"/>
  <c r="DF90" i="8"/>
  <c r="DF91" i="8"/>
  <c r="DF92" i="8"/>
  <c r="DF93" i="8"/>
  <c r="DF94" i="8"/>
  <c r="DF95" i="8"/>
  <c r="DF96" i="8"/>
  <c r="DF97" i="8"/>
  <c r="DF98" i="8"/>
  <c r="DF99" i="8"/>
  <c r="DF100" i="8"/>
  <c r="DF101" i="8"/>
  <c r="DF102" i="8"/>
  <c r="DF103" i="8"/>
  <c r="DF104" i="8"/>
  <c r="DF105" i="8"/>
  <c r="DF106" i="8"/>
  <c r="DF108" i="8"/>
  <c r="DF109" i="8"/>
  <c r="DF110" i="8"/>
  <c r="DF111" i="8"/>
  <c r="DF112" i="8"/>
  <c r="DF113" i="8"/>
  <c r="DF114" i="8"/>
  <c r="DF116" i="8"/>
  <c r="DF117" i="8"/>
  <c r="DF118" i="8"/>
  <c r="DF119" i="8"/>
  <c r="DF120" i="8"/>
  <c r="DF121" i="8"/>
  <c r="DF122" i="8"/>
  <c r="DF123" i="8"/>
  <c r="DF125" i="8"/>
  <c r="DF126" i="8"/>
  <c r="DF127" i="8"/>
  <c r="DF128" i="8"/>
  <c r="DF129" i="8"/>
  <c r="DF130" i="8"/>
  <c r="DF131" i="8"/>
  <c r="DF132" i="8"/>
  <c r="DF133" i="8"/>
  <c r="DF134" i="8"/>
  <c r="DF135" i="8"/>
  <c r="DF136" i="8"/>
  <c r="DF137" i="8"/>
  <c r="DF138" i="8"/>
  <c r="DF139" i="8"/>
  <c r="DF140" i="8"/>
  <c r="B116" i="7"/>
  <c r="B117" i="7"/>
  <c r="DG122" i="8"/>
  <c r="C119" i="7"/>
  <c r="B119" i="7"/>
  <c r="B118" i="7"/>
  <c r="B120" i="7"/>
  <c r="DG121" i="8"/>
  <c r="C118" i="7"/>
  <c r="C120" i="7"/>
  <c r="DG74" i="8"/>
  <c r="DG107" i="8"/>
  <c r="DG124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G62" i="8"/>
  <c r="DG63" i="8"/>
  <c r="DG64" i="8"/>
  <c r="DG65" i="8"/>
  <c r="DG66" i="8"/>
  <c r="DG67" i="8"/>
  <c r="DG68" i="8"/>
  <c r="DG69" i="8"/>
  <c r="DG70" i="8"/>
  <c r="DG71" i="8"/>
  <c r="DG72" i="8"/>
  <c r="DG73" i="8"/>
  <c r="DG75" i="8"/>
  <c r="DG76" i="8"/>
  <c r="DG77" i="8"/>
  <c r="DG78" i="8"/>
  <c r="DG79" i="8"/>
  <c r="DG80" i="8"/>
  <c r="DG81" i="8"/>
  <c r="DG82" i="8"/>
  <c r="DG83" i="8"/>
  <c r="DG84" i="8"/>
  <c r="DG85" i="8"/>
  <c r="DG86" i="8"/>
  <c r="DG87" i="8"/>
  <c r="DG88" i="8"/>
  <c r="DG89" i="8"/>
  <c r="DG90" i="8"/>
  <c r="DG91" i="8"/>
  <c r="DG92" i="8"/>
  <c r="DG93" i="8"/>
  <c r="DG94" i="8"/>
  <c r="DG95" i="8"/>
  <c r="DG96" i="8"/>
  <c r="DG97" i="8"/>
  <c r="DG98" i="8"/>
  <c r="DG99" i="8"/>
  <c r="DG100" i="8"/>
  <c r="DG101" i="8"/>
  <c r="DG102" i="8"/>
  <c r="DG103" i="8"/>
  <c r="DG104" i="8"/>
  <c r="DG105" i="8"/>
  <c r="DG106" i="8"/>
  <c r="DG108" i="8"/>
  <c r="DG109" i="8"/>
  <c r="DG110" i="8"/>
  <c r="DG111" i="8"/>
  <c r="DG112" i="8"/>
  <c r="DG113" i="8"/>
  <c r="DG114" i="8"/>
  <c r="DG115" i="8"/>
  <c r="DG116" i="8"/>
  <c r="DG117" i="8"/>
  <c r="DG118" i="8"/>
  <c r="DG119" i="8"/>
  <c r="DG120" i="8"/>
  <c r="DG123" i="8"/>
  <c r="DG125" i="8"/>
  <c r="DG126" i="8"/>
  <c r="DG127" i="8"/>
  <c r="DG128" i="8"/>
  <c r="DG129" i="8"/>
  <c r="DG130" i="8"/>
  <c r="DG131" i="8"/>
  <c r="DG132" i="8"/>
  <c r="DG133" i="8"/>
  <c r="DG134" i="8"/>
  <c r="DG135" i="8"/>
  <c r="DG136" i="8"/>
  <c r="DG137" i="8"/>
  <c r="DG138" i="8"/>
  <c r="DG139" i="8"/>
  <c r="DG140" i="8"/>
  <c r="DF210" i="8"/>
  <c r="DF243" i="8"/>
  <c r="DF260" i="8"/>
  <c r="DF251" i="8"/>
  <c r="DF145" i="8"/>
  <c r="DF146" i="8"/>
  <c r="DF147" i="8"/>
  <c r="DF148" i="8"/>
  <c r="DF149" i="8"/>
  <c r="DF150" i="8"/>
  <c r="DF151" i="8"/>
  <c r="DF152" i="8"/>
  <c r="DF153" i="8"/>
  <c r="DF154" i="8"/>
  <c r="DF155" i="8"/>
  <c r="DF156" i="8"/>
  <c r="DF157" i="8"/>
  <c r="DF158" i="8"/>
  <c r="DF159" i="8"/>
  <c r="DF160" i="8"/>
  <c r="DF161" i="8"/>
  <c r="DF162" i="8"/>
  <c r="DF163" i="8"/>
  <c r="DF164" i="8"/>
  <c r="DF165" i="8"/>
  <c r="DF166" i="8"/>
  <c r="DF167" i="8"/>
  <c r="DF168" i="8"/>
  <c r="DF169" i="8"/>
  <c r="DF170" i="8"/>
  <c r="DF171" i="8"/>
  <c r="DF172" i="8"/>
  <c r="DF173" i="8"/>
  <c r="DF174" i="8"/>
  <c r="DF175" i="8"/>
  <c r="DF176" i="8"/>
  <c r="DF177" i="8"/>
  <c r="DF178" i="8"/>
  <c r="DF179" i="8"/>
  <c r="DF180" i="8"/>
  <c r="DF181" i="8"/>
  <c r="DF182" i="8"/>
  <c r="DF183" i="8"/>
  <c r="DF184" i="8"/>
  <c r="DF185" i="8"/>
  <c r="DF186" i="8"/>
  <c r="DF187" i="8"/>
  <c r="DF188" i="8"/>
  <c r="DF189" i="8"/>
  <c r="DF190" i="8"/>
  <c r="DF191" i="8"/>
  <c r="DF192" i="8"/>
  <c r="DF193" i="8"/>
  <c r="DF194" i="8"/>
  <c r="DF195" i="8"/>
  <c r="DF196" i="8"/>
  <c r="DF197" i="8"/>
  <c r="DF198" i="8"/>
  <c r="DF199" i="8"/>
  <c r="DF200" i="8"/>
  <c r="DF201" i="8"/>
  <c r="DF202" i="8"/>
  <c r="DF203" i="8"/>
  <c r="DF204" i="8"/>
  <c r="DF205" i="8"/>
  <c r="DF206" i="8"/>
  <c r="DF207" i="8"/>
  <c r="DF208" i="8"/>
  <c r="DF209" i="8"/>
  <c r="DF211" i="8"/>
  <c r="DF212" i="8"/>
  <c r="DF213" i="8"/>
  <c r="DF214" i="8"/>
  <c r="DF215" i="8"/>
  <c r="DF216" i="8"/>
  <c r="DF217" i="8"/>
  <c r="DF218" i="8"/>
  <c r="DF219" i="8"/>
  <c r="DF220" i="8"/>
  <c r="DF221" i="8"/>
  <c r="DF222" i="8"/>
  <c r="DF223" i="8"/>
  <c r="DF224" i="8"/>
  <c r="DF225" i="8"/>
  <c r="DF226" i="8"/>
  <c r="DF227" i="8"/>
  <c r="DF228" i="8"/>
  <c r="DF229" i="8"/>
  <c r="DF230" i="8"/>
  <c r="DF231" i="8"/>
  <c r="DF232" i="8"/>
  <c r="DF233" i="8"/>
  <c r="DF234" i="8"/>
  <c r="DF235" i="8"/>
  <c r="DF236" i="8"/>
  <c r="DF237" i="8"/>
  <c r="DF238" i="8"/>
  <c r="DF239" i="8"/>
  <c r="DF240" i="8"/>
  <c r="DF241" i="8"/>
  <c r="DF242" i="8"/>
  <c r="DF244" i="8"/>
  <c r="DF245" i="8"/>
  <c r="DF246" i="8"/>
  <c r="DF247" i="8"/>
  <c r="DF248" i="8"/>
  <c r="DF249" i="8"/>
  <c r="DF250" i="8"/>
  <c r="DF252" i="8"/>
  <c r="DF253" i="8"/>
  <c r="DF254" i="8"/>
  <c r="DF255" i="8"/>
  <c r="DF256" i="8"/>
  <c r="DF257" i="8"/>
  <c r="DF258" i="8"/>
  <c r="DF259" i="8"/>
  <c r="DF261" i="8"/>
  <c r="DF262" i="8"/>
  <c r="DF263" i="8"/>
  <c r="DF264" i="8"/>
  <c r="DF265" i="8"/>
  <c r="DF266" i="8"/>
  <c r="DF267" i="8"/>
  <c r="DF268" i="8"/>
  <c r="DF269" i="8"/>
  <c r="DF270" i="8"/>
  <c r="DF271" i="8"/>
  <c r="DF272" i="8"/>
  <c r="DF273" i="8"/>
  <c r="DF274" i="8"/>
  <c r="DF275" i="8"/>
  <c r="DF276" i="8"/>
  <c r="J116" i="7"/>
  <c r="J117" i="7"/>
  <c r="DG255" i="8"/>
  <c r="K119" i="7"/>
  <c r="J119" i="7"/>
  <c r="J118" i="7"/>
  <c r="J120" i="7"/>
  <c r="DG254" i="8"/>
  <c r="K118" i="7"/>
  <c r="K120" i="7"/>
  <c r="K121" i="7"/>
  <c r="DG210" i="8"/>
  <c r="DG243" i="8"/>
  <c r="DG226" i="8"/>
  <c r="DG145" i="8"/>
  <c r="DG146" i="8"/>
  <c r="DG147" i="8"/>
  <c r="DG148" i="8"/>
  <c r="DG149" i="8"/>
  <c r="DG150" i="8"/>
  <c r="DG151" i="8"/>
  <c r="DG152" i="8"/>
  <c r="DG153" i="8"/>
  <c r="DG154" i="8"/>
  <c r="DG155" i="8"/>
  <c r="DG156" i="8"/>
  <c r="DG157" i="8"/>
  <c r="DG158" i="8"/>
  <c r="DG159" i="8"/>
  <c r="DG160" i="8"/>
  <c r="DG161" i="8"/>
  <c r="DG162" i="8"/>
  <c r="DG163" i="8"/>
  <c r="DG164" i="8"/>
  <c r="DG165" i="8"/>
  <c r="DG166" i="8"/>
  <c r="DG167" i="8"/>
  <c r="DG168" i="8"/>
  <c r="DG169" i="8"/>
  <c r="DG170" i="8"/>
  <c r="DG171" i="8"/>
  <c r="DG172" i="8"/>
  <c r="DG173" i="8"/>
  <c r="DG174" i="8"/>
  <c r="DG175" i="8"/>
  <c r="DG176" i="8"/>
  <c r="DG177" i="8"/>
  <c r="DG178" i="8"/>
  <c r="DG179" i="8"/>
  <c r="DG180" i="8"/>
  <c r="DG181" i="8"/>
  <c r="DG182" i="8"/>
  <c r="DG183" i="8"/>
  <c r="DG184" i="8"/>
  <c r="DG185" i="8"/>
  <c r="DG186" i="8"/>
  <c r="DG187" i="8"/>
  <c r="DG188" i="8"/>
  <c r="DG189" i="8"/>
  <c r="DG190" i="8"/>
  <c r="DG191" i="8"/>
  <c r="DG192" i="8"/>
  <c r="DG193" i="8"/>
  <c r="DG194" i="8"/>
  <c r="DG195" i="8"/>
  <c r="DG196" i="8"/>
  <c r="DG197" i="8"/>
  <c r="DG198" i="8"/>
  <c r="DG199" i="8"/>
  <c r="DG200" i="8"/>
  <c r="DG201" i="8"/>
  <c r="DG202" i="8"/>
  <c r="DG203" i="8"/>
  <c r="DG204" i="8"/>
  <c r="DG205" i="8"/>
  <c r="DG206" i="8"/>
  <c r="DG207" i="8"/>
  <c r="DG208" i="8"/>
  <c r="DG209" i="8"/>
  <c r="DG211" i="8"/>
  <c r="DG212" i="8"/>
  <c r="DG213" i="8"/>
  <c r="DG214" i="8"/>
  <c r="DG215" i="8"/>
  <c r="DG216" i="8"/>
  <c r="DG217" i="8"/>
  <c r="DG218" i="8"/>
  <c r="DG219" i="8"/>
  <c r="DG220" i="8"/>
  <c r="DG221" i="8"/>
  <c r="DG222" i="8"/>
  <c r="DG223" i="8"/>
  <c r="DG224" i="8"/>
  <c r="DG225" i="8"/>
  <c r="DG227" i="8"/>
  <c r="DG228" i="8"/>
  <c r="DG229" i="8"/>
  <c r="DG230" i="8"/>
  <c r="DG231" i="8"/>
  <c r="DG232" i="8"/>
  <c r="DG233" i="8"/>
  <c r="DG234" i="8"/>
  <c r="DG235" i="8"/>
  <c r="DG236" i="8"/>
  <c r="DG237" i="8"/>
  <c r="DG238" i="8"/>
  <c r="DG239" i="8"/>
  <c r="DG240" i="8"/>
  <c r="DG241" i="8"/>
  <c r="DG242" i="8"/>
  <c r="DG244" i="8"/>
  <c r="DG245" i="8"/>
  <c r="DG246" i="8"/>
  <c r="DG247" i="8"/>
  <c r="DG248" i="8"/>
  <c r="DG249" i="8"/>
  <c r="DG250" i="8"/>
  <c r="DG251" i="8"/>
  <c r="DG252" i="8"/>
  <c r="DG253" i="8"/>
  <c r="DG256" i="8"/>
  <c r="DG257" i="8"/>
  <c r="DG258" i="8"/>
  <c r="DG259" i="8"/>
  <c r="DG260" i="8"/>
  <c r="DG261" i="8"/>
  <c r="DG262" i="8"/>
  <c r="DG263" i="8"/>
  <c r="DG264" i="8"/>
  <c r="DG265" i="8"/>
  <c r="DG266" i="8"/>
  <c r="DG267" i="8"/>
  <c r="DG268" i="8"/>
  <c r="DG269" i="8"/>
  <c r="DG270" i="8"/>
  <c r="DG271" i="8"/>
  <c r="DG272" i="8"/>
  <c r="DG273" i="8"/>
  <c r="DG274" i="8"/>
  <c r="DG275" i="8"/>
  <c r="DG276" i="8"/>
  <c r="K122" i="7"/>
  <c r="K123" i="7"/>
  <c r="J125" i="7"/>
  <c r="K125" i="7"/>
  <c r="K124" i="7"/>
  <c r="K126" i="7"/>
  <c r="J124" i="7"/>
  <c r="J126" i="7"/>
  <c r="N115" i="7"/>
  <c r="M115" i="7"/>
  <c r="A129" i="7"/>
  <c r="I129" i="7"/>
  <c r="DT90" i="8"/>
  <c r="DT123" i="8"/>
  <c r="DT106" i="8"/>
  <c r="DT114" i="8"/>
  <c r="DT25" i="8"/>
  <c r="DT26" i="8"/>
  <c r="DT27" i="8"/>
  <c r="DT28" i="8"/>
  <c r="DT29" i="8"/>
  <c r="DT30" i="8"/>
  <c r="DT31" i="8"/>
  <c r="DT32" i="8"/>
  <c r="DT33" i="8"/>
  <c r="DT34" i="8"/>
  <c r="DT35" i="8"/>
  <c r="DT36" i="8"/>
  <c r="DT37" i="8"/>
  <c r="DT38" i="8"/>
  <c r="DT39" i="8"/>
  <c r="DT40" i="8"/>
  <c r="DT41" i="8"/>
  <c r="DT42" i="8"/>
  <c r="DT43" i="8"/>
  <c r="DT44" i="8"/>
  <c r="DT45" i="8"/>
  <c r="DT46" i="8"/>
  <c r="DT47" i="8"/>
  <c r="DT48" i="8"/>
  <c r="DT49" i="8"/>
  <c r="DT50" i="8"/>
  <c r="DT51" i="8"/>
  <c r="DT52" i="8"/>
  <c r="DT53" i="8"/>
  <c r="DT54" i="8"/>
  <c r="DT55" i="8"/>
  <c r="DT56" i="8"/>
  <c r="DT57" i="8"/>
  <c r="DT58" i="8"/>
  <c r="DT59" i="8"/>
  <c r="DT60" i="8"/>
  <c r="DT61" i="8"/>
  <c r="DT62" i="8"/>
  <c r="DT63" i="8"/>
  <c r="DT64" i="8"/>
  <c r="DT65" i="8"/>
  <c r="DT66" i="8"/>
  <c r="DT67" i="8"/>
  <c r="DT68" i="8"/>
  <c r="DT69" i="8"/>
  <c r="DT70" i="8"/>
  <c r="DT71" i="8"/>
  <c r="DT72" i="8"/>
  <c r="DT73" i="8"/>
  <c r="DT74" i="8"/>
  <c r="DT75" i="8"/>
  <c r="DT76" i="8"/>
  <c r="DT77" i="8"/>
  <c r="DT78" i="8"/>
  <c r="DT79" i="8"/>
  <c r="DT80" i="8"/>
  <c r="DT81" i="8"/>
  <c r="DT82" i="8"/>
  <c r="DT83" i="8"/>
  <c r="DT84" i="8"/>
  <c r="DT85" i="8"/>
  <c r="DT86" i="8"/>
  <c r="DT87" i="8"/>
  <c r="DT88" i="8"/>
  <c r="DT89" i="8"/>
  <c r="DT91" i="8"/>
  <c r="DT92" i="8"/>
  <c r="DT93" i="8"/>
  <c r="DT94" i="8"/>
  <c r="DT95" i="8"/>
  <c r="DT96" i="8"/>
  <c r="DT97" i="8"/>
  <c r="DT98" i="8"/>
  <c r="DT99" i="8"/>
  <c r="DT100" i="8"/>
  <c r="DT101" i="8"/>
  <c r="DT102" i="8"/>
  <c r="DT103" i="8"/>
  <c r="DT104" i="8"/>
  <c r="DT105" i="8"/>
  <c r="DT107" i="8"/>
  <c r="DT108" i="8"/>
  <c r="DT109" i="8"/>
  <c r="DT110" i="8"/>
  <c r="DT111" i="8"/>
  <c r="DT112" i="8"/>
  <c r="DT113" i="8"/>
  <c r="DT115" i="8"/>
  <c r="DT116" i="8"/>
  <c r="DT117" i="8"/>
  <c r="DT118" i="8"/>
  <c r="DT119" i="8"/>
  <c r="DT120" i="8"/>
  <c r="DT121" i="8"/>
  <c r="DT122" i="8"/>
  <c r="DT124" i="8"/>
  <c r="DT125" i="8"/>
  <c r="DT126" i="8"/>
  <c r="DT127" i="8"/>
  <c r="DT128" i="8"/>
  <c r="DT129" i="8"/>
  <c r="DT130" i="8"/>
  <c r="DT131" i="8"/>
  <c r="DT132" i="8"/>
  <c r="DT133" i="8"/>
  <c r="DT134" i="8"/>
  <c r="DT135" i="8"/>
  <c r="DT136" i="8"/>
  <c r="DT137" i="8"/>
  <c r="DT138" i="8"/>
  <c r="DT139" i="8"/>
  <c r="DT140" i="8"/>
  <c r="DT145" i="8"/>
  <c r="DT146" i="8"/>
  <c r="DT147" i="8"/>
  <c r="DT148" i="8"/>
  <c r="DT149" i="8"/>
  <c r="DT150" i="8"/>
  <c r="DT151" i="8"/>
  <c r="DT152" i="8"/>
  <c r="DT153" i="8"/>
  <c r="DT154" i="8"/>
  <c r="DT155" i="8"/>
  <c r="DT156" i="8"/>
  <c r="DU118" i="8"/>
  <c r="DU117" i="8"/>
  <c r="DU90" i="8"/>
  <c r="DU123" i="8"/>
  <c r="DU106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U85" i="8"/>
  <c r="DU86" i="8"/>
  <c r="DU87" i="8"/>
  <c r="DU88" i="8"/>
  <c r="DU89" i="8"/>
  <c r="DU91" i="8"/>
  <c r="DU92" i="8"/>
  <c r="DU93" i="8"/>
  <c r="DU94" i="8"/>
  <c r="DU95" i="8"/>
  <c r="DU96" i="8"/>
  <c r="DU97" i="8"/>
  <c r="DU98" i="8"/>
  <c r="DU99" i="8"/>
  <c r="DU100" i="8"/>
  <c r="DU101" i="8"/>
  <c r="DU102" i="8"/>
  <c r="DU103" i="8"/>
  <c r="DU104" i="8"/>
  <c r="DU105" i="8"/>
  <c r="DU107" i="8"/>
  <c r="DU108" i="8"/>
  <c r="DU109" i="8"/>
  <c r="DU110" i="8"/>
  <c r="DU111" i="8"/>
  <c r="DU112" i="8"/>
  <c r="DU113" i="8"/>
  <c r="DU114" i="8"/>
  <c r="DU115" i="8"/>
  <c r="DU116" i="8"/>
  <c r="DU119" i="8"/>
  <c r="DU120" i="8"/>
  <c r="DU121" i="8"/>
  <c r="DU122" i="8"/>
  <c r="DU124" i="8"/>
  <c r="DU125" i="8"/>
  <c r="DU126" i="8"/>
  <c r="DU127" i="8"/>
  <c r="DU128" i="8"/>
  <c r="DU129" i="8"/>
  <c r="DU130" i="8"/>
  <c r="DU131" i="8"/>
  <c r="DU132" i="8"/>
  <c r="DU133" i="8"/>
  <c r="DU134" i="8"/>
  <c r="DU135" i="8"/>
  <c r="DU136" i="8"/>
  <c r="DU137" i="8"/>
  <c r="DU138" i="8"/>
  <c r="DU139" i="8"/>
  <c r="DU140" i="8"/>
  <c r="DU145" i="8"/>
  <c r="DU146" i="8"/>
  <c r="DU147" i="8"/>
  <c r="DU148" i="8"/>
  <c r="DU149" i="8"/>
  <c r="DU150" i="8"/>
  <c r="DU151" i="8"/>
  <c r="DU152" i="8"/>
  <c r="DU153" i="8"/>
  <c r="DU154" i="8"/>
  <c r="DU155" i="8"/>
  <c r="DU156" i="8"/>
  <c r="DT210" i="8"/>
  <c r="DT243" i="8"/>
  <c r="DT260" i="8"/>
  <c r="DT251" i="8"/>
  <c r="DT157" i="8"/>
  <c r="DT158" i="8"/>
  <c r="DT159" i="8"/>
  <c r="DT160" i="8"/>
  <c r="DT161" i="8"/>
  <c r="DT162" i="8"/>
  <c r="DT163" i="8"/>
  <c r="DT164" i="8"/>
  <c r="DT165" i="8"/>
  <c r="DT166" i="8"/>
  <c r="DT167" i="8"/>
  <c r="DT168" i="8"/>
  <c r="DT169" i="8"/>
  <c r="DT170" i="8"/>
  <c r="DT171" i="8"/>
  <c r="DT172" i="8"/>
  <c r="DT173" i="8"/>
  <c r="DT174" i="8"/>
  <c r="DT175" i="8"/>
  <c r="DT176" i="8"/>
  <c r="DT177" i="8"/>
  <c r="DT178" i="8"/>
  <c r="DT179" i="8"/>
  <c r="DT180" i="8"/>
  <c r="DT181" i="8"/>
  <c r="DT182" i="8"/>
  <c r="DT183" i="8"/>
  <c r="DT184" i="8"/>
  <c r="DT185" i="8"/>
  <c r="DT186" i="8"/>
  <c r="DT187" i="8"/>
  <c r="DT188" i="8"/>
  <c r="DT189" i="8"/>
  <c r="DT190" i="8"/>
  <c r="DT191" i="8"/>
  <c r="DT192" i="8"/>
  <c r="DT193" i="8"/>
  <c r="DT194" i="8"/>
  <c r="DT195" i="8"/>
  <c r="DT196" i="8"/>
  <c r="DT197" i="8"/>
  <c r="DT198" i="8"/>
  <c r="DT199" i="8"/>
  <c r="DT200" i="8"/>
  <c r="DT201" i="8"/>
  <c r="DT202" i="8"/>
  <c r="DT203" i="8"/>
  <c r="DT204" i="8"/>
  <c r="DT205" i="8"/>
  <c r="DT206" i="8"/>
  <c r="DT207" i="8"/>
  <c r="DT208" i="8"/>
  <c r="DT209" i="8"/>
  <c r="DT211" i="8"/>
  <c r="DT212" i="8"/>
  <c r="DT213" i="8"/>
  <c r="DT214" i="8"/>
  <c r="DT215" i="8"/>
  <c r="DT216" i="8"/>
  <c r="DT217" i="8"/>
  <c r="DT218" i="8"/>
  <c r="DT219" i="8"/>
  <c r="DT220" i="8"/>
  <c r="DT221" i="8"/>
  <c r="DT222" i="8"/>
  <c r="DT223" i="8"/>
  <c r="DT224" i="8"/>
  <c r="DT225" i="8"/>
  <c r="DT226" i="8"/>
  <c r="DT227" i="8"/>
  <c r="DT228" i="8"/>
  <c r="DT229" i="8"/>
  <c r="DT230" i="8"/>
  <c r="DT231" i="8"/>
  <c r="DT232" i="8"/>
  <c r="DT233" i="8"/>
  <c r="DT234" i="8"/>
  <c r="DT235" i="8"/>
  <c r="DT236" i="8"/>
  <c r="DT237" i="8"/>
  <c r="DT238" i="8"/>
  <c r="DT239" i="8"/>
  <c r="DT240" i="8"/>
  <c r="DT241" i="8"/>
  <c r="DT242" i="8"/>
  <c r="DT244" i="8"/>
  <c r="DT245" i="8"/>
  <c r="DT246" i="8"/>
  <c r="DT247" i="8"/>
  <c r="DT248" i="8"/>
  <c r="DT249" i="8"/>
  <c r="DT250" i="8"/>
  <c r="DT252" i="8"/>
  <c r="DT253" i="8"/>
  <c r="DT254" i="8"/>
  <c r="DT255" i="8"/>
  <c r="DT256" i="8"/>
  <c r="DT257" i="8"/>
  <c r="DT258" i="8"/>
  <c r="DT259" i="8"/>
  <c r="DT261" i="8"/>
  <c r="DT262" i="8"/>
  <c r="DT263" i="8"/>
  <c r="DT264" i="8"/>
  <c r="DT265" i="8"/>
  <c r="DT266" i="8"/>
  <c r="DT267" i="8"/>
  <c r="DT268" i="8"/>
  <c r="DT269" i="8"/>
  <c r="DT270" i="8"/>
  <c r="DT271" i="8"/>
  <c r="DT272" i="8"/>
  <c r="DT273" i="8"/>
  <c r="DT274" i="8"/>
  <c r="DT275" i="8"/>
  <c r="DT276" i="8"/>
  <c r="J132" i="7"/>
  <c r="J133" i="7"/>
  <c r="DU258" i="8"/>
  <c r="K135" i="7"/>
  <c r="J135" i="7"/>
  <c r="J134" i="7"/>
  <c r="J136" i="7"/>
  <c r="DU257" i="8"/>
  <c r="K134" i="7"/>
  <c r="K136" i="7"/>
  <c r="K137" i="7"/>
  <c r="DU210" i="8"/>
  <c r="DU177" i="8"/>
  <c r="DU160" i="8"/>
  <c r="K138" i="7"/>
  <c r="K139" i="7"/>
  <c r="J141" i="7"/>
  <c r="K141" i="7"/>
  <c r="K140" i="7"/>
  <c r="K142" i="7"/>
  <c r="J140" i="7"/>
  <c r="J142" i="7"/>
  <c r="N131" i="7"/>
  <c r="M131" i="7"/>
  <c r="DT9" i="8"/>
  <c r="DU9" i="8"/>
  <c r="DT10" i="8"/>
  <c r="DU10" i="8"/>
  <c r="DT11" i="8"/>
  <c r="DU11" i="8"/>
  <c r="DT12" i="8"/>
  <c r="DU12" i="8"/>
  <c r="DT13" i="8"/>
  <c r="DU13" i="8"/>
  <c r="DT14" i="8"/>
  <c r="DU14" i="8"/>
  <c r="DT15" i="8"/>
  <c r="DU15" i="8"/>
  <c r="DT16" i="8"/>
  <c r="DU16" i="8"/>
  <c r="DT17" i="8"/>
  <c r="DU17" i="8"/>
  <c r="DT18" i="8"/>
  <c r="DU18" i="8"/>
  <c r="DT19" i="8"/>
  <c r="DU19" i="8"/>
  <c r="DT20" i="8"/>
  <c r="DU20" i="8"/>
  <c r="DT21" i="8"/>
  <c r="DU21" i="8"/>
  <c r="DT22" i="8"/>
  <c r="DU22" i="8"/>
  <c r="DT23" i="8"/>
  <c r="DU23" i="8"/>
  <c r="DT24" i="8"/>
  <c r="DU24" i="8"/>
  <c r="DU157" i="8"/>
  <c r="DU158" i="8"/>
  <c r="DU159" i="8"/>
  <c r="DU161" i="8"/>
  <c r="DU162" i="8"/>
  <c r="DU163" i="8"/>
  <c r="DU164" i="8"/>
  <c r="DU165" i="8"/>
  <c r="DU166" i="8"/>
  <c r="DU167" i="8"/>
  <c r="DU168" i="8"/>
  <c r="DU169" i="8"/>
  <c r="DU170" i="8"/>
  <c r="DU171" i="8"/>
  <c r="DU172" i="8"/>
  <c r="DU173" i="8"/>
  <c r="DU174" i="8"/>
  <c r="DU175" i="8"/>
  <c r="DU176" i="8"/>
  <c r="DU178" i="8"/>
  <c r="DU179" i="8"/>
  <c r="DU180" i="8"/>
  <c r="DU181" i="8"/>
  <c r="DU182" i="8"/>
  <c r="DU183" i="8"/>
  <c r="DU184" i="8"/>
  <c r="DU185" i="8"/>
  <c r="DU186" i="8"/>
  <c r="DU187" i="8"/>
  <c r="DU188" i="8"/>
  <c r="DU189" i="8"/>
  <c r="DU190" i="8"/>
  <c r="DU191" i="8"/>
  <c r="DU192" i="8"/>
  <c r="DU193" i="8"/>
  <c r="DU194" i="8"/>
  <c r="DU195" i="8"/>
  <c r="DU196" i="8"/>
  <c r="DU197" i="8"/>
  <c r="DU198" i="8"/>
  <c r="DU199" i="8"/>
  <c r="DU200" i="8"/>
  <c r="DU201" i="8"/>
  <c r="DU202" i="8"/>
  <c r="DU203" i="8"/>
  <c r="DU204" i="8"/>
  <c r="DU205" i="8"/>
  <c r="DU206" i="8"/>
  <c r="DU207" i="8"/>
  <c r="DU208" i="8"/>
  <c r="DU209" i="8"/>
  <c r="DU211" i="8"/>
  <c r="DU212" i="8"/>
  <c r="DU213" i="8"/>
  <c r="DU214" i="8"/>
  <c r="DU215" i="8"/>
  <c r="DU216" i="8"/>
  <c r="DU217" i="8"/>
  <c r="DU218" i="8"/>
  <c r="DU219" i="8"/>
  <c r="DU220" i="8"/>
  <c r="DU221" i="8"/>
  <c r="DU222" i="8"/>
  <c r="DU223" i="8"/>
  <c r="DU224" i="8"/>
  <c r="DU225" i="8"/>
  <c r="DU226" i="8"/>
  <c r="DU227" i="8"/>
  <c r="DU228" i="8"/>
  <c r="DU229" i="8"/>
  <c r="DU230" i="8"/>
  <c r="DU231" i="8"/>
  <c r="DU232" i="8"/>
  <c r="DU233" i="8"/>
  <c r="DU234" i="8"/>
  <c r="DU235" i="8"/>
  <c r="DU236" i="8"/>
  <c r="DU237" i="8"/>
  <c r="DU238" i="8"/>
  <c r="DU239" i="8"/>
  <c r="DU240" i="8"/>
  <c r="DU241" i="8"/>
  <c r="DU242" i="8"/>
  <c r="DU243" i="8"/>
  <c r="DU244" i="8"/>
  <c r="DU245" i="8"/>
  <c r="DU246" i="8"/>
  <c r="DU247" i="8"/>
  <c r="DU248" i="8"/>
  <c r="DU249" i="8"/>
  <c r="DU250" i="8"/>
  <c r="DU251" i="8"/>
  <c r="DU252" i="8"/>
  <c r="DU253" i="8"/>
  <c r="DU254" i="8"/>
  <c r="DU255" i="8"/>
  <c r="DU256" i="8"/>
  <c r="DU259" i="8"/>
  <c r="DU260" i="8"/>
  <c r="DU261" i="8"/>
  <c r="DU262" i="8"/>
  <c r="DU263" i="8"/>
  <c r="DU264" i="8"/>
  <c r="DU265" i="8"/>
  <c r="DU266" i="8"/>
  <c r="DU267" i="8"/>
  <c r="DU268" i="8"/>
  <c r="DU269" i="8"/>
  <c r="DU270" i="8"/>
  <c r="DU271" i="8"/>
  <c r="DU272" i="8"/>
  <c r="DU273" i="8"/>
  <c r="DU274" i="8"/>
  <c r="DU275" i="8"/>
  <c r="DU276" i="8"/>
  <c r="F5" i="12"/>
  <c r="M17" i="12"/>
  <c r="N17" i="12"/>
  <c r="D38" i="12"/>
  <c r="O17" i="12"/>
  <c r="P17" i="12"/>
  <c r="Q17" i="12"/>
  <c r="AZ17" i="12"/>
  <c r="AR17" i="12"/>
  <c r="O30" i="12"/>
  <c r="BB17" i="12"/>
  <c r="M18" i="12"/>
  <c r="N18" i="12"/>
  <c r="O18" i="12"/>
  <c r="P18" i="12"/>
  <c r="Q18" i="12"/>
  <c r="AR18" i="12"/>
  <c r="AL19" i="12"/>
  <c r="AL20" i="12"/>
  <c r="M19" i="12"/>
  <c r="N19" i="12"/>
  <c r="O19" i="12"/>
  <c r="P19" i="12"/>
  <c r="Q19" i="12"/>
  <c r="M20" i="12"/>
  <c r="N20" i="12"/>
  <c r="O20" i="12"/>
  <c r="P20" i="12"/>
  <c r="Q20" i="12"/>
  <c r="M21" i="12"/>
  <c r="N21" i="12"/>
  <c r="O21" i="12"/>
  <c r="P21" i="12"/>
  <c r="Q21" i="12"/>
  <c r="M22" i="12"/>
  <c r="N22" i="12"/>
  <c r="O22" i="12"/>
  <c r="P22" i="12"/>
  <c r="Q22" i="12"/>
  <c r="M23" i="12"/>
  <c r="N23" i="12"/>
  <c r="O23" i="12"/>
  <c r="P23" i="12"/>
  <c r="Q23" i="12"/>
  <c r="M24" i="12"/>
  <c r="N24" i="12"/>
  <c r="O24" i="12"/>
  <c r="P24" i="12"/>
  <c r="Q24" i="12"/>
  <c r="M25" i="12"/>
  <c r="N25" i="12"/>
  <c r="O25" i="12"/>
  <c r="P25" i="12"/>
  <c r="Q25" i="12"/>
  <c r="M26" i="12"/>
  <c r="N26" i="12"/>
  <c r="O26" i="12"/>
  <c r="P26" i="12"/>
  <c r="Q26" i="12"/>
  <c r="M27" i="12"/>
  <c r="N27" i="12"/>
  <c r="O27" i="12"/>
  <c r="P27" i="12"/>
  <c r="Q27" i="12"/>
  <c r="M28" i="12"/>
  <c r="N28" i="12"/>
  <c r="O28" i="12"/>
  <c r="P28" i="12"/>
  <c r="Q28" i="12"/>
  <c r="M29" i="12"/>
  <c r="N29" i="12"/>
  <c r="O29" i="12"/>
  <c r="P29" i="12"/>
  <c r="Q29" i="12"/>
  <c r="M30" i="12"/>
  <c r="N30" i="12"/>
  <c r="P30" i="12"/>
  <c r="Q30" i="12"/>
  <c r="M31" i="12"/>
  <c r="N31" i="12"/>
  <c r="O31" i="12"/>
  <c r="P31" i="12"/>
  <c r="Q31" i="12"/>
  <c r="M32" i="12"/>
  <c r="N32" i="12"/>
  <c r="O32" i="12"/>
  <c r="P32" i="12"/>
  <c r="Q32" i="12"/>
  <c r="M33" i="12"/>
  <c r="N33" i="12"/>
  <c r="O33" i="12"/>
  <c r="P33" i="12"/>
  <c r="Q33" i="12"/>
  <c r="M34" i="12"/>
  <c r="N34" i="12"/>
  <c r="O34" i="12"/>
  <c r="P34" i="12"/>
  <c r="Q34" i="12"/>
  <c r="M35" i="12"/>
  <c r="N35" i="12"/>
  <c r="O35" i="12"/>
  <c r="P35" i="12"/>
  <c r="Q35" i="12"/>
  <c r="M36" i="12"/>
  <c r="N36" i="12"/>
  <c r="O36" i="12"/>
  <c r="P36" i="12"/>
  <c r="Q36" i="12"/>
  <c r="M37" i="12"/>
  <c r="N37" i="12"/>
  <c r="O37" i="12"/>
  <c r="P37" i="12"/>
  <c r="Q37" i="12"/>
  <c r="H38" i="12"/>
  <c r="M38" i="12"/>
  <c r="N38" i="12"/>
  <c r="O38" i="12"/>
  <c r="P38" i="12"/>
  <c r="Q38" i="12"/>
  <c r="M39" i="12"/>
  <c r="N39" i="12"/>
  <c r="O39" i="12"/>
  <c r="P39" i="12"/>
  <c r="Q39" i="12"/>
  <c r="D40" i="12"/>
  <c r="H40" i="12"/>
  <c r="M40" i="12"/>
  <c r="N40" i="12"/>
  <c r="O40" i="12"/>
  <c r="P40" i="12"/>
  <c r="Q40" i="12"/>
  <c r="D41" i="12"/>
  <c r="H41" i="12"/>
  <c r="M41" i="12"/>
  <c r="N41" i="12"/>
  <c r="O41" i="12"/>
  <c r="P41" i="12"/>
  <c r="Q41" i="12"/>
  <c r="M42" i="12"/>
  <c r="N42" i="12"/>
  <c r="O42" i="12"/>
  <c r="P42" i="12"/>
  <c r="Q42" i="12"/>
  <c r="M43" i="12"/>
  <c r="N43" i="12"/>
  <c r="O43" i="12"/>
  <c r="P43" i="12"/>
  <c r="Q43" i="12"/>
  <c r="M44" i="12"/>
  <c r="N44" i="12"/>
  <c r="O44" i="12"/>
  <c r="P44" i="12"/>
  <c r="Q44" i="12"/>
  <c r="M45" i="12"/>
  <c r="N45" i="12"/>
  <c r="O45" i="12"/>
  <c r="P45" i="12"/>
  <c r="Q45" i="12"/>
  <c r="M46" i="12"/>
  <c r="N46" i="12"/>
  <c r="O46" i="12"/>
  <c r="P46" i="12"/>
  <c r="Q46" i="12"/>
  <c r="M47" i="12"/>
  <c r="N47" i="12"/>
  <c r="O47" i="12"/>
  <c r="P47" i="12"/>
  <c r="Q47" i="12"/>
  <c r="M48" i="12"/>
  <c r="N48" i="12"/>
  <c r="O48" i="12"/>
  <c r="P48" i="12"/>
  <c r="Q48" i="12"/>
  <c r="M49" i="12"/>
  <c r="N49" i="12"/>
  <c r="O49" i="12"/>
  <c r="P49" i="12"/>
  <c r="Q49" i="12"/>
  <c r="M50" i="12"/>
  <c r="N50" i="12"/>
  <c r="O50" i="12"/>
  <c r="P50" i="12"/>
  <c r="Q50" i="12"/>
  <c r="M51" i="12"/>
  <c r="N51" i="12"/>
  <c r="O51" i="12"/>
  <c r="P51" i="12"/>
  <c r="Q51" i="12"/>
  <c r="M52" i="12"/>
  <c r="N52" i="12"/>
  <c r="O52" i="12"/>
  <c r="P52" i="12"/>
  <c r="Q52" i="12"/>
  <c r="M53" i="12"/>
  <c r="N53" i="12"/>
  <c r="O53" i="12"/>
  <c r="P53" i="12"/>
  <c r="Q53" i="12"/>
  <c r="M54" i="12"/>
  <c r="N54" i="12"/>
  <c r="O54" i="12"/>
  <c r="P54" i="12"/>
  <c r="Q54" i="12"/>
  <c r="M55" i="12"/>
  <c r="N55" i="12"/>
  <c r="O55" i="12"/>
  <c r="P55" i="12"/>
  <c r="Q55" i="12"/>
  <c r="M56" i="12"/>
  <c r="N56" i="12"/>
  <c r="O56" i="12"/>
  <c r="P56" i="12"/>
  <c r="Q56" i="12"/>
  <c r="M57" i="12"/>
  <c r="N57" i="12"/>
  <c r="O57" i="12"/>
  <c r="P57" i="12"/>
  <c r="Q57" i="12"/>
  <c r="M58" i="12"/>
  <c r="N58" i="12"/>
  <c r="O58" i="12"/>
  <c r="P58" i="12"/>
  <c r="Q58" i="12"/>
  <c r="M59" i="12"/>
  <c r="N59" i="12"/>
  <c r="O59" i="12"/>
  <c r="P59" i="12"/>
  <c r="Q59" i="12"/>
  <c r="M60" i="12"/>
  <c r="N60" i="12"/>
  <c r="O60" i="12"/>
  <c r="P60" i="12"/>
  <c r="Q60" i="12"/>
  <c r="M61" i="12"/>
  <c r="N61" i="12"/>
  <c r="O61" i="12"/>
  <c r="P61" i="12"/>
  <c r="Q61" i="12"/>
  <c r="M62" i="12"/>
  <c r="N62" i="12"/>
  <c r="O62" i="12"/>
  <c r="P62" i="12"/>
  <c r="Q62" i="12"/>
  <c r="M63" i="12"/>
  <c r="N63" i="12"/>
  <c r="O63" i="12"/>
  <c r="P63" i="12"/>
  <c r="Q63" i="12"/>
  <c r="M64" i="12"/>
  <c r="N64" i="12"/>
  <c r="O64" i="12"/>
  <c r="P64" i="12"/>
  <c r="Q64" i="12"/>
  <c r="C135" i="12"/>
  <c r="K118" i="12"/>
  <c r="M120" i="12"/>
  <c r="N120" i="12"/>
  <c r="O120" i="12"/>
  <c r="P120" i="12"/>
  <c r="Q120" i="12"/>
  <c r="M121" i="12"/>
  <c r="N121" i="12"/>
  <c r="O121" i="12"/>
  <c r="P121" i="12"/>
  <c r="Q121" i="12"/>
  <c r="R121" i="12"/>
  <c r="M122" i="12"/>
  <c r="N122" i="12"/>
  <c r="O122" i="12"/>
  <c r="P122" i="12"/>
  <c r="Q122" i="12"/>
  <c r="R122" i="12"/>
  <c r="U122" i="12"/>
  <c r="X122" i="12"/>
  <c r="M123" i="12"/>
  <c r="N123" i="12"/>
  <c r="O123" i="12"/>
  <c r="P123" i="12"/>
  <c r="Q123" i="12"/>
  <c r="R123" i="12"/>
  <c r="V123" i="12"/>
  <c r="W123" i="12"/>
  <c r="M124" i="12"/>
  <c r="N124" i="12"/>
  <c r="O124" i="12"/>
  <c r="P124" i="12"/>
  <c r="Q124" i="12"/>
  <c r="R124" i="12"/>
  <c r="M125" i="12"/>
  <c r="N125" i="12"/>
  <c r="O125" i="12"/>
  <c r="P125" i="12"/>
  <c r="Q125" i="12"/>
  <c r="R125" i="12"/>
  <c r="M126" i="12"/>
  <c r="N126" i="12"/>
  <c r="O126" i="12"/>
  <c r="P126" i="12"/>
  <c r="Q126" i="12"/>
  <c r="R126" i="12"/>
  <c r="M127" i="12"/>
  <c r="N127" i="12"/>
  <c r="O127" i="12"/>
  <c r="P127" i="12"/>
  <c r="Q127" i="12"/>
  <c r="R127" i="12"/>
  <c r="V127" i="12"/>
  <c r="W127" i="12"/>
  <c r="M128" i="12"/>
  <c r="N128" i="12"/>
  <c r="O128" i="12"/>
  <c r="P128" i="12"/>
  <c r="Q128" i="12"/>
  <c r="R128" i="12"/>
  <c r="M129" i="12"/>
  <c r="N129" i="12"/>
  <c r="O129" i="12"/>
  <c r="P129" i="12"/>
  <c r="Q129" i="12"/>
  <c r="R129" i="12"/>
  <c r="U129" i="12"/>
  <c r="X129" i="12"/>
  <c r="M130" i="12"/>
  <c r="N130" i="12"/>
  <c r="O130" i="12"/>
  <c r="P130" i="12"/>
  <c r="Q130" i="12"/>
  <c r="R130" i="12"/>
  <c r="M131" i="12"/>
  <c r="N131" i="12"/>
  <c r="O131" i="12"/>
  <c r="P131" i="12"/>
  <c r="Q131" i="12"/>
  <c r="R131" i="12"/>
  <c r="U131" i="12"/>
  <c r="X131" i="12"/>
  <c r="M132" i="12"/>
  <c r="N132" i="12"/>
  <c r="O132" i="12"/>
  <c r="P132" i="12"/>
  <c r="Q132" i="12"/>
  <c r="R132" i="12"/>
  <c r="V132" i="12"/>
  <c r="W132" i="12"/>
  <c r="M133" i="12"/>
  <c r="N133" i="12"/>
  <c r="O133" i="12"/>
  <c r="P133" i="12"/>
  <c r="Q133" i="12"/>
  <c r="R133" i="12"/>
  <c r="M134" i="12"/>
  <c r="N134" i="12"/>
  <c r="O134" i="12"/>
  <c r="P134" i="12"/>
  <c r="Q134" i="12"/>
  <c r="R134" i="12"/>
  <c r="G135" i="12"/>
  <c r="M135" i="12"/>
  <c r="N135" i="12"/>
  <c r="O135" i="12"/>
  <c r="P135" i="12"/>
  <c r="Q135" i="12"/>
  <c r="R135" i="12"/>
  <c r="S135" i="12"/>
  <c r="T135" i="12"/>
  <c r="D141" i="12"/>
  <c r="H141" i="12"/>
  <c r="D143" i="12"/>
  <c r="H143" i="12"/>
  <c r="D144" i="12"/>
  <c r="H144" i="12"/>
  <c r="D145" i="12"/>
  <c r="H145" i="12"/>
  <c r="M192" i="12"/>
  <c r="N192" i="12"/>
  <c r="D213" i="12"/>
  <c r="O192" i="12"/>
  <c r="P192" i="12"/>
  <c r="Q192" i="12"/>
  <c r="M193" i="12"/>
  <c r="N193" i="12"/>
  <c r="O193" i="12"/>
  <c r="P193" i="12"/>
  <c r="Q193" i="12"/>
  <c r="M194" i="12"/>
  <c r="N194" i="12"/>
  <c r="O194" i="12"/>
  <c r="P194" i="12"/>
  <c r="Q194" i="12"/>
  <c r="M195" i="12"/>
  <c r="N195" i="12"/>
  <c r="O195" i="12"/>
  <c r="P195" i="12"/>
  <c r="Q195" i="12"/>
  <c r="M196" i="12"/>
  <c r="N196" i="12"/>
  <c r="O196" i="12"/>
  <c r="P196" i="12"/>
  <c r="Q196" i="12"/>
  <c r="M197" i="12"/>
  <c r="N197" i="12"/>
  <c r="O197" i="12"/>
  <c r="P197" i="12"/>
  <c r="Q197" i="12"/>
  <c r="M198" i="12"/>
  <c r="N198" i="12"/>
  <c r="O198" i="12"/>
  <c r="P198" i="12"/>
  <c r="Q198" i="12"/>
  <c r="M199" i="12"/>
  <c r="N199" i="12"/>
  <c r="O199" i="12"/>
  <c r="P199" i="12"/>
  <c r="Q199" i="12"/>
  <c r="M200" i="12"/>
  <c r="N200" i="12"/>
  <c r="O200" i="12"/>
  <c r="P200" i="12"/>
  <c r="Q200" i="12"/>
  <c r="M201" i="12"/>
  <c r="N201" i="12"/>
  <c r="O201" i="12"/>
  <c r="P201" i="12"/>
  <c r="Q201" i="12"/>
  <c r="M202" i="12"/>
  <c r="N202" i="12"/>
  <c r="O202" i="12"/>
  <c r="P202" i="12"/>
  <c r="Q202" i="12"/>
  <c r="M203" i="12"/>
  <c r="N203" i="12"/>
  <c r="O203" i="12"/>
  <c r="P203" i="12"/>
  <c r="Q203" i="12"/>
  <c r="M204" i="12"/>
  <c r="N204" i="12"/>
  <c r="O204" i="12"/>
  <c r="P204" i="12"/>
  <c r="Q204" i="12"/>
  <c r="M205" i="12"/>
  <c r="N205" i="12"/>
  <c r="O205" i="12"/>
  <c r="P205" i="12"/>
  <c r="Q205" i="12"/>
  <c r="M206" i="12"/>
  <c r="N206" i="12"/>
  <c r="O206" i="12"/>
  <c r="P206" i="12"/>
  <c r="Q206" i="12"/>
  <c r="M207" i="12"/>
  <c r="N207" i="12"/>
  <c r="O207" i="12"/>
  <c r="P207" i="12"/>
  <c r="Q207" i="12"/>
  <c r="H213" i="12"/>
  <c r="D215" i="12"/>
  <c r="H215" i="12"/>
  <c r="D216" i="12"/>
  <c r="H216" i="12"/>
  <c r="D217" i="12"/>
  <c r="H217" i="12"/>
  <c r="G4" i="2"/>
  <c r="Q6" i="2"/>
  <c r="B7" i="2"/>
  <c r="C7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E2" i="10"/>
  <c r="O6" i="10"/>
  <c r="O8" i="10"/>
  <c r="O7" i="10"/>
  <c r="AI5" i="10"/>
  <c r="AH5" i="10"/>
  <c r="P6" i="10"/>
  <c r="P7" i="10"/>
  <c r="P8" i="10"/>
  <c r="X8" i="10"/>
  <c r="X9" i="10"/>
  <c r="X10" i="10"/>
  <c r="O11" i="10"/>
  <c r="O13" i="10"/>
  <c r="X19" i="10"/>
  <c r="X20" i="10"/>
  <c r="X21" i="10"/>
  <c r="AD258" i="10"/>
  <c r="AE258" i="10"/>
  <c r="AD259" i="10"/>
  <c r="AD260" i="10"/>
  <c r="AD261" i="10"/>
  <c r="AE261" i="10"/>
  <c r="AD262" i="10"/>
  <c r="AE262" i="10"/>
  <c r="AD263" i="10"/>
  <c r="AE263" i="10"/>
  <c r="AE264" i="10"/>
  <c r="AE265" i="10"/>
  <c r="AE266" i="10"/>
  <c r="AD267" i="10"/>
  <c r="AE267" i="10"/>
  <c r="AD268" i="10"/>
  <c r="AE268" i="10"/>
  <c r="AE269" i="10"/>
  <c r="AD269" i="10"/>
  <c r="AD270" i="10"/>
  <c r="AE270" i="10"/>
  <c r="AD271" i="10"/>
  <c r="AD272" i="10"/>
  <c r="AD273" i="10"/>
  <c r="AE273" i="10"/>
  <c r="AD274" i="10"/>
  <c r="AE274" i="10"/>
  <c r="AD275" i="10"/>
  <c r="AE275" i="10"/>
  <c r="AE276" i="10"/>
  <c r="AE277" i="10"/>
  <c r="AE278" i="10"/>
  <c r="AD279" i="10"/>
  <c r="AE279" i="10"/>
  <c r="AD280" i="10"/>
  <c r="AE280" i="10"/>
  <c r="AE281" i="10"/>
  <c r="AD281" i="10"/>
  <c r="AD282" i="10"/>
  <c r="AE282" i="10"/>
  <c r="AD283" i="10"/>
  <c r="AD284" i="10"/>
  <c r="AD285" i="10"/>
  <c r="AE285" i="10"/>
  <c r="AD286" i="10"/>
  <c r="AE286" i="10"/>
  <c r="AD287" i="10"/>
  <c r="AE287" i="10"/>
  <c r="AE288" i="10"/>
  <c r="AE289" i="10"/>
  <c r="AE290" i="10"/>
  <c r="AD291" i="10"/>
  <c r="AE291" i="10"/>
  <c r="AD292" i="10"/>
  <c r="AE292" i="10"/>
  <c r="AE293" i="10"/>
  <c r="AD293" i="10"/>
  <c r="AD294" i="10"/>
  <c r="AE294" i="10"/>
  <c r="AD295" i="10"/>
  <c r="AD296" i="10"/>
  <c r="AD297" i="10"/>
  <c r="AE297" i="10"/>
  <c r="AD298" i="10"/>
  <c r="AE298" i="10"/>
  <c r="AD299" i="10"/>
  <c r="AE299" i="10"/>
  <c r="AE300" i="10"/>
  <c r="AE301" i="10"/>
  <c r="AE302" i="10"/>
  <c r="AD303" i="10"/>
  <c r="AE303" i="10"/>
  <c r="AD304" i="10"/>
  <c r="AE304" i="10"/>
  <c r="AE305" i="10"/>
  <c r="AD305" i="10"/>
  <c r="AD306" i="10"/>
  <c r="AE306" i="10"/>
  <c r="AD307" i="10"/>
  <c r="AD308" i="10"/>
  <c r="AD309" i="10"/>
  <c r="AE309" i="10"/>
  <c r="AD310" i="10"/>
  <c r="AE310" i="10"/>
  <c r="AD311" i="10"/>
  <c r="AE311" i="10"/>
  <c r="AE312" i="10"/>
  <c r="AE313" i="10"/>
  <c r="AE314" i="10"/>
  <c r="AD315" i="10"/>
  <c r="AE315" i="10"/>
  <c r="AD316" i="10"/>
  <c r="AE316" i="10"/>
  <c r="AE317" i="10"/>
  <c r="AD317" i="10"/>
  <c r="AD318" i="10"/>
  <c r="AE318" i="10"/>
  <c r="AD319" i="10"/>
  <c r="AD320" i="10"/>
  <c r="AD321" i="10"/>
  <c r="AE321" i="10"/>
  <c r="AD322" i="10"/>
  <c r="AE322" i="10"/>
  <c r="AD323" i="10"/>
  <c r="AE323" i="10"/>
  <c r="AE324" i="10"/>
  <c r="AE325" i="10"/>
  <c r="AE326" i="10"/>
  <c r="AD327" i="10"/>
  <c r="AE327" i="10"/>
  <c r="AD328" i="10"/>
  <c r="AE328" i="10"/>
  <c r="AE329" i="10"/>
  <c r="AD329" i="10"/>
  <c r="AD330" i="10"/>
  <c r="AE330" i="10"/>
  <c r="AD331" i="10"/>
  <c r="AD332" i="10"/>
  <c r="AD333" i="10"/>
  <c r="AE333" i="10"/>
  <c r="AD334" i="10"/>
  <c r="AE334" i="10"/>
  <c r="AD335" i="10"/>
  <c r="AE335" i="10"/>
  <c r="AE336" i="10"/>
  <c r="AE337" i="10"/>
  <c r="AE338" i="10"/>
  <c r="AD339" i="10"/>
  <c r="AE339" i="10"/>
  <c r="AD340" i="10"/>
  <c r="AE340" i="10"/>
  <c r="AE341" i="10"/>
  <c r="AD341" i="10"/>
  <c r="AD342" i="10"/>
  <c r="AE342" i="10"/>
  <c r="AD343" i="10"/>
  <c r="AD344" i="10"/>
  <c r="AD345" i="10"/>
  <c r="AE345" i="10"/>
  <c r="AD346" i="10"/>
  <c r="AE346" i="10"/>
  <c r="AD347" i="10"/>
  <c r="AE347" i="10"/>
  <c r="AE348" i="10"/>
  <c r="AE349" i="10"/>
  <c r="AE350" i="10"/>
  <c r="AD351" i="10"/>
  <c r="AE351" i="10"/>
  <c r="AD352" i="10"/>
  <c r="AE352" i="10"/>
  <c r="AE353" i="10"/>
  <c r="AD353" i="10"/>
  <c r="AD354" i="10"/>
  <c r="AE354" i="10"/>
  <c r="AD355" i="10"/>
  <c r="AD356" i="10"/>
  <c r="AD357" i="10"/>
  <c r="AE357" i="10"/>
  <c r="AD358" i="10"/>
  <c r="AE358" i="10"/>
  <c r="AD359" i="10"/>
  <c r="AE359" i="10"/>
  <c r="AE360" i="10"/>
  <c r="AE361" i="10"/>
  <c r="AE362" i="10"/>
  <c r="AD363" i="10"/>
  <c r="AE363" i="10"/>
  <c r="AD364" i="10"/>
  <c r="AE364" i="10"/>
  <c r="AE365" i="10"/>
  <c r="AD365" i="10"/>
  <c r="AD366" i="10"/>
  <c r="AE366" i="10"/>
  <c r="AD367" i="10"/>
  <c r="AD368" i="10"/>
  <c r="AD369" i="10"/>
  <c r="AE369" i="10"/>
  <c r="AD370" i="10"/>
  <c r="AE370" i="10"/>
  <c r="AD371" i="10"/>
  <c r="AE371" i="10"/>
  <c r="AE372" i="10"/>
  <c r="AE373" i="10"/>
  <c r="AE374" i="10"/>
  <c r="AD375" i="10"/>
  <c r="AE375" i="10"/>
  <c r="AD376" i="10"/>
  <c r="AE376" i="10"/>
  <c r="AE377" i="10"/>
  <c r="AD377" i="10"/>
  <c r="AD378" i="10"/>
  <c r="AE378" i="10"/>
  <c r="AD379" i="10"/>
  <c r="AD380" i="10"/>
  <c r="AD381" i="10"/>
  <c r="AE381" i="10"/>
  <c r="AD382" i="10"/>
  <c r="AE382" i="10"/>
  <c r="AD383" i="10"/>
  <c r="AE383" i="10"/>
  <c r="AE384" i="10"/>
  <c r="AE385" i="10"/>
  <c r="AE386" i="10"/>
  <c r="AD387" i="10"/>
  <c r="AE387" i="10"/>
  <c r="AD388" i="10"/>
  <c r="AE388" i="10"/>
  <c r="AE389" i="10"/>
  <c r="AD389" i="10"/>
  <c r="AD390" i="10"/>
  <c r="AE390" i="10"/>
  <c r="AD391" i="10"/>
  <c r="AD392" i="10"/>
  <c r="AD393" i="10"/>
  <c r="AE393" i="10"/>
  <c r="AD394" i="10"/>
  <c r="AE394" i="10"/>
  <c r="AD395" i="10"/>
  <c r="AE395" i="10"/>
  <c r="AE396" i="10"/>
  <c r="AE397" i="10"/>
  <c r="AE398" i="10"/>
  <c r="AD399" i="10"/>
  <c r="AE399" i="10"/>
  <c r="AD400" i="10"/>
  <c r="AE400" i="10"/>
  <c r="AE401" i="10"/>
  <c r="AD401" i="10"/>
  <c r="AD402" i="10"/>
  <c r="AE402" i="10"/>
  <c r="AD403" i="10"/>
  <c r="AD404" i="10"/>
  <c r="AD405" i="10"/>
  <c r="AE405" i="10"/>
  <c r="AD406" i="10"/>
  <c r="AE406" i="10"/>
  <c r="AD407" i="10"/>
  <c r="AE407" i="10"/>
  <c r="AE408" i="10"/>
  <c r="AE409" i="10"/>
  <c r="AE410" i="10"/>
  <c r="AD411" i="10"/>
  <c r="AE411" i="10"/>
  <c r="AD412" i="10"/>
  <c r="AE412" i="10"/>
  <c r="AE413" i="10"/>
  <c r="AD413" i="10"/>
  <c r="AD414" i="10"/>
  <c r="AE414" i="10"/>
  <c r="AD415" i="10"/>
  <c r="AD416" i="10"/>
  <c r="AD417" i="10"/>
  <c r="AE417" i="10"/>
  <c r="AD418" i="10"/>
  <c r="AE418" i="10"/>
  <c r="AD419" i="10"/>
  <c r="AE419" i="10"/>
  <c r="AE420" i="10"/>
  <c r="AE421" i="10"/>
  <c r="AE422" i="10"/>
  <c r="AD423" i="10"/>
  <c r="AE423" i="10"/>
  <c r="AD424" i="10"/>
  <c r="AE424" i="10"/>
  <c r="AE425" i="10"/>
  <c r="AD425" i="10"/>
  <c r="AD426" i="10"/>
  <c r="AE426" i="10"/>
  <c r="AD427" i="10"/>
  <c r="AD428" i="10"/>
  <c r="AD429" i="10"/>
  <c r="AE429" i="10"/>
  <c r="AD430" i="10"/>
  <c r="AE430" i="10"/>
  <c r="AD431" i="10"/>
  <c r="AE431" i="10"/>
  <c r="AE432" i="10"/>
  <c r="AE433" i="10"/>
  <c r="AE434" i="10"/>
  <c r="AD435" i="10"/>
  <c r="AE435" i="10"/>
  <c r="AD436" i="10"/>
  <c r="AE436" i="10"/>
  <c r="AE437" i="10"/>
  <c r="AD437" i="10"/>
  <c r="AD438" i="10"/>
  <c r="AE438" i="10"/>
  <c r="AD439" i="10"/>
  <c r="AD440" i="10"/>
  <c r="AD441" i="10"/>
  <c r="AE441" i="10"/>
  <c r="AD442" i="10"/>
  <c r="AE442" i="10"/>
  <c r="AD443" i="10"/>
  <c r="AE443" i="10"/>
  <c r="AE444" i="10"/>
  <c r="AE445" i="10"/>
  <c r="AE446" i="10"/>
  <c r="AD447" i="10"/>
  <c r="AE447" i="10"/>
  <c r="AD448" i="10"/>
  <c r="AE448" i="10"/>
  <c r="AE449" i="10"/>
  <c r="AD449" i="10"/>
  <c r="AD450" i="10"/>
  <c r="AE450" i="10"/>
  <c r="AD451" i="10"/>
  <c r="AD452" i="10"/>
  <c r="AD453" i="10"/>
  <c r="AE453" i="10"/>
  <c r="AD454" i="10"/>
  <c r="AE454" i="10"/>
  <c r="AD455" i="10"/>
  <c r="AE455" i="10"/>
  <c r="AE456" i="10"/>
  <c r="AE457" i="10"/>
  <c r="AE458" i="10"/>
  <c r="AD459" i="10"/>
  <c r="AE459" i="10"/>
  <c r="AD460" i="10"/>
  <c r="AE460" i="10"/>
  <c r="AE461" i="10"/>
  <c r="AD461" i="10"/>
  <c r="AD462" i="10"/>
  <c r="AE462" i="10"/>
  <c r="AD463" i="10"/>
  <c r="AD464" i="10"/>
  <c r="AD465" i="10"/>
  <c r="AE465" i="10"/>
  <c r="AD466" i="10"/>
  <c r="AE466" i="10"/>
  <c r="AD467" i="10"/>
  <c r="AE467" i="10"/>
  <c r="AE468" i="10"/>
  <c r="AE469" i="10"/>
  <c r="AE470" i="10"/>
  <c r="AD471" i="10"/>
  <c r="AE471" i="10"/>
  <c r="AD472" i="10"/>
  <c r="AE472" i="10"/>
  <c r="AE473" i="10"/>
  <c r="AD473" i="10"/>
  <c r="AD474" i="10"/>
  <c r="AE474" i="10"/>
  <c r="AD475" i="10"/>
  <c r="AD476" i="10"/>
  <c r="AD477" i="10"/>
  <c r="AE477" i="10"/>
  <c r="AD478" i="10"/>
  <c r="AE478" i="10"/>
  <c r="AD479" i="10"/>
  <c r="AE479" i="10"/>
  <c r="AE480" i="10"/>
  <c r="AE481" i="10"/>
  <c r="AE482" i="10"/>
  <c r="AD483" i="10"/>
  <c r="AE483" i="10"/>
  <c r="AD484" i="10"/>
  <c r="AE484" i="10"/>
  <c r="AE485" i="10"/>
  <c r="AD485" i="10"/>
  <c r="AD486" i="10"/>
  <c r="AE486" i="10"/>
  <c r="AD487" i="10"/>
  <c r="AD488" i="10"/>
  <c r="AD489" i="10"/>
  <c r="AE489" i="10"/>
  <c r="AD490" i="10"/>
  <c r="AE490" i="10"/>
  <c r="AD491" i="10"/>
  <c r="AE491" i="10"/>
  <c r="AE492" i="10"/>
  <c r="AE493" i="10"/>
  <c r="AE494" i="10"/>
  <c r="AD495" i="10"/>
  <c r="AE495" i="10"/>
  <c r="AD496" i="10"/>
  <c r="AE496" i="10"/>
  <c r="AE497" i="10"/>
  <c r="AD497" i="10"/>
  <c r="AD498" i="10"/>
  <c r="AE498" i="10"/>
  <c r="AD499" i="10"/>
  <c r="AD500" i="10"/>
  <c r="AD501" i="10"/>
  <c r="AE501" i="10"/>
  <c r="AD502" i="10"/>
  <c r="AE502" i="10"/>
  <c r="AD503" i="10"/>
  <c r="AE503" i="10"/>
  <c r="AE504" i="10"/>
  <c r="AE505" i="10"/>
  <c r="AE506" i="10"/>
  <c r="AD507" i="10"/>
  <c r="AE507" i="10"/>
  <c r="AD508" i="10"/>
  <c r="AE508" i="10"/>
  <c r="AE509" i="10"/>
  <c r="AD509" i="10"/>
  <c r="AD510" i="10"/>
  <c r="AE510" i="10"/>
  <c r="AD511" i="10"/>
  <c r="AD512" i="10"/>
  <c r="AD513" i="10"/>
  <c r="AE513" i="10"/>
  <c r="AD514" i="10"/>
  <c r="AE514" i="10"/>
  <c r="AD515" i="10"/>
  <c r="AE515" i="10"/>
  <c r="AE516" i="10"/>
  <c r="AE517" i="10"/>
  <c r="AE518" i="10"/>
  <c r="AD519" i="10"/>
  <c r="AE519" i="10"/>
  <c r="AD520" i="10"/>
  <c r="AE520" i="10"/>
  <c r="AE521" i="10"/>
  <c r="AD521" i="10"/>
  <c r="AD522" i="10"/>
  <c r="AE522" i="10"/>
  <c r="AD523" i="10"/>
  <c r="AD524" i="10"/>
  <c r="AD525" i="10"/>
  <c r="AE525" i="10"/>
  <c r="AD526" i="10"/>
  <c r="AE526" i="10"/>
  <c r="AD527" i="10"/>
  <c r="AE527" i="10"/>
  <c r="AE528" i="10"/>
  <c r="AE529" i="10"/>
  <c r="AE530" i="10"/>
  <c r="AD531" i="10"/>
  <c r="AE531" i="10"/>
  <c r="AD532" i="10"/>
  <c r="AE532" i="10"/>
  <c r="AE533" i="10"/>
  <c r="AD533" i="10"/>
  <c r="AD534" i="10"/>
  <c r="AE534" i="10"/>
  <c r="AD535" i="10"/>
  <c r="AD536" i="10"/>
  <c r="AD537" i="10"/>
  <c r="AE537" i="10"/>
  <c r="AD538" i="10"/>
  <c r="AE538" i="10"/>
  <c r="AD539" i="10"/>
  <c r="AE539" i="10"/>
  <c r="AE540" i="10"/>
  <c r="AE541" i="10"/>
  <c r="AE542" i="10"/>
  <c r="AD543" i="10"/>
  <c r="AE543" i="10"/>
  <c r="AD544" i="10"/>
  <c r="AE544" i="10"/>
  <c r="AE545" i="10"/>
  <c r="AD545" i="10"/>
  <c r="AD546" i="10"/>
  <c r="AE546" i="10"/>
  <c r="AD547" i="10"/>
  <c r="AD548" i="10"/>
  <c r="AD549" i="10"/>
  <c r="AE549" i="10"/>
  <c r="AD550" i="10"/>
  <c r="AE550" i="10"/>
  <c r="AD551" i="10"/>
  <c r="AE551" i="10"/>
  <c r="AE552" i="10"/>
  <c r="AE553" i="10"/>
  <c r="AE554" i="10"/>
  <c r="AD555" i="10"/>
  <c r="AE555" i="10"/>
  <c r="AD556" i="10"/>
  <c r="AE556" i="10"/>
  <c r="AE557" i="10"/>
  <c r="AD557" i="10"/>
  <c r="AD558" i="10"/>
  <c r="AE558" i="10"/>
  <c r="AD559" i="10"/>
  <c r="AD560" i="10"/>
  <c r="AD561" i="10"/>
  <c r="AE561" i="10"/>
  <c r="AD562" i="10"/>
  <c r="AE562" i="10"/>
  <c r="AD563" i="10"/>
  <c r="AE563" i="10"/>
  <c r="AE564" i="10"/>
  <c r="AE565" i="10"/>
  <c r="AE566" i="10"/>
  <c r="AD567" i="10"/>
  <c r="AE567" i="10"/>
  <c r="AD568" i="10"/>
  <c r="AE568" i="10"/>
  <c r="AE569" i="10"/>
  <c r="AD569" i="10"/>
  <c r="AD570" i="10"/>
  <c r="AE570" i="10"/>
  <c r="AD571" i="10"/>
  <c r="AD572" i="10"/>
  <c r="AD573" i="10"/>
  <c r="AE573" i="10"/>
  <c r="AD574" i="10"/>
  <c r="AE574" i="10"/>
  <c r="AD575" i="10"/>
  <c r="AE575" i="10"/>
  <c r="AE576" i="10"/>
  <c r="AE577" i="10"/>
  <c r="AE578" i="10"/>
  <c r="AD579" i="10"/>
  <c r="AE579" i="10"/>
  <c r="AD580" i="10"/>
  <c r="AE580" i="10"/>
  <c r="AE581" i="10"/>
  <c r="AD581" i="10"/>
  <c r="AD582" i="10"/>
  <c r="AE582" i="10"/>
  <c r="AD583" i="10"/>
  <c r="AD584" i="10"/>
  <c r="AD585" i="10"/>
  <c r="AE585" i="10"/>
  <c r="AD586" i="10"/>
  <c r="AE586" i="10"/>
  <c r="AD587" i="10"/>
  <c r="AE587" i="10"/>
  <c r="AE588" i="10"/>
  <c r="AE589" i="10"/>
  <c r="AE590" i="10"/>
  <c r="AD591" i="10"/>
  <c r="AE591" i="10"/>
  <c r="AD592" i="10"/>
  <c r="AE592" i="10"/>
  <c r="AE593" i="10"/>
  <c r="AD593" i="10"/>
  <c r="AD594" i="10"/>
  <c r="AE594" i="10"/>
  <c r="AD595" i="10"/>
  <c r="AD596" i="10"/>
  <c r="AD597" i="10"/>
  <c r="AE597" i="10"/>
  <c r="AD598" i="10"/>
  <c r="AE598" i="10"/>
  <c r="AD599" i="10"/>
  <c r="AE599" i="10"/>
  <c r="AE600" i="10"/>
  <c r="AE601" i="10"/>
  <c r="AE602" i="10"/>
  <c r="AD603" i="10"/>
  <c r="AE603" i="10"/>
  <c r="AD604" i="10"/>
  <c r="AE604" i="10"/>
  <c r="AE605" i="10"/>
  <c r="AD605" i="10"/>
  <c r="AD606" i="10"/>
  <c r="AE606" i="10"/>
  <c r="AD607" i="10"/>
  <c r="AD608" i="10"/>
  <c r="AD609" i="10"/>
  <c r="AE609" i="10"/>
  <c r="AD610" i="10"/>
  <c r="AE610" i="10"/>
  <c r="AD611" i="10"/>
  <c r="AE611" i="10"/>
  <c r="AE612" i="10"/>
  <c r="AE613" i="10"/>
  <c r="AE614" i="10"/>
  <c r="AD615" i="10"/>
  <c r="AE615" i="10"/>
  <c r="AD616" i="10"/>
  <c r="AE616" i="10"/>
  <c r="AE617" i="10"/>
  <c r="AD617" i="10"/>
  <c r="AD618" i="10"/>
  <c r="AE618" i="10"/>
  <c r="AD619" i="10"/>
  <c r="AD620" i="10"/>
  <c r="AD621" i="10"/>
  <c r="AE621" i="10"/>
  <c r="AD622" i="10"/>
  <c r="AE622" i="10"/>
  <c r="AD623" i="10"/>
  <c r="AE623" i="10"/>
  <c r="AE624" i="10"/>
  <c r="AE625" i="10"/>
  <c r="AE626" i="10"/>
  <c r="AD627" i="10"/>
  <c r="AE627" i="10"/>
  <c r="AD628" i="10"/>
  <c r="AE628" i="10"/>
  <c r="AE629" i="10"/>
  <c r="AD629" i="10"/>
  <c r="AD630" i="10"/>
  <c r="AE630" i="10"/>
  <c r="AD631" i="10"/>
  <c r="AD632" i="10"/>
  <c r="AD633" i="10"/>
  <c r="AE633" i="10"/>
  <c r="AD634" i="10"/>
  <c r="AE634" i="10"/>
  <c r="AD635" i="10"/>
  <c r="AE635" i="10"/>
  <c r="AE636" i="10"/>
  <c r="AE637" i="10"/>
  <c r="AE638" i="10"/>
  <c r="AD639" i="10"/>
  <c r="AE639" i="10"/>
  <c r="AD640" i="10"/>
  <c r="AE640" i="10"/>
  <c r="AE641" i="10"/>
  <c r="AD641" i="10"/>
  <c r="AD642" i="10"/>
  <c r="AE642" i="10"/>
  <c r="AD643" i="10"/>
  <c r="AD644" i="10"/>
  <c r="AD645" i="10"/>
  <c r="AE645" i="10"/>
  <c r="AD646" i="10"/>
  <c r="AE646" i="10"/>
  <c r="AD647" i="10"/>
  <c r="AE647" i="10"/>
  <c r="AE648" i="10"/>
  <c r="AE649" i="10"/>
  <c r="AE650" i="10"/>
  <c r="AD651" i="10"/>
  <c r="AE651" i="10"/>
  <c r="AD652" i="10"/>
  <c r="AE652" i="10"/>
  <c r="AE653" i="10"/>
  <c r="AD653" i="10"/>
  <c r="AD654" i="10"/>
  <c r="AE654" i="10"/>
  <c r="AD655" i="10"/>
  <c r="AD656" i="10"/>
  <c r="AD657" i="10"/>
  <c r="AE657" i="10"/>
  <c r="AD658" i="10"/>
  <c r="AE658" i="10"/>
  <c r="AD659" i="10"/>
  <c r="AE659" i="10"/>
  <c r="AE660" i="10"/>
  <c r="AE661" i="10"/>
  <c r="AE662" i="10"/>
  <c r="AD663" i="10"/>
  <c r="AE663" i="10"/>
  <c r="AD664" i="10"/>
  <c r="AE664" i="10"/>
  <c r="AE665" i="10"/>
  <c r="AD665" i="10"/>
  <c r="AD666" i="10"/>
  <c r="AE666" i="10"/>
  <c r="AD667" i="10"/>
  <c r="AD668" i="10"/>
  <c r="AD669" i="10"/>
  <c r="AE669" i="10"/>
  <c r="AD670" i="10"/>
  <c r="AE670" i="10"/>
  <c r="AD671" i="10"/>
  <c r="AE671" i="10"/>
  <c r="AE672" i="10"/>
  <c r="AE673" i="10"/>
  <c r="AE674" i="10"/>
  <c r="AD675" i="10"/>
  <c r="AE675" i="10"/>
  <c r="AD676" i="10"/>
  <c r="AE676" i="10"/>
  <c r="AE677" i="10"/>
  <c r="AD677" i="10"/>
  <c r="AD678" i="10"/>
  <c r="AE678" i="10"/>
  <c r="AD679" i="10"/>
  <c r="AD680" i="10"/>
  <c r="AD681" i="10"/>
  <c r="AE681" i="10"/>
  <c r="AD682" i="10"/>
  <c r="AE682" i="10"/>
  <c r="AD683" i="10"/>
  <c r="AE683" i="10"/>
  <c r="AE684" i="10"/>
  <c r="AE685" i="10"/>
  <c r="AE686" i="10"/>
  <c r="AD687" i="10"/>
  <c r="AE687" i="10"/>
  <c r="AD688" i="10"/>
  <c r="AE688" i="10"/>
  <c r="AE689" i="10"/>
  <c r="AD689" i="10"/>
  <c r="AD690" i="10"/>
  <c r="AE690" i="10"/>
  <c r="AD691" i="10"/>
  <c r="AD692" i="10"/>
  <c r="AD693" i="10"/>
  <c r="AE693" i="10"/>
  <c r="AD694" i="10"/>
  <c r="AE694" i="10"/>
  <c r="AD695" i="10"/>
  <c r="AE695" i="10"/>
  <c r="AE696" i="10"/>
  <c r="AE697" i="10"/>
  <c r="AE698" i="10"/>
  <c r="AD699" i="10"/>
  <c r="AE699" i="10"/>
  <c r="AD700" i="10"/>
  <c r="AE700" i="10"/>
  <c r="AE701" i="10"/>
  <c r="AD701" i="10"/>
  <c r="AD702" i="10"/>
  <c r="AE702" i="10"/>
  <c r="AD703" i="10"/>
  <c r="AD704" i="10"/>
  <c r="AD705" i="10"/>
  <c r="AE705" i="10"/>
  <c r="AD706" i="10"/>
  <c r="AE706" i="10"/>
  <c r="AD707" i="10"/>
  <c r="AE707" i="10"/>
  <c r="AE708" i="10"/>
  <c r="AE709" i="10"/>
  <c r="AE710" i="10"/>
  <c r="AD711" i="10"/>
  <c r="AE711" i="10"/>
  <c r="AD712" i="10"/>
  <c r="AE712" i="10"/>
  <c r="AE713" i="10"/>
  <c r="AD713" i="10"/>
  <c r="AD714" i="10"/>
  <c r="AE714" i="10"/>
  <c r="AD715" i="10"/>
  <c r="AD716" i="10"/>
  <c r="AD717" i="10"/>
  <c r="AE717" i="10"/>
  <c r="AD718" i="10"/>
  <c r="AE718" i="10"/>
  <c r="AD719" i="10"/>
  <c r="AE719" i="10"/>
  <c r="AE720" i="10"/>
  <c r="AE721" i="10"/>
  <c r="AE722" i="10"/>
  <c r="AD723" i="10"/>
  <c r="AE723" i="10"/>
  <c r="AD724" i="10"/>
  <c r="AE724" i="10"/>
  <c r="AE725" i="10"/>
  <c r="AD725" i="10"/>
  <c r="AD726" i="10"/>
  <c r="AE726" i="10"/>
  <c r="AD727" i="10"/>
  <c r="AD728" i="10"/>
  <c r="AD729" i="10"/>
  <c r="AE729" i="10"/>
  <c r="AD730" i="10"/>
  <c r="AE730" i="10"/>
  <c r="AD731" i="10"/>
  <c r="AE731" i="10"/>
  <c r="AE732" i="10"/>
  <c r="AE733" i="10"/>
  <c r="AE734" i="10"/>
  <c r="AD735" i="10"/>
  <c r="AE735" i="10"/>
  <c r="AD736" i="10"/>
  <c r="AE736" i="10"/>
  <c r="AE737" i="10"/>
  <c r="AD737" i="10"/>
  <c r="AD738" i="10"/>
  <c r="AE738" i="10"/>
  <c r="AD739" i="10"/>
  <c r="AD740" i="10"/>
  <c r="AD741" i="10"/>
  <c r="AE741" i="10"/>
  <c r="AD742" i="10"/>
  <c r="AE742" i="10"/>
  <c r="AD743" i="10"/>
  <c r="AE743" i="10"/>
  <c r="AE744" i="10"/>
  <c r="AE745" i="10"/>
  <c r="AE746" i="10"/>
  <c r="AD747" i="10"/>
  <c r="AE747" i="10"/>
  <c r="AD748" i="10"/>
  <c r="AE748" i="10"/>
  <c r="AE749" i="10"/>
  <c r="AD749" i="10"/>
  <c r="AD750" i="10"/>
  <c r="AE750" i="10"/>
  <c r="AD751" i="10"/>
  <c r="AD752" i="10"/>
  <c r="AD753" i="10"/>
  <c r="AE753" i="10"/>
  <c r="AD754" i="10"/>
  <c r="AE754" i="10"/>
  <c r="AD755" i="10"/>
  <c r="AE755" i="10"/>
  <c r="AE756" i="10"/>
  <c r="AE757" i="10"/>
  <c r="AE758" i="10"/>
  <c r="AD759" i="10"/>
  <c r="AE759" i="10"/>
  <c r="AD760" i="10"/>
  <c r="AE760" i="10"/>
  <c r="AE761" i="10"/>
  <c r="AD761" i="10"/>
  <c r="AD762" i="10"/>
  <c r="AE762" i="10"/>
  <c r="AD763" i="10"/>
  <c r="AD764" i="10"/>
  <c r="AD765" i="10"/>
  <c r="AE765" i="10"/>
  <c r="AD766" i="10"/>
  <c r="AE766" i="10"/>
  <c r="AD767" i="10"/>
  <c r="AE767" i="10"/>
  <c r="AE768" i="10"/>
  <c r="AE769" i="10"/>
  <c r="AE770" i="10"/>
  <c r="AD771" i="10"/>
  <c r="AE771" i="10"/>
  <c r="AD772" i="10"/>
  <c r="AE772" i="10"/>
  <c r="AE773" i="10"/>
  <c r="AD773" i="10"/>
  <c r="AD774" i="10"/>
  <c r="AE774" i="10"/>
  <c r="AD775" i="10"/>
  <c r="AD776" i="10"/>
  <c r="AD777" i="10"/>
  <c r="AE777" i="10"/>
  <c r="AD778" i="10"/>
  <c r="AE778" i="10"/>
  <c r="AD779" i="10"/>
  <c r="AE779" i="10"/>
  <c r="AE780" i="10"/>
  <c r="AE781" i="10"/>
  <c r="AE782" i="10"/>
  <c r="AD783" i="10"/>
  <c r="AE783" i="10"/>
  <c r="AD784" i="10"/>
  <c r="AE784" i="10"/>
  <c r="AE785" i="10"/>
  <c r="AD785" i="10"/>
  <c r="AD786" i="10"/>
  <c r="AE786" i="10"/>
  <c r="AD787" i="10"/>
  <c r="AD788" i="10"/>
  <c r="AD789" i="10"/>
  <c r="AE789" i="10"/>
  <c r="AD790" i="10"/>
  <c r="AE790" i="10"/>
  <c r="AD791" i="10"/>
  <c r="AE791" i="10"/>
  <c r="AE792" i="10"/>
  <c r="AE793" i="10"/>
  <c r="AE794" i="10"/>
  <c r="AD795" i="10"/>
  <c r="AE795" i="10"/>
  <c r="AD796" i="10"/>
  <c r="AE796" i="10"/>
  <c r="AE797" i="10"/>
  <c r="AD797" i="10"/>
  <c r="AD798" i="10"/>
  <c r="AE798" i="10"/>
  <c r="AD799" i="10"/>
  <c r="AD800" i="10"/>
  <c r="AD801" i="10"/>
  <c r="AE801" i="10"/>
  <c r="AD802" i="10"/>
  <c r="AE802" i="10"/>
  <c r="AD803" i="10"/>
  <c r="AE803" i="10"/>
  <c r="AE804" i="10"/>
  <c r="AE805" i="10"/>
  <c r="AE806" i="10"/>
  <c r="AD807" i="10"/>
  <c r="AE807" i="10"/>
  <c r="AD808" i="10"/>
  <c r="AE808" i="10"/>
  <c r="AE809" i="10"/>
  <c r="AD809" i="10"/>
  <c r="AD810" i="10"/>
  <c r="AE810" i="10"/>
  <c r="AD811" i="10"/>
  <c r="AD812" i="10"/>
  <c r="AD813" i="10"/>
  <c r="AE813" i="10"/>
  <c r="AD814" i="10"/>
  <c r="AE814" i="10"/>
  <c r="AD815" i="10"/>
  <c r="AE815" i="10"/>
  <c r="AE816" i="10"/>
  <c r="AE817" i="10"/>
  <c r="AE818" i="10"/>
  <c r="AD819" i="10"/>
  <c r="AE819" i="10"/>
  <c r="AD820" i="10"/>
  <c r="AE820" i="10"/>
  <c r="AE821" i="10"/>
  <c r="AD821" i="10"/>
  <c r="AD822" i="10"/>
  <c r="AE822" i="10"/>
  <c r="AD823" i="10"/>
  <c r="AD824" i="10"/>
  <c r="AD825" i="10"/>
  <c r="AE825" i="10"/>
  <c r="AD826" i="10"/>
  <c r="AE826" i="10"/>
  <c r="AD827" i="10"/>
  <c r="AE827" i="10"/>
  <c r="AE828" i="10"/>
  <c r="AE829" i="10"/>
  <c r="AE830" i="10"/>
  <c r="AD831" i="10"/>
  <c r="AE831" i="10"/>
  <c r="AD832" i="10"/>
  <c r="AE832" i="10"/>
  <c r="AE833" i="10"/>
  <c r="AD833" i="10"/>
  <c r="AD834" i="10"/>
  <c r="AE834" i="10"/>
  <c r="AD835" i="10"/>
  <c r="AD836" i="10"/>
  <c r="AD837" i="10"/>
  <c r="AE837" i="10"/>
  <c r="AD838" i="10"/>
  <c r="AE838" i="10"/>
  <c r="AD839" i="10"/>
  <c r="AE839" i="10"/>
  <c r="AE840" i="10"/>
  <c r="AE841" i="10"/>
  <c r="AE842" i="10"/>
  <c r="AD843" i="10"/>
  <c r="AE843" i="10"/>
  <c r="AD844" i="10"/>
  <c r="AE844" i="10"/>
  <c r="AE845" i="10"/>
  <c r="AD845" i="10"/>
  <c r="AD846" i="10"/>
  <c r="AE846" i="10"/>
  <c r="AD847" i="10"/>
  <c r="AD848" i="10"/>
  <c r="AD849" i="10"/>
  <c r="AE849" i="10"/>
  <c r="AD850" i="10"/>
  <c r="AE850" i="10"/>
  <c r="AD851" i="10"/>
  <c r="AE851" i="10"/>
  <c r="AE852" i="10"/>
  <c r="AE853" i="10"/>
  <c r="AE854" i="10"/>
  <c r="AD855" i="10"/>
  <c r="AE855" i="10"/>
  <c r="AD856" i="10"/>
  <c r="AE856" i="10"/>
  <c r="AE857" i="10"/>
  <c r="AD857" i="10"/>
  <c r="AD858" i="10"/>
  <c r="AE858" i="10"/>
  <c r="AD859" i="10"/>
  <c r="AD860" i="10"/>
  <c r="AD861" i="10"/>
  <c r="AE861" i="10"/>
  <c r="AD862" i="10"/>
  <c r="AE862" i="10"/>
  <c r="AD863" i="10"/>
  <c r="AE863" i="10"/>
  <c r="AE864" i="10"/>
  <c r="AE865" i="10"/>
  <c r="AE866" i="10"/>
  <c r="AD867" i="10"/>
  <c r="AE867" i="10"/>
  <c r="AD868" i="10"/>
  <c r="AE868" i="10"/>
  <c r="AE869" i="10"/>
  <c r="AD869" i="10"/>
  <c r="AD870" i="10"/>
  <c r="AE870" i="10"/>
  <c r="AD871" i="10"/>
  <c r="AD872" i="10"/>
  <c r="AD873" i="10"/>
  <c r="AE873" i="10"/>
  <c r="AD874" i="10"/>
  <c r="AE874" i="10"/>
  <c r="AD875" i="10"/>
  <c r="AE875" i="10"/>
  <c r="AE876" i="10"/>
  <c r="AE877" i="10"/>
  <c r="AE878" i="10"/>
  <c r="AD879" i="10"/>
  <c r="AE879" i="10"/>
  <c r="AD880" i="10"/>
  <c r="AE880" i="10"/>
  <c r="AE881" i="10"/>
  <c r="AD881" i="10"/>
  <c r="AD882" i="10"/>
  <c r="AE882" i="10"/>
  <c r="AD883" i="10"/>
  <c r="AD884" i="10"/>
  <c r="AD885" i="10"/>
  <c r="AE885" i="10"/>
  <c r="AD886" i="10"/>
  <c r="AE886" i="10"/>
  <c r="AD887" i="10"/>
  <c r="AE887" i="10"/>
  <c r="AE888" i="10"/>
  <c r="AE889" i="10"/>
  <c r="AE890" i="10"/>
  <c r="AD891" i="10"/>
  <c r="AE891" i="10"/>
  <c r="AD892" i="10"/>
  <c r="AE892" i="10"/>
  <c r="AE893" i="10"/>
  <c r="AD893" i="10"/>
  <c r="AD894" i="10"/>
  <c r="AE894" i="10"/>
  <c r="AD895" i="10"/>
  <c r="AD896" i="10"/>
  <c r="AD897" i="10"/>
  <c r="AE897" i="10"/>
  <c r="AD898" i="10"/>
  <c r="AE898" i="10"/>
  <c r="AD899" i="10"/>
  <c r="AE899" i="10"/>
  <c r="AE900" i="10"/>
  <c r="AE901" i="10"/>
  <c r="AE902" i="10"/>
  <c r="AD903" i="10"/>
  <c r="AE903" i="10"/>
  <c r="AD904" i="10"/>
  <c r="AE904" i="10"/>
  <c r="AE905" i="10"/>
  <c r="AD905" i="10"/>
  <c r="AD906" i="10"/>
  <c r="AE906" i="10"/>
  <c r="AD907" i="10"/>
  <c r="AD908" i="10"/>
  <c r="AD909" i="10"/>
  <c r="AE909" i="10"/>
  <c r="AD910" i="10"/>
  <c r="AE910" i="10"/>
  <c r="AD911" i="10"/>
  <c r="AE911" i="10"/>
  <c r="AE912" i="10"/>
  <c r="AE913" i="10"/>
  <c r="AE914" i="10"/>
  <c r="AD915" i="10"/>
  <c r="AE915" i="10"/>
  <c r="AD916" i="10"/>
  <c r="AE916" i="10"/>
  <c r="AE917" i="10"/>
  <c r="AD917" i="10"/>
  <c r="AD918" i="10"/>
  <c r="AE918" i="10"/>
  <c r="AD919" i="10"/>
  <c r="AD920" i="10"/>
  <c r="AD921" i="10"/>
  <c r="AE921" i="10"/>
  <c r="AD922" i="10"/>
  <c r="AE922" i="10"/>
  <c r="AD923" i="10"/>
  <c r="AE923" i="10"/>
  <c r="AE924" i="10"/>
  <c r="AE925" i="10"/>
  <c r="AE926" i="10"/>
  <c r="AD927" i="10"/>
  <c r="AE927" i="10"/>
  <c r="AD928" i="10"/>
  <c r="AE928" i="10"/>
  <c r="AE929" i="10"/>
  <c r="AD929" i="10"/>
  <c r="AD930" i="10"/>
  <c r="AE930" i="10"/>
  <c r="AD931" i="10"/>
  <c r="AD932" i="10"/>
  <c r="AD933" i="10"/>
  <c r="AE933" i="10"/>
  <c r="AD934" i="10"/>
  <c r="AE934" i="10"/>
  <c r="AD935" i="10"/>
  <c r="AE935" i="10"/>
  <c r="AE936" i="10"/>
  <c r="AE937" i="10"/>
  <c r="AE938" i="10"/>
  <c r="AD939" i="10"/>
  <c r="AE939" i="10"/>
  <c r="AD940" i="10"/>
  <c r="AE940" i="10"/>
  <c r="AE941" i="10"/>
  <c r="AD941" i="10"/>
  <c r="AD942" i="10"/>
  <c r="AE942" i="10"/>
  <c r="AD943" i="10"/>
  <c r="AD944" i="10"/>
  <c r="AD945" i="10"/>
  <c r="AE945" i="10"/>
  <c r="AD946" i="10"/>
  <c r="AE946" i="10"/>
  <c r="AD947" i="10"/>
  <c r="AE947" i="10"/>
  <c r="AE948" i="10"/>
  <c r="AE949" i="10"/>
  <c r="AE950" i="10"/>
  <c r="AD951" i="10"/>
  <c r="AE951" i="10"/>
  <c r="AD952" i="10"/>
  <c r="AE952" i="10"/>
  <c r="AE953" i="10"/>
  <c r="AD953" i="10"/>
  <c r="AD954" i="10"/>
  <c r="AE954" i="10"/>
  <c r="AD955" i="10"/>
  <c r="AD956" i="10"/>
  <c r="AD957" i="10"/>
  <c r="AE957" i="10"/>
  <c r="AD958" i="10"/>
  <c r="AE958" i="10"/>
  <c r="AD959" i="10"/>
  <c r="AE959" i="10"/>
  <c r="AE960" i="10"/>
  <c r="AE961" i="10"/>
  <c r="AE962" i="10"/>
  <c r="AD963" i="10"/>
  <c r="AE963" i="10"/>
  <c r="AD964" i="10"/>
  <c r="AE964" i="10"/>
  <c r="AE965" i="10"/>
  <c r="AD965" i="10"/>
  <c r="AD966" i="10"/>
  <c r="AE966" i="10"/>
  <c r="AD967" i="10"/>
  <c r="AD968" i="10"/>
  <c r="AD969" i="10"/>
  <c r="AE969" i="10"/>
  <c r="AD970" i="10"/>
  <c r="AE970" i="10"/>
  <c r="AD971" i="10"/>
  <c r="AE971" i="10"/>
  <c r="AE972" i="10"/>
  <c r="AE973" i="10"/>
  <c r="AE974" i="10"/>
  <c r="AD975" i="10"/>
  <c r="AE975" i="10"/>
  <c r="AD976" i="10"/>
  <c r="AE976" i="10"/>
  <c r="AE977" i="10"/>
  <c r="AD977" i="10"/>
  <c r="AD978" i="10"/>
  <c r="AE978" i="10"/>
  <c r="AD979" i="10"/>
  <c r="AD980" i="10"/>
  <c r="AD981" i="10"/>
  <c r="AE981" i="10"/>
  <c r="AD982" i="10"/>
  <c r="AE982" i="10"/>
  <c r="AD983" i="10"/>
  <c r="AE983" i="10"/>
  <c r="AE984" i="10"/>
  <c r="AE985" i="10"/>
  <c r="AE986" i="10"/>
  <c r="AD987" i="10"/>
  <c r="AE987" i="10"/>
  <c r="AD988" i="10"/>
  <c r="AE988" i="10"/>
  <c r="AE989" i="10"/>
  <c r="AD989" i="10"/>
  <c r="AD990" i="10"/>
  <c r="AE990" i="10"/>
  <c r="AD991" i="10"/>
  <c r="AD992" i="10"/>
  <c r="AD993" i="10"/>
  <c r="AE993" i="10"/>
  <c r="AD994" i="10"/>
  <c r="AE994" i="10"/>
  <c r="AD995" i="10"/>
  <c r="AE995" i="10"/>
  <c r="AE996" i="10"/>
  <c r="AE997" i="10"/>
  <c r="AE998" i="10"/>
  <c r="AD999" i="10"/>
  <c r="AE999" i="10"/>
  <c r="AD1000" i="10"/>
  <c r="AE1000" i="10"/>
  <c r="AE1001" i="10"/>
  <c r="AD1001" i="10"/>
  <c r="AD1002" i="10"/>
  <c r="AE1002" i="10"/>
  <c r="AD1003" i="10"/>
  <c r="AD1004" i="10"/>
  <c r="AD1005" i="10"/>
  <c r="AE1005" i="10"/>
  <c r="AD1006" i="10"/>
  <c r="AE1006" i="10"/>
  <c r="AD1007" i="10"/>
  <c r="AE1007" i="10"/>
  <c r="AE1008" i="10"/>
  <c r="AE1009" i="10"/>
  <c r="AE1010" i="10"/>
  <c r="AD1011" i="10"/>
  <c r="AE1011" i="10"/>
  <c r="AD1012" i="10"/>
  <c r="AE1012" i="10"/>
  <c r="AE1013" i="10"/>
  <c r="AD1013" i="10"/>
  <c r="AD1014" i="10"/>
  <c r="AE1014" i="10"/>
  <c r="AD1015" i="10"/>
  <c r="AD1016" i="10"/>
  <c r="AD1017" i="10"/>
  <c r="AE1017" i="10"/>
  <c r="AD1018" i="10"/>
  <c r="AE1018" i="10"/>
  <c r="AD1019" i="10"/>
  <c r="AE1019" i="10"/>
  <c r="AE1020" i="10"/>
  <c r="AE1021" i="10"/>
  <c r="AE1022" i="10"/>
  <c r="AD1023" i="10"/>
  <c r="AE1023" i="10"/>
  <c r="AD1024" i="10"/>
  <c r="AE1024" i="10"/>
  <c r="AE1025" i="10"/>
  <c r="AD1025" i="10"/>
  <c r="AD1026" i="10"/>
  <c r="AE1026" i="10"/>
  <c r="AD1027" i="10"/>
  <c r="AD1028" i="10"/>
  <c r="AD1029" i="10"/>
  <c r="AE1029" i="10"/>
  <c r="AD1030" i="10"/>
  <c r="AE1030" i="10"/>
  <c r="AD1031" i="10"/>
  <c r="AE1031" i="10"/>
  <c r="AE1032" i="10"/>
  <c r="AE1033" i="10"/>
  <c r="AE1034" i="10"/>
  <c r="AD1035" i="10"/>
  <c r="AE1035" i="10"/>
  <c r="AD1036" i="10"/>
  <c r="AE1036" i="10"/>
  <c r="AE1037" i="10"/>
  <c r="AD1037" i="10"/>
  <c r="AD1038" i="10"/>
  <c r="AE1038" i="10"/>
  <c r="AD1039" i="10"/>
  <c r="AD1040" i="10"/>
  <c r="AD1041" i="10"/>
  <c r="AE1041" i="10"/>
  <c r="AD1042" i="10"/>
  <c r="AE1042" i="10"/>
  <c r="AD1043" i="10"/>
  <c r="AE1043" i="10"/>
  <c r="AE1044" i="10"/>
  <c r="AE1045" i="10"/>
  <c r="AE1046" i="10"/>
  <c r="AD1047" i="10"/>
  <c r="AE1047" i="10"/>
  <c r="AD1048" i="10"/>
  <c r="AE1048" i="10"/>
  <c r="AE1049" i="10"/>
  <c r="AD1049" i="10"/>
  <c r="AD1050" i="10"/>
  <c r="AE1050" i="10"/>
  <c r="AD1051" i="10"/>
  <c r="AD1052" i="10"/>
  <c r="AD1053" i="10"/>
  <c r="AE1053" i="10"/>
  <c r="AD1054" i="10"/>
  <c r="AE1054" i="10"/>
  <c r="AD1055" i="10"/>
  <c r="AE1055" i="10"/>
  <c r="AE1056" i="10"/>
  <c r="AE1057" i="10"/>
  <c r="AE1058" i="10"/>
  <c r="AD1059" i="10"/>
  <c r="AE1059" i="10"/>
  <c r="AD1060" i="10"/>
  <c r="AE1060" i="10"/>
  <c r="AE1061" i="10"/>
  <c r="AD1061" i="10"/>
  <c r="AD1062" i="10"/>
  <c r="AE1062" i="10"/>
  <c r="AD1063" i="10"/>
  <c r="AD1064" i="10"/>
  <c r="AD1065" i="10"/>
  <c r="AE1065" i="10"/>
  <c r="AD1066" i="10"/>
  <c r="AE1066" i="10"/>
  <c r="AD1067" i="10"/>
  <c r="AE1067" i="10"/>
  <c r="AE1068" i="10"/>
  <c r="AE1069" i="10"/>
  <c r="AE1070" i="10"/>
  <c r="AD1071" i="10"/>
  <c r="AE1071" i="10"/>
  <c r="AD1072" i="10"/>
  <c r="AE1072" i="10"/>
  <c r="AE1073" i="10"/>
  <c r="AD1073" i="10"/>
  <c r="AD1074" i="10"/>
  <c r="AE1074" i="10"/>
  <c r="AD1075" i="10"/>
  <c r="AD1076" i="10"/>
  <c r="AD1077" i="10"/>
  <c r="AE1077" i="10"/>
  <c r="AD1078" i="10"/>
  <c r="AE1078" i="10"/>
  <c r="AD1079" i="10"/>
  <c r="AE1079" i="10"/>
  <c r="AE1080" i="10"/>
  <c r="AE1081" i="10"/>
  <c r="AE1082" i="10"/>
  <c r="AD1083" i="10"/>
  <c r="AE1083" i="10"/>
  <c r="AD1084" i="10"/>
  <c r="AE1084" i="10"/>
  <c r="AE1085" i="10"/>
  <c r="AD1085" i="10"/>
  <c r="AD1086" i="10"/>
  <c r="AE1086" i="10"/>
  <c r="AD1087" i="10"/>
  <c r="AD1088" i="10"/>
  <c r="AD1089" i="10"/>
  <c r="AE1089" i="10"/>
  <c r="AD1090" i="10"/>
  <c r="AE1090" i="10"/>
  <c r="AD1091" i="10"/>
  <c r="AE1091" i="10"/>
  <c r="AE1092" i="10"/>
  <c r="AE1093" i="10"/>
  <c r="AE1094" i="10"/>
  <c r="AD1095" i="10"/>
  <c r="AE1095" i="10"/>
  <c r="AD1096" i="10"/>
  <c r="AE1096" i="10"/>
  <c r="AE1097" i="10"/>
  <c r="AD1097" i="10"/>
  <c r="AD1098" i="10"/>
  <c r="AE1098" i="10"/>
  <c r="AD1099" i="10"/>
  <c r="AD1100" i="10"/>
  <c r="AD1101" i="10"/>
  <c r="AE1101" i="10"/>
  <c r="AD1102" i="10"/>
  <c r="AE1102" i="10"/>
  <c r="AD1103" i="10"/>
  <c r="AE1103" i="10"/>
  <c r="AE1104" i="10"/>
  <c r="AE1105" i="10"/>
  <c r="AE1106" i="10"/>
  <c r="AD1107" i="10"/>
  <c r="AE1107" i="10"/>
  <c r="AD1108" i="10"/>
  <c r="AE1108" i="10"/>
  <c r="AE1109" i="10"/>
  <c r="AD1109" i="10"/>
  <c r="AD1110" i="10"/>
  <c r="AE1110" i="10"/>
  <c r="AD1111" i="10"/>
  <c r="AD1112" i="10"/>
  <c r="AD1113" i="10"/>
  <c r="AE1113" i="10"/>
  <c r="AD1114" i="10"/>
  <c r="AE1114" i="10"/>
  <c r="AD1115" i="10"/>
  <c r="AE1115" i="10"/>
  <c r="AE1116" i="10"/>
  <c r="AE1117" i="10"/>
  <c r="AE1118" i="10"/>
  <c r="AD1119" i="10"/>
  <c r="AE1119" i="10"/>
  <c r="AD1120" i="10"/>
  <c r="AE1120" i="10"/>
  <c r="AE1121" i="10"/>
  <c r="AD1121" i="10"/>
  <c r="AD1122" i="10"/>
  <c r="AE1122" i="10"/>
  <c r="AD1123" i="10"/>
  <c r="AD1124" i="10"/>
  <c r="AD1125" i="10"/>
  <c r="AE1125" i="10"/>
  <c r="AD1126" i="10"/>
  <c r="AE1126" i="10"/>
  <c r="AD1127" i="10"/>
  <c r="AE1127" i="10"/>
  <c r="AE1128" i="10"/>
  <c r="AE1129" i="10"/>
  <c r="AE1130" i="10"/>
  <c r="AD1131" i="10"/>
  <c r="AE1131" i="10"/>
  <c r="AD1132" i="10"/>
  <c r="AE1132" i="10"/>
  <c r="AE1133" i="10"/>
  <c r="AD1133" i="10"/>
  <c r="AD1134" i="10"/>
  <c r="AE1134" i="10"/>
  <c r="AD1135" i="10"/>
  <c r="AD1136" i="10"/>
  <c r="AD1137" i="10"/>
  <c r="AE1137" i="10"/>
  <c r="AD1138" i="10"/>
  <c r="AE1138" i="10"/>
  <c r="AD1139" i="10"/>
  <c r="AE1139" i="10"/>
  <c r="AE1140" i="10"/>
  <c r="AE1141" i="10"/>
  <c r="AE1142" i="10"/>
  <c r="AD1143" i="10"/>
  <c r="AE1143" i="10"/>
  <c r="AD1144" i="10"/>
  <c r="AE1144" i="10"/>
  <c r="AE1145" i="10"/>
  <c r="AD1145" i="10"/>
  <c r="AD1146" i="10"/>
  <c r="AE1146" i="10"/>
  <c r="AD1147" i="10"/>
  <c r="AD1148" i="10"/>
  <c r="AD1149" i="10"/>
  <c r="AE1149" i="10"/>
  <c r="AD1150" i="10"/>
  <c r="AE1150" i="10"/>
  <c r="AD1151" i="10"/>
  <c r="AE1151" i="10"/>
  <c r="AE1152" i="10"/>
  <c r="AE1153" i="10"/>
  <c r="AE1154" i="10"/>
  <c r="AD1155" i="10"/>
  <c r="AE1155" i="10"/>
  <c r="AD1156" i="10"/>
  <c r="AE1156" i="10"/>
  <c r="AE1157" i="10"/>
  <c r="AD1157" i="10"/>
  <c r="AD1158" i="10"/>
  <c r="AE1158" i="10"/>
  <c r="AD1159" i="10"/>
  <c r="AD1160" i="10"/>
  <c r="AD1161" i="10"/>
  <c r="AE1161" i="10"/>
  <c r="AD1162" i="10"/>
  <c r="AE1162" i="10"/>
  <c r="AD1163" i="10"/>
  <c r="AE1163" i="10"/>
  <c r="AE1164" i="10"/>
  <c r="AE1165" i="10"/>
  <c r="AE1166" i="10"/>
  <c r="AD1167" i="10"/>
  <c r="AE1167" i="10"/>
  <c r="AD1168" i="10"/>
  <c r="AE1168" i="10"/>
  <c r="AE1169" i="10"/>
  <c r="AD1169" i="10"/>
  <c r="AD1170" i="10"/>
  <c r="AE1170" i="10"/>
  <c r="AD1171" i="10"/>
  <c r="AD1172" i="10"/>
  <c r="AD1173" i="10"/>
  <c r="AE1173" i="10"/>
  <c r="AD1174" i="10"/>
  <c r="AE1174" i="10"/>
  <c r="AD1175" i="10"/>
  <c r="AE1175" i="10"/>
  <c r="AE1176" i="10"/>
  <c r="AE1177" i="10"/>
  <c r="AE1178" i="10"/>
  <c r="AD1179" i="10"/>
  <c r="AE1179" i="10"/>
  <c r="AD1180" i="10"/>
  <c r="AE1180" i="10"/>
  <c r="AE1181" i="10"/>
  <c r="AD1181" i="10"/>
  <c r="AD1182" i="10"/>
  <c r="AE1182" i="10"/>
  <c r="AD1183" i="10"/>
  <c r="AD1184" i="10"/>
  <c r="AD1185" i="10"/>
  <c r="AE1185" i="10"/>
  <c r="AD1186" i="10"/>
  <c r="AE1186" i="10"/>
  <c r="AD1187" i="10"/>
  <c r="AE1187" i="10"/>
  <c r="AE1188" i="10"/>
  <c r="AE1189" i="10"/>
  <c r="AE1190" i="10"/>
  <c r="AD1191" i="10"/>
  <c r="AE1191" i="10"/>
  <c r="AD1192" i="10"/>
  <c r="AE1192" i="10"/>
  <c r="AE1193" i="10"/>
  <c r="AD1193" i="10"/>
  <c r="AD1194" i="10"/>
  <c r="AE1194" i="10"/>
  <c r="AD1195" i="10"/>
  <c r="AD1196" i="10"/>
  <c r="AD1197" i="10"/>
  <c r="AE1197" i="10"/>
  <c r="AD1198" i="10"/>
  <c r="AE1198" i="10"/>
  <c r="AD1199" i="10"/>
  <c r="AE1199" i="10"/>
  <c r="AE1200" i="10"/>
  <c r="AE1201" i="10"/>
  <c r="AE1202" i="10"/>
  <c r="AD1203" i="10"/>
  <c r="AE1203" i="10"/>
  <c r="AD1204" i="10"/>
  <c r="AE1204" i="10"/>
  <c r="AE1205" i="10"/>
  <c r="AD1205" i="10"/>
  <c r="AD1206" i="10"/>
  <c r="AE1206" i="10"/>
  <c r="AD1207" i="10"/>
  <c r="AD1208" i="10"/>
  <c r="AD1209" i="10"/>
  <c r="AE1209" i="10"/>
  <c r="AD1210" i="10"/>
  <c r="AE1210" i="10"/>
  <c r="AD1211" i="10"/>
  <c r="AE1211" i="10"/>
  <c r="AE1212" i="10"/>
  <c r="AE1213" i="10"/>
  <c r="AE1214" i="10"/>
  <c r="AD1215" i="10"/>
  <c r="AE1215" i="10"/>
  <c r="AD1216" i="10"/>
  <c r="AE1216" i="10"/>
  <c r="AE1217" i="10"/>
  <c r="AD1217" i="10"/>
  <c r="AD1218" i="10"/>
  <c r="AE1218" i="10"/>
  <c r="AD1219" i="10"/>
  <c r="AD1220" i="10"/>
  <c r="AD1221" i="10"/>
  <c r="AE1221" i="10"/>
  <c r="AD1222" i="10"/>
  <c r="AE1222" i="10"/>
  <c r="AD1223" i="10"/>
  <c r="AE1223" i="10"/>
  <c r="AE1224" i="10"/>
  <c r="AE1225" i="10"/>
  <c r="AE1226" i="10"/>
  <c r="AD1227" i="10"/>
  <c r="AE1227" i="10"/>
  <c r="AD1228" i="10"/>
  <c r="AE1228" i="10"/>
  <c r="AE1229" i="10"/>
  <c r="AD1229" i="10"/>
  <c r="AD1230" i="10"/>
  <c r="AE1230" i="10"/>
  <c r="AD1231" i="10"/>
  <c r="AD1232" i="10"/>
  <c r="AD1233" i="10"/>
  <c r="AE1233" i="10"/>
  <c r="AD1234" i="10"/>
  <c r="AE1234" i="10"/>
  <c r="AD1235" i="10"/>
  <c r="AE1235" i="10"/>
  <c r="AE1236" i="10"/>
  <c r="AE1237" i="10"/>
  <c r="AE1238" i="10"/>
  <c r="AD1239" i="10"/>
  <c r="AE1239" i="10"/>
  <c r="AD1240" i="10"/>
  <c r="AE1240" i="10"/>
  <c r="AE1241" i="10"/>
  <c r="AD1241" i="10"/>
  <c r="AD1242" i="10"/>
  <c r="AE1242" i="10"/>
  <c r="AD1243" i="10"/>
  <c r="AD1244" i="10"/>
  <c r="AD1245" i="10"/>
  <c r="AE1245" i="10"/>
  <c r="AD1246" i="10"/>
  <c r="AE1246" i="10"/>
  <c r="AD1247" i="10"/>
  <c r="AE1247" i="10"/>
  <c r="AE1248" i="10"/>
  <c r="AE1249" i="10"/>
  <c r="AE1250" i="10"/>
  <c r="AD1251" i="10"/>
  <c r="AE1251" i="10"/>
  <c r="AD1252" i="10"/>
  <c r="AE1252" i="10"/>
  <c r="AE1253" i="10"/>
  <c r="AD1253" i="10"/>
  <c r="AD1254" i="10"/>
  <c r="AE1254" i="10"/>
  <c r="AD1255" i="10"/>
  <c r="AD1256" i="10"/>
  <c r="AD1257" i="10"/>
  <c r="AE1257" i="10"/>
  <c r="AD1258" i="10"/>
  <c r="AE1258" i="10"/>
  <c r="AD1259" i="10"/>
  <c r="AE1259" i="10"/>
  <c r="AE1260" i="10"/>
  <c r="AE1261" i="10"/>
  <c r="AE1262" i="10"/>
  <c r="AD1263" i="10"/>
  <c r="AE1263" i="10"/>
  <c r="AD1264" i="10"/>
  <c r="AE1264" i="10"/>
  <c r="AE1265" i="10"/>
  <c r="AD1265" i="10"/>
  <c r="AD1266" i="10"/>
  <c r="AE1266" i="10"/>
  <c r="AD1267" i="10"/>
  <c r="AD1268" i="10"/>
  <c r="AD1269" i="10"/>
  <c r="AE1269" i="10"/>
  <c r="AD1270" i="10"/>
  <c r="AE1270" i="10"/>
  <c r="AD1271" i="10"/>
  <c r="AE1271" i="10"/>
  <c r="AE1272" i="10"/>
  <c r="AE1273" i="10"/>
  <c r="AE1274" i="10"/>
  <c r="AD1275" i="10"/>
  <c r="AE1275" i="10"/>
  <c r="AD1276" i="10"/>
  <c r="AE1276" i="10"/>
  <c r="AE1277" i="10"/>
  <c r="AD1277" i="10"/>
  <c r="AD1278" i="10"/>
  <c r="AE1278" i="10"/>
  <c r="AD1279" i="10"/>
  <c r="AD1280" i="10"/>
  <c r="AD1281" i="10"/>
  <c r="AE1281" i="10"/>
  <c r="AD1282" i="10"/>
  <c r="AE1282" i="10"/>
  <c r="AD1283" i="10"/>
  <c r="AE1283" i="10"/>
  <c r="AE1284" i="10"/>
  <c r="AE1285" i="10"/>
  <c r="AE1286" i="10"/>
  <c r="AD1287" i="10"/>
  <c r="AE1287" i="10"/>
  <c r="AD1288" i="10"/>
  <c r="AE1288" i="10"/>
  <c r="AE1289" i="10"/>
  <c r="AD1289" i="10"/>
  <c r="AD1290" i="10"/>
  <c r="AE1290" i="10"/>
  <c r="AD1291" i="10"/>
  <c r="AD1292" i="10"/>
  <c r="AD1293" i="10"/>
  <c r="AE1293" i="10"/>
  <c r="AD1294" i="10"/>
  <c r="AE1294" i="10"/>
  <c r="AD1295" i="10"/>
  <c r="AE1295" i="10"/>
  <c r="AE1296" i="10"/>
  <c r="AE1297" i="10"/>
  <c r="AE1298" i="10"/>
  <c r="AD1299" i="10"/>
  <c r="AE1299" i="10"/>
  <c r="AD1300" i="10"/>
  <c r="AE1300" i="10"/>
  <c r="AE1301" i="10"/>
  <c r="AD1301" i="10"/>
  <c r="AD1302" i="10"/>
  <c r="AE1302" i="10"/>
  <c r="AD1303" i="10"/>
  <c r="AD1304" i="10"/>
  <c r="AD1305" i="10"/>
  <c r="AE1305" i="10"/>
  <c r="AD1306" i="10"/>
  <c r="AE1306" i="10"/>
  <c r="AD1307" i="10"/>
  <c r="AE1307" i="10"/>
  <c r="AE1308" i="10"/>
  <c r="AE1309" i="10"/>
  <c r="AE1310" i="10"/>
  <c r="AD1311" i="10"/>
  <c r="AE1311" i="10"/>
  <c r="AD1312" i="10"/>
  <c r="AE1312" i="10"/>
  <c r="AE1313" i="10"/>
  <c r="AD1313" i="10"/>
  <c r="AD1314" i="10"/>
  <c r="AE1314" i="10"/>
  <c r="AD1315" i="10"/>
  <c r="AD1316" i="10"/>
  <c r="AD1317" i="10"/>
  <c r="AE1317" i="10"/>
  <c r="AD1318" i="10"/>
  <c r="AE1318" i="10"/>
  <c r="AD1319" i="10"/>
  <c r="AE1319" i="10"/>
  <c r="AE1320" i="10"/>
  <c r="AE1321" i="10"/>
  <c r="AE1322" i="10"/>
  <c r="AD1323" i="10"/>
  <c r="AE1323" i="10"/>
  <c r="AD1324" i="10"/>
  <c r="AE1324" i="10"/>
  <c r="AE1325" i="10"/>
  <c r="AD1325" i="10"/>
  <c r="AD1326" i="10"/>
  <c r="AE1326" i="10"/>
  <c r="AD1327" i="10"/>
  <c r="AD1328" i="10"/>
  <c r="AD1329" i="10"/>
  <c r="AE1329" i="10"/>
  <c r="AD1330" i="10"/>
  <c r="AE1330" i="10"/>
  <c r="AD1331" i="10"/>
  <c r="AE1331" i="10"/>
  <c r="AE1332" i="10"/>
  <c r="AE1333" i="10"/>
  <c r="AE1334" i="10"/>
  <c r="AD1335" i="10"/>
  <c r="AE1335" i="10"/>
  <c r="AD1336" i="10"/>
  <c r="AE1336" i="10"/>
  <c r="AE1337" i="10"/>
  <c r="AD1337" i="10"/>
  <c r="AD1338" i="10"/>
  <c r="AE1338" i="10"/>
  <c r="AD1339" i="10"/>
  <c r="AD1340" i="10"/>
  <c r="AD1341" i="10"/>
  <c r="AE1341" i="10"/>
  <c r="AD1342" i="10"/>
  <c r="AE1342" i="10"/>
  <c r="AD1343" i="10"/>
  <c r="AE1343" i="10"/>
  <c r="AE1344" i="10"/>
  <c r="AE1345" i="10"/>
  <c r="AE1346" i="10"/>
  <c r="AD1347" i="10"/>
  <c r="AE1347" i="10"/>
  <c r="AD1348" i="10"/>
  <c r="AE1348" i="10"/>
  <c r="AE1349" i="10"/>
  <c r="AD1349" i="10"/>
  <c r="AD1350" i="10"/>
  <c r="AE1350" i="10"/>
  <c r="AD1351" i="10"/>
  <c r="AD1352" i="10"/>
  <c r="AD1353" i="10"/>
  <c r="AE1353" i="10"/>
  <c r="AD1354" i="10"/>
  <c r="AE1354" i="10"/>
  <c r="AD1355" i="10"/>
  <c r="AE1355" i="10"/>
  <c r="AE1356" i="10"/>
  <c r="AE1357" i="10"/>
  <c r="AE1358" i="10"/>
  <c r="AD1359" i="10"/>
  <c r="AE1359" i="10"/>
  <c r="AD1360" i="10"/>
  <c r="AE1360" i="10"/>
  <c r="AE1361" i="10"/>
  <c r="AD1361" i="10"/>
  <c r="AD1362" i="10"/>
  <c r="AE1362" i="10"/>
  <c r="AD1363" i="10"/>
  <c r="AD1364" i="10"/>
  <c r="AD1365" i="10"/>
  <c r="AE1365" i="10"/>
  <c r="AD1366" i="10"/>
  <c r="AE1366" i="10"/>
  <c r="AD1367" i="10"/>
  <c r="AE1367" i="10"/>
  <c r="AE1368" i="10"/>
  <c r="AE1369" i="10"/>
  <c r="AE1370" i="10"/>
  <c r="AD1371" i="10"/>
  <c r="AE1371" i="10"/>
  <c r="AD1372" i="10"/>
  <c r="AE1372" i="10"/>
  <c r="AE1373" i="10"/>
  <c r="AD1373" i="10"/>
  <c r="AD1374" i="10"/>
  <c r="AE1374" i="10"/>
  <c r="AD1375" i="10"/>
  <c r="AD1376" i="10"/>
  <c r="AD1377" i="10"/>
  <c r="AE1377" i="10"/>
  <c r="AD1378" i="10"/>
  <c r="AE1378" i="10"/>
  <c r="AD1379" i="10"/>
  <c r="AE1379" i="10"/>
  <c r="AE1380" i="10"/>
  <c r="AE1381" i="10"/>
  <c r="AE1382" i="10"/>
  <c r="AD1383" i="10"/>
  <c r="AE1383" i="10"/>
  <c r="AD1384" i="10"/>
  <c r="AE1384" i="10"/>
  <c r="AE1385" i="10"/>
  <c r="AD1385" i="10"/>
  <c r="AD1386" i="10"/>
  <c r="AE1386" i="10"/>
  <c r="AD1387" i="10"/>
  <c r="AD1388" i="10"/>
  <c r="AD1389" i="10"/>
  <c r="AE1389" i="10"/>
  <c r="AD1390" i="10"/>
  <c r="AE1390" i="10"/>
  <c r="AD1391" i="10"/>
  <c r="AE1391" i="10"/>
  <c r="AE1392" i="10"/>
  <c r="AE1393" i="10"/>
  <c r="AE1394" i="10"/>
  <c r="AD1395" i="10"/>
  <c r="AE1395" i="10"/>
  <c r="AD1396" i="10"/>
  <c r="AE1396" i="10"/>
  <c r="AE1397" i="10"/>
  <c r="AD1397" i="10"/>
  <c r="AD1398" i="10"/>
  <c r="AE1398" i="10"/>
  <c r="AD1399" i="10"/>
  <c r="AD1400" i="10"/>
  <c r="AD1401" i="10"/>
  <c r="AE1401" i="10"/>
  <c r="AD1402" i="10"/>
  <c r="AE1402" i="10"/>
  <c r="AD1403" i="10"/>
  <c r="AE1403" i="10"/>
  <c r="AE1404" i="10"/>
  <c r="AE1405" i="10"/>
  <c r="AE1406" i="10"/>
  <c r="AD1407" i="10"/>
  <c r="AE1407" i="10"/>
  <c r="AD1408" i="10"/>
  <c r="AE1408" i="10"/>
  <c r="AE1409" i="10"/>
  <c r="AD1409" i="10"/>
  <c r="AD1410" i="10"/>
  <c r="AE1410" i="10"/>
  <c r="AD1411" i="10"/>
  <c r="AD1412" i="10"/>
  <c r="AD1413" i="10"/>
  <c r="AE1413" i="10"/>
  <c r="AD1414" i="10"/>
  <c r="AE1414" i="10"/>
  <c r="AD1415" i="10"/>
  <c r="AE1415" i="10"/>
  <c r="AE1416" i="10"/>
  <c r="AE1417" i="10"/>
  <c r="AE1418" i="10"/>
  <c r="AD1419" i="10"/>
  <c r="AE1419" i="10"/>
  <c r="AD1420" i="10"/>
  <c r="AE1420" i="10"/>
  <c r="AE1421" i="10"/>
  <c r="AD1421" i="10"/>
  <c r="AD1422" i="10"/>
  <c r="AE1422" i="10"/>
  <c r="AD1423" i="10"/>
  <c r="AD1424" i="10"/>
  <c r="AD1425" i="10"/>
  <c r="AE1425" i="10"/>
  <c r="AD1426" i="10"/>
  <c r="AE1426" i="10"/>
  <c r="AD1427" i="10"/>
  <c r="AE1427" i="10"/>
  <c r="AE1428" i="10"/>
  <c r="AE1429" i="10"/>
  <c r="AE1430" i="10"/>
  <c r="AD1431" i="10"/>
  <c r="AE1431" i="10"/>
  <c r="AD1432" i="10"/>
  <c r="AE1432" i="10"/>
  <c r="AE1433" i="10"/>
  <c r="AD1433" i="10"/>
  <c r="AD1434" i="10"/>
  <c r="AE1434" i="10"/>
  <c r="AD1435" i="10"/>
  <c r="AD1436" i="10"/>
  <c r="AD1437" i="10"/>
  <c r="AE1437" i="10"/>
  <c r="AD1438" i="10"/>
  <c r="AE1438" i="10"/>
  <c r="AD1439" i="10"/>
  <c r="AE1439" i="10"/>
  <c r="AE1440" i="10"/>
  <c r="AE1441" i="10"/>
  <c r="AE1442" i="10"/>
  <c r="AD1443" i="10"/>
  <c r="AE1443" i="10"/>
  <c r="AD1444" i="10"/>
  <c r="AE1444" i="10"/>
  <c r="AE1445" i="10"/>
  <c r="AD1445" i="10"/>
  <c r="AD1446" i="10"/>
  <c r="AE1446" i="10"/>
  <c r="AD1447" i="10"/>
  <c r="AD1448" i="10"/>
  <c r="AD1449" i="10"/>
  <c r="AE1449" i="10"/>
  <c r="AD1450" i="10"/>
  <c r="AE1450" i="10"/>
  <c r="AD1451" i="10"/>
  <c r="AE1451" i="10"/>
  <c r="AE1452" i="10"/>
  <c r="AE1453" i="10"/>
  <c r="AE1454" i="10"/>
  <c r="AD1455" i="10"/>
  <c r="AE1455" i="10"/>
  <c r="AD1456" i="10"/>
  <c r="AE1456" i="10"/>
  <c r="AE1457" i="10"/>
  <c r="AD1457" i="10"/>
  <c r="AD1458" i="10"/>
  <c r="AE1458" i="10"/>
  <c r="AD1459" i="10"/>
  <c r="AD1460" i="10"/>
  <c r="AD1461" i="10"/>
  <c r="AE1461" i="10"/>
  <c r="AD1462" i="10"/>
  <c r="AE1462" i="10"/>
  <c r="AD1463" i="10"/>
  <c r="AE1463" i="10"/>
  <c r="AE1464" i="10"/>
  <c r="AE1465" i="10"/>
  <c r="AE1466" i="10"/>
  <c r="AD1467" i="10"/>
  <c r="AE1467" i="10"/>
  <c r="AD1468" i="10"/>
  <c r="AE1468" i="10"/>
  <c r="AE1469" i="10"/>
  <c r="AD1469" i="10"/>
  <c r="AD1470" i="10"/>
  <c r="AE1470" i="10"/>
  <c r="AD1471" i="10"/>
  <c r="AD1472" i="10"/>
  <c r="AD1473" i="10"/>
  <c r="AE1473" i="10"/>
  <c r="AD1474" i="10"/>
  <c r="AE1474" i="10"/>
  <c r="AD1475" i="10"/>
  <c r="AE1475" i="10"/>
  <c r="AE1476" i="10"/>
  <c r="AE1477" i="10"/>
  <c r="AE1478" i="10"/>
  <c r="AD1479" i="10"/>
  <c r="AE1479" i="10"/>
  <c r="AD1480" i="10"/>
  <c r="AE1480" i="10"/>
  <c r="AE1481" i="10"/>
  <c r="AD1481" i="10"/>
  <c r="AD1482" i="10"/>
  <c r="AE1482" i="10"/>
  <c r="AD1483" i="10"/>
  <c r="AD1484" i="10"/>
  <c r="AD1485" i="10"/>
  <c r="AE1485" i="10"/>
  <c r="AD1486" i="10"/>
  <c r="AE1486" i="10"/>
  <c r="AD1487" i="10"/>
  <c r="AE1487" i="10"/>
  <c r="AE1488" i="10"/>
  <c r="AE1489" i="10"/>
  <c r="AE1490" i="10"/>
  <c r="AD1491" i="10"/>
  <c r="AE1491" i="10"/>
  <c r="AD1492" i="10"/>
  <c r="AE1492" i="10"/>
  <c r="AE1493" i="10"/>
  <c r="AD1493" i="10"/>
  <c r="AD1494" i="10"/>
  <c r="AE1494" i="10"/>
  <c r="AD1495" i="10"/>
  <c r="AD1496" i="10"/>
  <c r="AD1497" i="10"/>
  <c r="AE1497" i="10"/>
  <c r="AD1498" i="10"/>
  <c r="AE1498" i="10"/>
  <c r="AD1499" i="10"/>
  <c r="AE1499" i="10"/>
  <c r="AE1500" i="10"/>
  <c r="AE1501" i="10"/>
  <c r="AE1502" i="10"/>
  <c r="AD1503" i="10"/>
  <c r="AE1503" i="10"/>
  <c r="AD1504" i="10"/>
  <c r="AE1504" i="10"/>
  <c r="AE1505" i="10"/>
  <c r="AD1505" i="10"/>
  <c r="AD1506" i="10"/>
  <c r="AE1506" i="10"/>
  <c r="AD1507" i="10"/>
  <c r="AD1508" i="10"/>
  <c r="AD1509" i="10"/>
  <c r="AE1509" i="10"/>
  <c r="AD1510" i="10"/>
  <c r="AE1510" i="10"/>
  <c r="AD1511" i="10"/>
  <c r="AE1511" i="10"/>
  <c r="AE1512" i="10"/>
  <c r="AE1513" i="10"/>
  <c r="AE1514" i="10"/>
  <c r="AD1515" i="10"/>
  <c r="AE1515" i="10"/>
  <c r="AD1516" i="10"/>
  <c r="AE1516" i="10"/>
  <c r="AE1517" i="10"/>
  <c r="AD1517" i="10"/>
  <c r="AD1518" i="10"/>
  <c r="AE1518" i="10"/>
  <c r="AD1519" i="10"/>
  <c r="AD1520" i="10"/>
  <c r="AD1521" i="10"/>
  <c r="AE1521" i="10"/>
  <c r="AD1522" i="10"/>
  <c r="AE1522" i="10"/>
  <c r="AD1523" i="10"/>
  <c r="AE1523" i="10"/>
  <c r="AE1524" i="10"/>
  <c r="AE1525" i="10"/>
  <c r="AE1526" i="10"/>
  <c r="AD1527" i="10"/>
  <c r="AE1527" i="10"/>
  <c r="AD1528" i="10"/>
  <c r="AE1528" i="10"/>
  <c r="AE1529" i="10"/>
  <c r="AD1529" i="10"/>
  <c r="AD1530" i="10"/>
  <c r="AE1530" i="10"/>
  <c r="AD1531" i="10"/>
  <c r="AD1532" i="10"/>
  <c r="AD1533" i="10"/>
  <c r="AE1533" i="10"/>
  <c r="AD1534" i="10"/>
  <c r="AE1534" i="10"/>
  <c r="AD1535" i="10"/>
  <c r="AE1535" i="10"/>
  <c r="AE1536" i="10"/>
  <c r="AE1537" i="10"/>
  <c r="AE1538" i="10"/>
  <c r="AD1539" i="10"/>
  <c r="AE1539" i="10"/>
  <c r="AD1540" i="10"/>
  <c r="AE1540" i="10"/>
  <c r="AE1541" i="10"/>
  <c r="AD1541" i="10"/>
  <c r="AD1542" i="10"/>
  <c r="AE1542" i="10"/>
  <c r="AD1543" i="10"/>
  <c r="AD1544" i="10"/>
  <c r="AD1545" i="10"/>
  <c r="AE1545" i="10"/>
  <c r="AD1546" i="10"/>
  <c r="AE1546" i="10"/>
  <c r="AD1547" i="10"/>
  <c r="AE1547" i="10"/>
  <c r="AE1548" i="10"/>
  <c r="AE1549" i="10"/>
  <c r="AE1550" i="10"/>
  <c r="AD1551" i="10"/>
  <c r="AE1551" i="10"/>
  <c r="AD1552" i="10"/>
  <c r="AE1552" i="10"/>
  <c r="AE1553" i="10"/>
  <c r="AD1553" i="10"/>
  <c r="AD1554" i="10"/>
  <c r="AE1554" i="10"/>
  <c r="AD1555" i="10"/>
  <c r="AD1556" i="10"/>
  <c r="AD1557" i="10"/>
  <c r="AE1557" i="10"/>
  <c r="AD1558" i="10"/>
  <c r="AE1558" i="10"/>
  <c r="AD1559" i="10"/>
  <c r="AE1559" i="10"/>
  <c r="AE1560" i="10"/>
  <c r="AE1561" i="10"/>
  <c r="AE1562" i="10"/>
  <c r="AD1563" i="10"/>
  <c r="AE1563" i="10"/>
  <c r="AD1564" i="10"/>
  <c r="AE1564" i="10"/>
  <c r="AE1565" i="10"/>
  <c r="AD1565" i="10"/>
  <c r="AD1566" i="10"/>
  <c r="AE1566" i="10"/>
  <c r="AD1567" i="10"/>
  <c r="AD1568" i="10"/>
  <c r="AD1569" i="10"/>
  <c r="AE1569" i="10"/>
  <c r="AD1570" i="10"/>
  <c r="AE1570" i="10"/>
  <c r="AD1571" i="10"/>
  <c r="AE1571" i="10"/>
  <c r="AE1572" i="10"/>
  <c r="AE1573" i="10"/>
  <c r="AE1574" i="10"/>
  <c r="AD1575" i="10"/>
  <c r="AE1575" i="10"/>
  <c r="AD1576" i="10"/>
  <c r="AE1576" i="10"/>
  <c r="AE1577" i="10"/>
  <c r="AD1577" i="10"/>
  <c r="AD1578" i="10"/>
  <c r="AE1578" i="10"/>
  <c r="AD1579" i="10"/>
  <c r="AD1580" i="10"/>
  <c r="AD1581" i="10"/>
  <c r="AE1581" i="10"/>
  <c r="AD1582" i="10"/>
  <c r="AE1582" i="10"/>
  <c r="AD1583" i="10"/>
  <c r="AE1583" i="10"/>
  <c r="AE1584" i="10"/>
  <c r="AE1585" i="10"/>
  <c r="AE1586" i="10"/>
  <c r="AD1587" i="10"/>
  <c r="AE1587" i="10"/>
  <c r="AD1588" i="10"/>
  <c r="AE1588" i="10"/>
  <c r="AE1589" i="10"/>
  <c r="AD1589" i="10"/>
  <c r="AD1590" i="10"/>
  <c r="AE1590" i="10"/>
  <c r="AD1591" i="10"/>
  <c r="AD1592" i="10"/>
  <c r="AD1593" i="10"/>
  <c r="AE1593" i="10"/>
  <c r="AD1594" i="10"/>
  <c r="AE1594" i="10"/>
  <c r="AD1595" i="10"/>
  <c r="AE1595" i="10"/>
  <c r="AE1596" i="10"/>
  <c r="AE1597" i="10"/>
  <c r="AE1598" i="10"/>
  <c r="AD1599" i="10"/>
  <c r="AE1599" i="10"/>
  <c r="AD1600" i="10"/>
  <c r="AE1600" i="10"/>
  <c r="AE1601" i="10"/>
  <c r="AD1601" i="10"/>
  <c r="AD1602" i="10"/>
  <c r="AE1602" i="10"/>
  <c r="AD1603" i="10"/>
  <c r="AD1604" i="10"/>
  <c r="AD1605" i="10"/>
  <c r="AE1605" i="10"/>
  <c r="AD1606" i="10"/>
  <c r="AE1606" i="10"/>
  <c r="AD1607" i="10"/>
  <c r="AE1607" i="10"/>
  <c r="AE1608" i="10"/>
  <c r="AE1609" i="10"/>
  <c r="AE1610" i="10"/>
  <c r="AD1611" i="10"/>
  <c r="AE1611" i="10"/>
  <c r="AD1612" i="10"/>
  <c r="AE1612" i="10"/>
  <c r="AE1613" i="10"/>
  <c r="AD1613" i="10"/>
  <c r="AD1614" i="10"/>
  <c r="AE1614" i="10"/>
  <c r="AD1615" i="10"/>
  <c r="AD1616" i="10"/>
  <c r="AD1617" i="10"/>
  <c r="AE1617" i="10"/>
  <c r="AD1618" i="10"/>
  <c r="AE1618" i="10"/>
  <c r="AD1619" i="10"/>
  <c r="AE1619" i="10"/>
  <c r="AE1620" i="10"/>
  <c r="AE1621" i="10"/>
  <c r="AE1622" i="10"/>
  <c r="AD1623" i="10"/>
  <c r="AE1623" i="10"/>
  <c r="AD1624" i="10"/>
  <c r="AE1624" i="10"/>
  <c r="AE1625" i="10"/>
  <c r="AD1625" i="10"/>
  <c r="AD1626" i="10"/>
  <c r="AE1626" i="10"/>
  <c r="AD1627" i="10"/>
  <c r="AD1628" i="10"/>
  <c r="AD1629" i="10"/>
  <c r="AE1629" i="10"/>
  <c r="AD1630" i="10"/>
  <c r="AE1630" i="10"/>
  <c r="AD1631" i="10"/>
  <c r="AE1631" i="10"/>
  <c r="AE1632" i="10"/>
  <c r="AE1633" i="10"/>
  <c r="AE1634" i="10"/>
  <c r="AD1635" i="10"/>
  <c r="AE1635" i="10"/>
  <c r="AD1636" i="10"/>
  <c r="AE1636" i="10"/>
  <c r="AE1637" i="10"/>
  <c r="AD1637" i="10"/>
  <c r="AD1638" i="10"/>
  <c r="AE1638" i="10"/>
  <c r="AD1639" i="10"/>
  <c r="AD1640" i="10"/>
  <c r="AD1641" i="10"/>
  <c r="AE1641" i="10"/>
  <c r="AD1642" i="10"/>
  <c r="AE1642" i="10"/>
  <c r="AD1643" i="10"/>
  <c r="AE1643" i="10"/>
  <c r="AE1644" i="10"/>
  <c r="AE1645" i="10"/>
  <c r="AE1646" i="10"/>
  <c r="AD1647" i="10"/>
  <c r="AE1647" i="10"/>
  <c r="AD1648" i="10"/>
  <c r="AE1648" i="10"/>
  <c r="AE1649" i="10"/>
  <c r="AD1649" i="10"/>
  <c r="AD1650" i="10"/>
  <c r="AE1650" i="10"/>
  <c r="AD1651" i="10"/>
  <c r="AD1652" i="10"/>
  <c r="AD1653" i="10"/>
  <c r="AE1653" i="10"/>
  <c r="AD1654" i="10"/>
  <c r="AE1654" i="10"/>
  <c r="AD1655" i="10"/>
  <c r="AE1655" i="10"/>
  <c r="AE1656" i="10"/>
  <c r="AE1657" i="10"/>
  <c r="AE1658" i="10"/>
  <c r="AD1659" i="10"/>
  <c r="AE1659" i="10"/>
  <c r="AD1660" i="10"/>
  <c r="AE1660" i="10"/>
  <c r="AE1661" i="10"/>
  <c r="AD1661" i="10"/>
  <c r="AD1662" i="10"/>
  <c r="AE1662" i="10"/>
  <c r="AD1663" i="10"/>
  <c r="AD1664" i="10"/>
  <c r="AD1665" i="10"/>
  <c r="AE1665" i="10"/>
  <c r="AD1666" i="10"/>
  <c r="AE1666" i="10"/>
  <c r="AD1667" i="10"/>
  <c r="AE1667" i="10"/>
  <c r="AE1668" i="10"/>
  <c r="AE1669" i="10"/>
  <c r="AE1670" i="10"/>
  <c r="AD1671" i="10"/>
  <c r="AE1671" i="10"/>
  <c r="AD1672" i="10"/>
  <c r="AE1672" i="10"/>
  <c r="AE1673" i="10"/>
  <c r="AD1673" i="10"/>
  <c r="AD1674" i="10"/>
  <c r="AE1674" i="10"/>
  <c r="AD1675" i="10"/>
  <c r="AD1676" i="10"/>
  <c r="AD1677" i="10"/>
  <c r="AE1677" i="10"/>
  <c r="AD1678" i="10"/>
  <c r="AE1678" i="10"/>
  <c r="AD1679" i="10"/>
  <c r="AE1679" i="10"/>
  <c r="AE1680" i="10"/>
  <c r="AE1681" i="10"/>
  <c r="AE1682" i="10"/>
  <c r="AD1683" i="10"/>
  <c r="AE1683" i="10"/>
  <c r="AD1684" i="10"/>
  <c r="AE1684" i="10"/>
  <c r="AE1685" i="10"/>
  <c r="AD1685" i="10"/>
  <c r="AD1686" i="10"/>
  <c r="AE1686" i="10"/>
  <c r="AD1687" i="10"/>
  <c r="AD1688" i="10"/>
  <c r="AD1689" i="10"/>
  <c r="AE1689" i="10"/>
  <c r="AD1690" i="10"/>
  <c r="AE1690" i="10"/>
  <c r="AD1691" i="10"/>
  <c r="AE1691" i="10"/>
  <c r="AE1692" i="10"/>
  <c r="AE1693" i="10"/>
  <c r="AE1694" i="10"/>
  <c r="AD1695" i="10"/>
  <c r="AE1695" i="10"/>
  <c r="AD1696" i="10"/>
  <c r="AE1696" i="10"/>
  <c r="AE1697" i="10"/>
  <c r="AD1697" i="10"/>
  <c r="AD1698" i="10"/>
  <c r="AE1698" i="10"/>
  <c r="AD1699" i="10"/>
  <c r="AD1700" i="10"/>
  <c r="AD1701" i="10"/>
  <c r="AE1701" i="10"/>
  <c r="AD1702" i="10"/>
  <c r="AE1702" i="10"/>
  <c r="AD1703" i="10"/>
  <c r="AE1703" i="10"/>
  <c r="AE1704" i="10"/>
  <c r="AE1705" i="10"/>
  <c r="AE1706" i="10"/>
  <c r="AD1707" i="10"/>
  <c r="AE1707" i="10"/>
  <c r="AD1708" i="10"/>
  <c r="AE1708" i="10"/>
  <c r="AE1709" i="10"/>
  <c r="AD1709" i="10"/>
  <c r="AD1710" i="10"/>
  <c r="AE1710" i="10"/>
  <c r="AD1711" i="10"/>
  <c r="AD1712" i="10"/>
  <c r="AD1713" i="10"/>
  <c r="AE1713" i="10"/>
  <c r="AD1714" i="10"/>
  <c r="AE1714" i="10"/>
  <c r="AD1715" i="10"/>
  <c r="AE1715" i="10"/>
  <c r="AE1716" i="10"/>
  <c r="AE1717" i="10"/>
  <c r="AE1718" i="10"/>
  <c r="AD1719" i="10"/>
  <c r="AE1719" i="10"/>
  <c r="AD1720" i="10"/>
  <c r="AE1720" i="10"/>
  <c r="AE1721" i="10"/>
  <c r="AD1721" i="10"/>
  <c r="AD1722" i="10"/>
  <c r="AE1722" i="10"/>
  <c r="AD1723" i="10"/>
  <c r="AD1724" i="10"/>
  <c r="AD1725" i="10"/>
  <c r="AE1725" i="10"/>
  <c r="AD1726" i="10"/>
  <c r="AE1726" i="10"/>
  <c r="AD1727" i="10"/>
  <c r="AE1727" i="10"/>
  <c r="AE1728" i="10"/>
  <c r="AE1729" i="10"/>
  <c r="AE1730" i="10"/>
  <c r="AD1731" i="10"/>
  <c r="AE1731" i="10"/>
  <c r="AD1732" i="10"/>
  <c r="AE1732" i="10"/>
  <c r="AE1733" i="10"/>
  <c r="AD1733" i="10"/>
  <c r="AD1734" i="10"/>
  <c r="AE1734" i="10"/>
  <c r="AD1735" i="10"/>
  <c r="AD1736" i="10"/>
  <c r="AD1737" i="10"/>
  <c r="AE1737" i="10"/>
  <c r="AD1738" i="10"/>
  <c r="AE1738" i="10"/>
  <c r="AD1739" i="10"/>
  <c r="AE1739" i="10"/>
  <c r="AE1740" i="10"/>
  <c r="AE1741" i="10"/>
  <c r="AE1742" i="10"/>
  <c r="AD1743" i="10"/>
  <c r="AE1743" i="10"/>
  <c r="AD1744" i="10"/>
  <c r="AE1744" i="10"/>
  <c r="AE1745" i="10"/>
  <c r="AD1745" i="10"/>
  <c r="AD1746" i="10"/>
  <c r="AE1746" i="10"/>
  <c r="AD1747" i="10"/>
  <c r="AD1748" i="10"/>
  <c r="AD1749" i="10"/>
  <c r="AE1749" i="10"/>
  <c r="AD1750" i="10"/>
  <c r="AE1750" i="10"/>
  <c r="AD1751" i="10"/>
  <c r="AE1751" i="10"/>
  <c r="AE1752" i="10"/>
  <c r="AE1753" i="10"/>
  <c r="AE1754" i="10"/>
  <c r="AD1755" i="10"/>
  <c r="AE1755" i="10"/>
  <c r="AD1756" i="10"/>
  <c r="AE1756" i="10"/>
  <c r="AE1757" i="10"/>
  <c r="AD1757" i="10"/>
  <c r="AD1758" i="10"/>
  <c r="AE1758" i="10"/>
  <c r="AD1759" i="10"/>
  <c r="AD1760" i="10"/>
  <c r="AD1761" i="10"/>
  <c r="AE1761" i="10"/>
  <c r="AD1762" i="10"/>
  <c r="AE1762" i="10"/>
  <c r="AD1763" i="10"/>
  <c r="AE1763" i="10"/>
  <c r="AE1764" i="10"/>
  <c r="AE1765" i="10"/>
  <c r="AE1766" i="10"/>
  <c r="AD1767" i="10"/>
  <c r="AE1767" i="10"/>
  <c r="AD1768" i="10"/>
  <c r="AE1768" i="10"/>
  <c r="AE1769" i="10"/>
  <c r="AD1769" i="10"/>
  <c r="AD1770" i="10"/>
  <c r="AE1770" i="10"/>
  <c r="AD1771" i="10"/>
  <c r="AD1772" i="10"/>
  <c r="AD1773" i="10"/>
  <c r="AE1773" i="10"/>
  <c r="AD1774" i="10"/>
  <c r="AE1774" i="10"/>
  <c r="AD1775" i="10"/>
  <c r="AE1775" i="10"/>
  <c r="AE1776" i="10"/>
  <c r="AE1777" i="10"/>
  <c r="AE1778" i="10"/>
  <c r="AD1779" i="10"/>
  <c r="AE1779" i="10"/>
  <c r="AD1780" i="10"/>
  <c r="AE1780" i="10"/>
  <c r="AE1781" i="10"/>
  <c r="AD1781" i="10"/>
  <c r="AD1782" i="10"/>
  <c r="AE1782" i="10"/>
  <c r="AD1783" i="10"/>
  <c r="AD1784" i="10"/>
  <c r="AD1785" i="10"/>
  <c r="AE1785" i="10"/>
  <c r="AD1786" i="10"/>
  <c r="AE1786" i="10"/>
  <c r="AD1787" i="10"/>
  <c r="AE1787" i="10"/>
  <c r="AE1788" i="10"/>
  <c r="AE1789" i="10"/>
  <c r="AE1790" i="10"/>
  <c r="AD1791" i="10"/>
  <c r="AE1791" i="10"/>
  <c r="AD1792" i="10"/>
  <c r="AE1792" i="10"/>
  <c r="AE1793" i="10"/>
  <c r="AD1793" i="10"/>
  <c r="AD1794" i="10"/>
  <c r="AE1794" i="10"/>
  <c r="AD1795" i="10"/>
  <c r="AD1796" i="10"/>
  <c r="AD1797" i="10"/>
  <c r="AE1797" i="10"/>
  <c r="AD1798" i="10"/>
  <c r="AE1798" i="10"/>
  <c r="AD1799" i="10"/>
  <c r="AE1799" i="10"/>
  <c r="AE1800" i="10"/>
  <c r="AE1801" i="10"/>
  <c r="AE1802" i="10"/>
  <c r="AD1803" i="10"/>
  <c r="AE1803" i="10"/>
  <c r="AD1804" i="10"/>
  <c r="AE1804" i="10"/>
  <c r="AE1805" i="10"/>
  <c r="AD1805" i="10"/>
  <c r="AD1806" i="10"/>
  <c r="AE1806" i="10"/>
  <c r="AD1807" i="10"/>
  <c r="AD1808" i="10"/>
  <c r="AD1809" i="10"/>
  <c r="AE1809" i="10"/>
  <c r="AD1810" i="10"/>
  <c r="AE1810" i="10"/>
  <c r="AD1811" i="10"/>
  <c r="AE1811" i="10"/>
  <c r="AE1812" i="10"/>
  <c r="AE1813" i="10"/>
  <c r="AE1814" i="10"/>
  <c r="AD1815" i="10"/>
  <c r="AE1815" i="10"/>
  <c r="AD1816" i="10"/>
  <c r="AE1816" i="10"/>
  <c r="AE1817" i="10"/>
  <c r="AD1817" i="10"/>
  <c r="AD1818" i="10"/>
  <c r="AE1818" i="10"/>
  <c r="AD1819" i="10"/>
  <c r="AD1820" i="10"/>
  <c r="AD1821" i="10"/>
  <c r="AE1821" i="10"/>
  <c r="AD1822" i="10"/>
  <c r="AE1822" i="10"/>
  <c r="AD1823" i="10"/>
  <c r="AE1823" i="10"/>
  <c r="AE1824" i="10"/>
  <c r="AE1825" i="10"/>
  <c r="AE1826" i="10"/>
  <c r="AD1827" i="10"/>
  <c r="AE1827" i="10"/>
  <c r="AD1828" i="10"/>
  <c r="AE1828" i="10"/>
  <c r="AE1829" i="10"/>
  <c r="AD1829" i="10"/>
  <c r="AD1830" i="10"/>
  <c r="AE1830" i="10"/>
  <c r="AD1831" i="10"/>
  <c r="AD1832" i="10"/>
  <c r="AD1833" i="10"/>
  <c r="AE1833" i="10"/>
  <c r="AD1834" i="10"/>
  <c r="AE1834" i="10"/>
  <c r="AD1835" i="10"/>
  <c r="AE1835" i="10"/>
  <c r="AE1836" i="10"/>
  <c r="AE1837" i="10"/>
  <c r="AE1838" i="10"/>
  <c r="AD1839" i="10"/>
  <c r="AE1839" i="10"/>
  <c r="AD1840" i="10"/>
  <c r="AE1840" i="10"/>
  <c r="AE1841" i="10"/>
  <c r="AD1841" i="10"/>
  <c r="AD1842" i="10"/>
  <c r="AE1842" i="10"/>
  <c r="AD1843" i="10"/>
  <c r="AD1844" i="10"/>
  <c r="AD1845" i="10"/>
  <c r="AE1845" i="10"/>
  <c r="AD1846" i="10"/>
  <c r="AE1846" i="10"/>
  <c r="AD1847" i="10"/>
  <c r="AE1847" i="10"/>
  <c r="AE1848" i="10"/>
  <c r="AE1849" i="10"/>
  <c r="AE1850" i="10"/>
  <c r="AD1851" i="10"/>
  <c r="AE1851" i="10"/>
  <c r="AD1852" i="10"/>
  <c r="AE1852" i="10"/>
  <c r="AE1853" i="10"/>
  <c r="AD1853" i="10"/>
  <c r="AD1854" i="10"/>
  <c r="AE1854" i="10"/>
  <c r="AD1855" i="10"/>
  <c r="AD1856" i="10"/>
  <c r="AD1857" i="10"/>
  <c r="AE1857" i="10"/>
  <c r="AD1858" i="10"/>
  <c r="AE1858" i="10"/>
  <c r="AD1859" i="10"/>
  <c r="AE1859" i="10"/>
  <c r="AE1860" i="10"/>
  <c r="AE1861" i="10"/>
  <c r="AE1862" i="10"/>
  <c r="AD1863" i="10"/>
  <c r="AE1863" i="10"/>
  <c r="AD1864" i="10"/>
  <c r="AE1864" i="10"/>
  <c r="AE1865" i="10"/>
  <c r="AD1865" i="10"/>
  <c r="AD1866" i="10"/>
  <c r="AE1866" i="10"/>
  <c r="AD1867" i="10"/>
  <c r="AD1868" i="10"/>
  <c r="AD1869" i="10"/>
  <c r="AE1869" i="10"/>
  <c r="AD1870" i="10"/>
  <c r="AE1870" i="10"/>
  <c r="AD1871" i="10"/>
  <c r="AE1871" i="10"/>
  <c r="AE1872" i="10"/>
  <c r="AE1873" i="10"/>
  <c r="AE1874" i="10"/>
  <c r="AD1875" i="10"/>
  <c r="AE1875" i="10"/>
  <c r="AD1876" i="10"/>
  <c r="AE1876" i="10"/>
  <c r="AE1877" i="10"/>
  <c r="AD1877" i="10"/>
  <c r="AD1878" i="10"/>
  <c r="AE1878" i="10"/>
  <c r="AD1879" i="10"/>
  <c r="AD1880" i="10"/>
  <c r="AD1881" i="10"/>
  <c r="AE1881" i="10"/>
  <c r="AD1882" i="10"/>
  <c r="AE1882" i="10"/>
  <c r="AD1883" i="10"/>
  <c r="AE1883" i="10"/>
  <c r="AE1884" i="10"/>
  <c r="AE1885" i="10"/>
  <c r="AE1886" i="10"/>
  <c r="AD1887" i="10"/>
  <c r="AE1887" i="10"/>
  <c r="AD1888" i="10"/>
  <c r="AE1888" i="10"/>
  <c r="AE1889" i="10"/>
  <c r="AD1889" i="10"/>
  <c r="AD1890" i="10"/>
  <c r="AE1890" i="10"/>
  <c r="AD1891" i="10"/>
  <c r="AD1892" i="10"/>
  <c r="AD1893" i="10"/>
  <c r="AE1893" i="10"/>
  <c r="AD1894" i="10"/>
  <c r="AE1894" i="10"/>
  <c r="AD1895" i="10"/>
  <c r="AE1895" i="10"/>
  <c r="AE1896" i="10"/>
  <c r="AE1897" i="10"/>
  <c r="AE1898" i="10"/>
  <c r="AD1899" i="10"/>
  <c r="AE1899" i="10"/>
  <c r="AD1900" i="10"/>
  <c r="AE1900" i="10"/>
  <c r="AE1901" i="10"/>
  <c r="AD1901" i="10"/>
  <c r="AD1902" i="10"/>
  <c r="AE1902" i="10"/>
  <c r="AD1903" i="10"/>
  <c r="AD1904" i="10"/>
  <c r="AD1905" i="10"/>
  <c r="AE1905" i="10"/>
  <c r="AD1906" i="10"/>
  <c r="AE1906" i="10"/>
  <c r="AD1907" i="10"/>
  <c r="AE1907" i="10"/>
  <c r="AE1908" i="10"/>
  <c r="AE1909" i="10"/>
  <c r="AE1910" i="10"/>
  <c r="AD1911" i="10"/>
  <c r="AE1911" i="10"/>
  <c r="AD1912" i="10"/>
  <c r="AE1912" i="10"/>
  <c r="AE1913" i="10"/>
  <c r="AD1913" i="10"/>
  <c r="AD1914" i="10"/>
  <c r="AE1914" i="10"/>
  <c r="AD1915" i="10"/>
  <c r="AD1916" i="10"/>
  <c r="AD1917" i="10"/>
  <c r="AE1917" i="10"/>
  <c r="AD1918" i="10"/>
  <c r="AE1918" i="10"/>
  <c r="AD1919" i="10"/>
  <c r="AE1919" i="10"/>
  <c r="AE1920" i="10"/>
  <c r="AE1921" i="10"/>
  <c r="AE1922" i="10"/>
  <c r="AD1923" i="10"/>
  <c r="AE1923" i="10"/>
  <c r="AD1924" i="10"/>
  <c r="AE1924" i="10"/>
  <c r="AE1925" i="10"/>
  <c r="AD1925" i="10"/>
  <c r="AD1926" i="10"/>
  <c r="AE1926" i="10"/>
  <c r="AD1927" i="10"/>
  <c r="AD1928" i="10"/>
  <c r="AD1929" i="10"/>
  <c r="AE1929" i="10"/>
  <c r="AD1930" i="10"/>
  <c r="AE1930" i="10"/>
  <c r="AD1931" i="10"/>
  <c r="AE1931" i="10"/>
  <c r="AE1932" i="10"/>
  <c r="AE1933" i="10"/>
  <c r="AE1934" i="10"/>
  <c r="AD1935" i="10"/>
  <c r="AE1935" i="10"/>
  <c r="AD1936" i="10"/>
  <c r="AE1936" i="10"/>
  <c r="AE1937" i="10"/>
  <c r="AD1937" i="10"/>
  <c r="AD1938" i="10"/>
  <c r="AE1938" i="10"/>
  <c r="AD1939" i="10"/>
  <c r="AD1940" i="10"/>
  <c r="AD1941" i="10"/>
  <c r="AE1941" i="10"/>
  <c r="AD1942" i="10"/>
  <c r="AE1942" i="10"/>
  <c r="AD1943" i="10"/>
  <c r="AE1943" i="10"/>
  <c r="AE1944" i="10"/>
  <c r="AE1945" i="10"/>
  <c r="AE1946" i="10"/>
  <c r="AD1947" i="10"/>
  <c r="AE1947" i="10"/>
  <c r="AD1948" i="10"/>
  <c r="AE1948" i="10"/>
  <c r="AE1949" i="10"/>
  <c r="AD1949" i="10"/>
  <c r="AD1950" i="10"/>
  <c r="AE1950" i="10"/>
  <c r="AD1951" i="10"/>
  <c r="AD1952" i="10"/>
  <c r="AD1953" i="10"/>
  <c r="AE1953" i="10"/>
  <c r="AD1954" i="10"/>
  <c r="AE1954" i="10"/>
  <c r="AD1955" i="10"/>
  <c r="AE1955" i="10"/>
  <c r="AE1956" i="10"/>
  <c r="AE1957" i="10"/>
  <c r="AE1958" i="10"/>
  <c r="AD1959" i="10"/>
  <c r="AE1959" i="10"/>
  <c r="AD1960" i="10"/>
  <c r="AE1960" i="10"/>
  <c r="AE1961" i="10"/>
  <c r="AD1961" i="10"/>
  <c r="AD1962" i="10"/>
  <c r="AE1962" i="10"/>
  <c r="AD1963" i="10"/>
  <c r="AD1964" i="10"/>
  <c r="AD1965" i="10"/>
  <c r="AE1965" i="10"/>
  <c r="AD1966" i="10"/>
  <c r="AE1966" i="10"/>
  <c r="AD1967" i="10"/>
  <c r="AE1967" i="10"/>
  <c r="AE1968" i="10"/>
  <c r="AE1969" i="10"/>
  <c r="AE1970" i="10"/>
  <c r="AD1971" i="10"/>
  <c r="AE1971" i="10"/>
  <c r="AD1972" i="10"/>
  <c r="AE1972" i="10"/>
  <c r="AE1973" i="10"/>
  <c r="AD1973" i="10"/>
  <c r="AD1974" i="10"/>
  <c r="AE1974" i="10"/>
  <c r="AD1975" i="10"/>
  <c r="AD1976" i="10"/>
  <c r="AD1977" i="10"/>
  <c r="AE1977" i="10"/>
  <c r="AD1978" i="10"/>
  <c r="AE1978" i="10"/>
  <c r="AD1979" i="10"/>
  <c r="AE1979" i="10"/>
  <c r="AE1980" i="10"/>
  <c r="AE1981" i="10"/>
  <c r="AE1982" i="10"/>
  <c r="AD1983" i="10"/>
  <c r="AE1983" i="10"/>
  <c r="AD1984" i="10"/>
  <c r="AE1984" i="10"/>
  <c r="AE1985" i="10"/>
  <c r="AD1985" i="10"/>
  <c r="AD1986" i="10"/>
  <c r="AE1986" i="10"/>
  <c r="AD1987" i="10"/>
  <c r="AD1988" i="10"/>
  <c r="AD1989" i="10"/>
  <c r="AE1989" i="10"/>
  <c r="AD1990" i="10"/>
  <c r="AE1990" i="10"/>
  <c r="AD1991" i="10"/>
  <c r="AE1991" i="10"/>
  <c r="AE1992" i="10"/>
  <c r="AE1993" i="10"/>
  <c r="AE1994" i="10"/>
  <c r="AD1995" i="10"/>
  <c r="AE1995" i="10"/>
  <c r="AD1996" i="10"/>
  <c r="AE1996" i="10"/>
  <c r="AE1997" i="10"/>
  <c r="AD1997" i="10"/>
  <c r="AD1998" i="10"/>
  <c r="AE1998" i="10"/>
  <c r="AD1999" i="10"/>
  <c r="AD2000" i="10"/>
  <c r="AD2001" i="10"/>
  <c r="AE2001" i="10"/>
  <c r="AD2002" i="10"/>
  <c r="AE2002" i="10"/>
  <c r="AD2003" i="10"/>
  <c r="AE2003" i="10"/>
  <c r="AE2004" i="10"/>
  <c r="AE2005" i="10"/>
  <c r="AE2006" i="10"/>
  <c r="AD2007" i="10"/>
  <c r="AE2007" i="10"/>
  <c r="AD2008" i="10"/>
  <c r="AE2008" i="10"/>
  <c r="AE2009" i="10"/>
  <c r="AD2009" i="10"/>
  <c r="AD2010" i="10"/>
  <c r="AE2010" i="10"/>
  <c r="AD2011" i="10"/>
  <c r="AD2012" i="10"/>
  <c r="AD2013" i="10"/>
  <c r="AE2013" i="10"/>
  <c r="AD2014" i="10"/>
  <c r="AE2014" i="10"/>
  <c r="AD2015" i="10"/>
  <c r="AE2015" i="10"/>
  <c r="AE2016" i="10"/>
  <c r="AE2017" i="10"/>
  <c r="AE2018" i="10"/>
  <c r="AD2019" i="10"/>
  <c r="AE2019" i="10"/>
  <c r="AD2020" i="10"/>
  <c r="AE2020" i="10"/>
  <c r="AE2021" i="10"/>
  <c r="AD2021" i="10"/>
  <c r="AD2022" i="10"/>
  <c r="AE2022" i="10"/>
  <c r="AD2023" i="10"/>
  <c r="AD2024" i="10"/>
  <c r="AD2025" i="10"/>
  <c r="AE2025" i="10"/>
  <c r="AD2026" i="10"/>
  <c r="AE2026" i="10"/>
  <c r="AD2027" i="10"/>
  <c r="AE2027" i="10"/>
  <c r="AE2028" i="10"/>
  <c r="AE2029" i="10"/>
  <c r="AE2030" i="10"/>
  <c r="AD2031" i="10"/>
  <c r="AE2031" i="10"/>
  <c r="AD2032" i="10"/>
  <c r="AE2032" i="10"/>
  <c r="AE2033" i="10"/>
  <c r="AD2033" i="10"/>
  <c r="AD2034" i="10"/>
  <c r="AE2034" i="10"/>
  <c r="AD2035" i="10"/>
  <c r="AD2036" i="10"/>
  <c r="AD2037" i="10"/>
  <c r="AE2037" i="10"/>
  <c r="AD2038" i="10"/>
  <c r="AE2038" i="10"/>
  <c r="AD2039" i="10"/>
  <c r="AE2039" i="10"/>
  <c r="AE2040" i="10"/>
  <c r="AE2041" i="10"/>
  <c r="AE2042" i="10"/>
  <c r="AD2043" i="10"/>
  <c r="AE2043" i="10"/>
  <c r="AD2044" i="10"/>
  <c r="AE2044" i="10"/>
  <c r="AE2045" i="10"/>
  <c r="AD2045" i="10"/>
  <c r="AD2046" i="10"/>
  <c r="AE2046" i="10"/>
  <c r="AD2047" i="10"/>
  <c r="AD2048" i="10"/>
  <c r="AD2049" i="10"/>
  <c r="AE2049" i="10"/>
  <c r="AD2050" i="10"/>
  <c r="AE2050" i="10"/>
  <c r="AD2051" i="10"/>
  <c r="AE2051" i="10"/>
  <c r="AE2052" i="10"/>
  <c r="AE2053" i="10"/>
  <c r="AE2054" i="10"/>
  <c r="AD2055" i="10"/>
  <c r="AE2055" i="10"/>
  <c r="AD2056" i="10"/>
  <c r="AE2056" i="10"/>
  <c r="AE2057" i="10"/>
  <c r="AD2057" i="10"/>
  <c r="AD2058" i="10"/>
  <c r="AE2058" i="10"/>
  <c r="AD2059" i="10"/>
  <c r="AD2060" i="10"/>
  <c r="AD2061" i="10"/>
  <c r="AE2061" i="10"/>
  <c r="AD2062" i="10"/>
  <c r="AE2062" i="10"/>
  <c r="AD2063" i="10"/>
  <c r="AE2063" i="10"/>
  <c r="AE2064" i="10"/>
  <c r="AE2065" i="10"/>
  <c r="AE2066" i="10"/>
  <c r="AD2067" i="10"/>
  <c r="AE2067" i="10"/>
  <c r="AD2068" i="10"/>
  <c r="AE2068" i="10"/>
  <c r="AE2069" i="10"/>
  <c r="AD2069" i="10"/>
  <c r="AD2070" i="10"/>
  <c r="AE2070" i="10"/>
  <c r="AD2071" i="10"/>
  <c r="AD2072" i="10"/>
  <c r="AD2073" i="10"/>
  <c r="AE2073" i="10"/>
  <c r="AD2074" i="10"/>
  <c r="AE2074" i="10"/>
  <c r="AD2075" i="10"/>
  <c r="AE2075" i="10"/>
  <c r="AE2076" i="10"/>
  <c r="AE2077" i="10"/>
  <c r="AE2078" i="10"/>
  <c r="AD2079" i="10"/>
  <c r="AE2079" i="10"/>
  <c r="AD2080" i="10"/>
  <c r="AE2080" i="10"/>
  <c r="AE2081" i="10"/>
  <c r="AD2081" i="10"/>
  <c r="AD2082" i="10"/>
  <c r="AE2082" i="10"/>
  <c r="AD2083" i="10"/>
  <c r="AD2084" i="10"/>
  <c r="AD2085" i="10"/>
  <c r="AE2085" i="10"/>
  <c r="AD2086" i="10"/>
  <c r="AE2086" i="10"/>
  <c r="AD2087" i="10"/>
  <c r="AE2087" i="10"/>
  <c r="AE2088" i="10"/>
  <c r="AE2089" i="10"/>
  <c r="AE2090" i="10"/>
  <c r="AD2091" i="10"/>
  <c r="AE2091" i="10"/>
  <c r="AD2092" i="10"/>
  <c r="AE2092" i="10"/>
  <c r="AE2093" i="10"/>
  <c r="AD2093" i="10"/>
  <c r="AD2094" i="10"/>
  <c r="AE2094" i="10"/>
  <c r="AD2095" i="10"/>
  <c r="AD2096" i="10"/>
  <c r="AD2097" i="10"/>
  <c r="AE2097" i="10"/>
  <c r="AD2098" i="10"/>
  <c r="AE2098" i="10"/>
  <c r="AD2099" i="10"/>
  <c r="AE2099" i="10"/>
  <c r="AE2100" i="10"/>
  <c r="AE2101" i="10"/>
  <c r="AE2102" i="10"/>
  <c r="AD2103" i="10"/>
  <c r="AE2103" i="10"/>
  <c r="G2" i="4"/>
  <c r="M2" i="4"/>
  <c r="X2" i="4"/>
  <c r="G4" i="4"/>
  <c r="X4" i="4"/>
  <c r="G12" i="4"/>
  <c r="G13" i="4"/>
  <c r="G14" i="4"/>
  <c r="G15" i="4"/>
  <c r="G17" i="4"/>
  <c r="G18" i="4"/>
  <c r="G19" i="4"/>
  <c r="G20" i="4"/>
  <c r="G21" i="4"/>
  <c r="G22" i="4"/>
  <c r="G23" i="4"/>
  <c r="G25" i="4"/>
  <c r="G26" i="4"/>
  <c r="G27" i="4"/>
  <c r="G28" i="4"/>
  <c r="G29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7" i="4"/>
  <c r="G58" i="4"/>
  <c r="G59" i="4"/>
  <c r="G60" i="4"/>
  <c r="G62" i="4"/>
  <c r="G63" i="4"/>
  <c r="G64" i="4"/>
  <c r="G65" i="4"/>
  <c r="G66" i="4"/>
  <c r="G69" i="4"/>
  <c r="G70" i="4"/>
  <c r="G71" i="4"/>
  <c r="G72" i="4"/>
  <c r="G73" i="4"/>
  <c r="G75" i="4"/>
  <c r="G76" i="4"/>
  <c r="G77" i="4"/>
  <c r="G78" i="4"/>
  <c r="G79" i="4"/>
  <c r="G81" i="4"/>
  <c r="G82" i="4"/>
  <c r="G83" i="4"/>
  <c r="G84" i="4"/>
  <c r="G85" i="4"/>
  <c r="G86" i="4"/>
  <c r="G88" i="4"/>
  <c r="G89" i="4"/>
  <c r="G90" i="4"/>
  <c r="G91" i="4"/>
  <c r="G92" i="4"/>
  <c r="G93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7" i="4"/>
  <c r="G118" i="4"/>
  <c r="G119" i="4"/>
  <c r="G120" i="4"/>
  <c r="G121" i="4"/>
  <c r="G122" i="4"/>
  <c r="G124" i="4"/>
  <c r="G125" i="4"/>
  <c r="G126" i="4"/>
  <c r="G127" i="4"/>
  <c r="G128" i="4"/>
  <c r="G129" i="4"/>
  <c r="G130" i="4"/>
  <c r="G131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1" i="4"/>
  <c r="G152" i="4"/>
  <c r="G153" i="4"/>
  <c r="G154" i="4"/>
  <c r="G155" i="4"/>
  <c r="G156" i="4"/>
  <c r="G157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Y5" i="4"/>
  <c r="H4" i="4"/>
  <c r="Y4" i="4"/>
  <c r="H3" i="4"/>
  <c r="N4" i="4"/>
  <c r="H2" i="4"/>
  <c r="BK5" i="9"/>
  <c r="AV17" i="12"/>
  <c r="AW17" i="12"/>
  <c r="AS17" i="12"/>
  <c r="AT17" i="12"/>
  <c r="BA17" i="12"/>
  <c r="BC17" i="12"/>
  <c r="BD17" i="12"/>
  <c r="BE17" i="12"/>
  <c r="AU17" i="12"/>
  <c r="AX17" i="12"/>
  <c r="AL21" i="12"/>
  <c r="AV18" i="12"/>
  <c r="AW18" i="12"/>
  <c r="AS18" i="12"/>
  <c r="AT18" i="12"/>
  <c r="AU18" i="12"/>
  <c r="AX18" i="12"/>
  <c r="R11" i="10"/>
  <c r="R12" i="5"/>
  <c r="B11" i="2"/>
  <c r="BI8" i="9"/>
  <c r="BJ8" i="9"/>
  <c r="BH9" i="9"/>
  <c r="B124" i="7"/>
  <c r="C124" i="7"/>
  <c r="C123" i="7"/>
  <c r="C31" i="7"/>
  <c r="B32" i="7"/>
  <c r="C32" i="7"/>
  <c r="B17" i="13"/>
  <c r="C17" i="13"/>
  <c r="C16" i="13"/>
  <c r="C47" i="7"/>
  <c r="C46" i="7"/>
  <c r="B47" i="7"/>
  <c r="B17" i="7"/>
  <c r="C17" i="7"/>
  <c r="C16" i="7"/>
  <c r="C139" i="7"/>
  <c r="B140" i="7"/>
  <c r="C140" i="7"/>
  <c r="B156" i="7"/>
  <c r="C156" i="7"/>
  <c r="C155" i="7"/>
  <c r="O9" i="10"/>
  <c r="U134" i="12"/>
  <c r="X134" i="12"/>
  <c r="U127" i="12"/>
  <c r="X127" i="12"/>
  <c r="U125" i="12"/>
  <c r="X125" i="12"/>
  <c r="U132" i="12"/>
  <c r="X132" i="12"/>
  <c r="U130" i="12"/>
  <c r="X130" i="12"/>
  <c r="U128" i="12"/>
  <c r="X128" i="12"/>
  <c r="U123" i="12"/>
  <c r="X123" i="12"/>
  <c r="U121" i="12"/>
  <c r="X121" i="12"/>
  <c r="U133" i="12"/>
  <c r="X133" i="12"/>
  <c r="U126" i="12"/>
  <c r="X126" i="12"/>
  <c r="U124" i="12"/>
  <c r="X124" i="12"/>
  <c r="M4" i="4"/>
  <c r="V124" i="12"/>
  <c r="W124" i="12"/>
  <c r="V130" i="12"/>
  <c r="W130" i="12"/>
  <c r="V122" i="12"/>
  <c r="W122" i="12"/>
  <c r="U135" i="12"/>
  <c r="X135" i="12"/>
  <c r="V134" i="12"/>
  <c r="W134" i="12"/>
  <c r="V131" i="12"/>
  <c r="W131" i="12"/>
  <c r="V128" i="12"/>
  <c r="W128" i="12"/>
  <c r="V121" i="12"/>
  <c r="W121" i="12"/>
  <c r="V126" i="12"/>
  <c r="W126" i="12"/>
  <c r="F12" i="1"/>
  <c r="G5" i="4"/>
  <c r="V135" i="12"/>
  <c r="W135" i="12"/>
  <c r="V133" i="12"/>
  <c r="W133" i="12"/>
  <c r="V129" i="12"/>
  <c r="W129" i="12"/>
  <c r="V125" i="12"/>
  <c r="W125" i="12"/>
  <c r="S134" i="12"/>
  <c r="T134" i="12"/>
  <c r="S133" i="12"/>
  <c r="T133" i="12"/>
  <c r="S132" i="12"/>
  <c r="T132" i="12"/>
  <c r="S131" i="12"/>
  <c r="T131" i="12"/>
  <c r="S130" i="12"/>
  <c r="T130" i="12"/>
  <c r="S129" i="12"/>
  <c r="T129" i="12"/>
  <c r="S128" i="12"/>
  <c r="T128" i="12"/>
  <c r="S127" i="12"/>
  <c r="T127" i="12"/>
  <c r="S126" i="12"/>
  <c r="T126" i="12"/>
  <c r="S125" i="12"/>
  <c r="T125" i="12"/>
  <c r="S124" i="12"/>
  <c r="T124" i="12"/>
  <c r="S123" i="12"/>
  <c r="T123" i="12"/>
  <c r="S122" i="12"/>
  <c r="T122" i="12"/>
  <c r="S121" i="12"/>
  <c r="T121" i="12"/>
  <c r="M3" i="4"/>
  <c r="O12" i="10"/>
  <c r="F5" i="4"/>
  <c r="G3" i="4"/>
  <c r="C9" i="2"/>
  <c r="R13" i="2"/>
  <c r="K3" i="2"/>
  <c r="R99" i="2"/>
  <c r="R163" i="2"/>
  <c r="I32" i="1"/>
  <c r="I8" i="1"/>
  <c r="E3" i="4"/>
  <c r="E2" i="4"/>
  <c r="I7" i="1"/>
  <c r="I34" i="1"/>
  <c r="K4" i="4"/>
  <c r="I31" i="1"/>
  <c r="I10" i="1"/>
  <c r="E4" i="4"/>
  <c r="V5" i="4"/>
  <c r="V4" i="4"/>
  <c r="R131" i="2"/>
  <c r="G7" i="2"/>
  <c r="F16" i="1"/>
  <c r="S7" i="1"/>
  <c r="R82" i="2"/>
  <c r="R144" i="2"/>
  <c r="R51" i="2"/>
  <c r="R80" i="2"/>
  <c r="R227" i="2"/>
  <c r="R115" i="2"/>
  <c r="R19" i="2"/>
  <c r="R44" i="2"/>
  <c r="R38" i="2"/>
  <c r="R81" i="2"/>
  <c r="R147" i="2"/>
  <c r="R83" i="2"/>
  <c r="R112" i="2"/>
  <c r="R126" i="2"/>
  <c r="R258" i="2"/>
  <c r="R139" i="2"/>
  <c r="R107" i="2"/>
  <c r="R67" i="2"/>
  <c r="R160" i="2"/>
  <c r="R96" i="2"/>
  <c r="R24" i="2"/>
  <c r="R102" i="2"/>
  <c r="R18" i="2"/>
  <c r="R202" i="2"/>
  <c r="R244" i="2"/>
  <c r="R155" i="2"/>
  <c r="R123" i="2"/>
  <c r="R91" i="2"/>
  <c r="R35" i="2"/>
  <c r="R128" i="2"/>
  <c r="R64" i="2"/>
  <c r="R146" i="2"/>
  <c r="R62" i="2"/>
  <c r="R290" i="2"/>
  <c r="R171" i="2"/>
  <c r="AR19" i="12"/>
  <c r="AL22" i="12"/>
  <c r="AR20" i="12"/>
  <c r="R159" i="2"/>
  <c r="R143" i="2"/>
  <c r="R127" i="2"/>
  <c r="R111" i="2"/>
  <c r="R95" i="2"/>
  <c r="R75" i="2"/>
  <c r="R43" i="2"/>
  <c r="R11" i="2"/>
  <c r="R136" i="2"/>
  <c r="R104" i="2"/>
  <c r="R72" i="2"/>
  <c r="R32" i="2"/>
  <c r="R158" i="2"/>
  <c r="R114" i="2"/>
  <c r="R70" i="2"/>
  <c r="R30" i="2"/>
  <c r="R306" i="2"/>
  <c r="R226" i="2"/>
  <c r="R203" i="2"/>
  <c r="R308" i="2"/>
  <c r="R167" i="2"/>
  <c r="R151" i="2"/>
  <c r="R135" i="2"/>
  <c r="R119" i="2"/>
  <c r="R103" i="2"/>
  <c r="R87" i="2"/>
  <c r="R59" i="2"/>
  <c r="R27" i="2"/>
  <c r="R152" i="2"/>
  <c r="R120" i="2"/>
  <c r="R88" i="2"/>
  <c r="R56" i="2"/>
  <c r="R12" i="2"/>
  <c r="R134" i="2"/>
  <c r="R94" i="2"/>
  <c r="R50" i="2"/>
  <c r="R6" i="2"/>
  <c r="R282" i="2"/>
  <c r="R170" i="2"/>
  <c r="R113" i="2"/>
  <c r="R180" i="2"/>
  <c r="R79" i="2"/>
  <c r="R63" i="2"/>
  <c r="R47" i="2"/>
  <c r="R31" i="2"/>
  <c r="R15" i="2"/>
  <c r="R156" i="2"/>
  <c r="R140" i="2"/>
  <c r="R124" i="2"/>
  <c r="R108" i="2"/>
  <c r="R92" i="2"/>
  <c r="R76" i="2"/>
  <c r="R60" i="2"/>
  <c r="R40" i="2"/>
  <c r="R16" i="2"/>
  <c r="G9" i="2"/>
  <c r="F17" i="1"/>
  <c r="S5" i="1"/>
  <c r="R142" i="2"/>
  <c r="R118" i="2"/>
  <c r="R98" i="2"/>
  <c r="R78" i="2"/>
  <c r="R54" i="2"/>
  <c r="R34" i="2"/>
  <c r="R14" i="2"/>
  <c r="R314" i="2"/>
  <c r="R286" i="2"/>
  <c r="R242" i="2"/>
  <c r="R178" i="2"/>
  <c r="R219" i="2"/>
  <c r="R161" i="2"/>
  <c r="R17" i="2"/>
  <c r="R236" i="2"/>
  <c r="R71" i="2"/>
  <c r="R55" i="2"/>
  <c r="R39" i="2"/>
  <c r="R23" i="2"/>
  <c r="R164" i="2"/>
  <c r="R148" i="2"/>
  <c r="R132" i="2"/>
  <c r="R116" i="2"/>
  <c r="R100" i="2"/>
  <c r="R84" i="2"/>
  <c r="R68" i="2"/>
  <c r="R48" i="2"/>
  <c r="R28" i="2"/>
  <c r="R8" i="2"/>
  <c r="R150" i="2"/>
  <c r="R130" i="2"/>
  <c r="R110" i="2"/>
  <c r="R86" i="2"/>
  <c r="R66" i="2"/>
  <c r="R46" i="2"/>
  <c r="R22" i="2"/>
  <c r="K4" i="2"/>
  <c r="K5" i="2"/>
  <c r="R302" i="2"/>
  <c r="R266" i="2"/>
  <c r="R210" i="2"/>
  <c r="R251" i="2"/>
  <c r="R187" i="2"/>
  <c r="R97" i="2"/>
  <c r="R300" i="2"/>
  <c r="R172" i="2"/>
  <c r="R52" i="2"/>
  <c r="R36" i="2"/>
  <c r="R20" i="2"/>
  <c r="R7" i="2"/>
  <c r="R154" i="2"/>
  <c r="R138" i="2"/>
  <c r="R122" i="2"/>
  <c r="R106" i="2"/>
  <c r="R90" i="2"/>
  <c r="R74" i="2"/>
  <c r="R58" i="2"/>
  <c r="R42" i="2"/>
  <c r="R26" i="2"/>
  <c r="R10" i="2"/>
  <c r="R318" i="2"/>
  <c r="R298" i="2"/>
  <c r="R274" i="2"/>
  <c r="R234" i="2"/>
  <c r="R194" i="2"/>
  <c r="R235" i="2"/>
  <c r="R195" i="2"/>
  <c r="R145" i="2"/>
  <c r="R33" i="2"/>
  <c r="R276" i="2"/>
  <c r="R212" i="2"/>
  <c r="R233" i="2"/>
  <c r="R268" i="2"/>
  <c r="R204" i="2"/>
  <c r="R225" i="2"/>
  <c r="R169" i="2"/>
  <c r="BI9" i="9"/>
  <c r="BJ9" i="9"/>
  <c r="BH10" i="9"/>
  <c r="B33" i="7"/>
  <c r="C33" i="7"/>
  <c r="C34" i="7"/>
  <c r="B18" i="7"/>
  <c r="C18" i="7"/>
  <c r="C19" i="7"/>
  <c r="B48" i="7"/>
  <c r="C48" i="7"/>
  <c r="C49" i="7"/>
  <c r="B125" i="7"/>
  <c r="C125" i="7"/>
  <c r="C126" i="7"/>
  <c r="B141" i="7"/>
  <c r="C141" i="7"/>
  <c r="C142" i="7"/>
  <c r="B157" i="7"/>
  <c r="C157" i="7"/>
  <c r="C158" i="7"/>
  <c r="B18" i="13"/>
  <c r="C18" i="13"/>
  <c r="C19" i="13"/>
  <c r="R201" i="2"/>
  <c r="R149" i="2"/>
  <c r="R193" i="2"/>
  <c r="C12" i="1"/>
  <c r="S17" i="1"/>
  <c r="P9" i="10"/>
  <c r="O14" i="10"/>
  <c r="M5" i="4"/>
  <c r="R310" i="2"/>
  <c r="R294" i="2"/>
  <c r="R278" i="2"/>
  <c r="R250" i="2"/>
  <c r="R218" i="2"/>
  <c r="R186" i="2"/>
  <c r="R243" i="2"/>
  <c r="R211" i="2"/>
  <c r="R179" i="2"/>
  <c r="R129" i="2"/>
  <c r="R65" i="2"/>
  <c r="Q4" i="2"/>
  <c r="R292" i="2"/>
  <c r="R260" i="2"/>
  <c r="R228" i="2"/>
  <c r="R196" i="2"/>
  <c r="R249" i="2"/>
  <c r="R217" i="2"/>
  <c r="R185" i="2"/>
  <c r="R133" i="2"/>
  <c r="R49" i="2"/>
  <c r="R316" i="2"/>
  <c r="R284" i="2"/>
  <c r="R252" i="2"/>
  <c r="R220" i="2"/>
  <c r="R188" i="2"/>
  <c r="R241" i="2"/>
  <c r="R209" i="2"/>
  <c r="R177" i="2"/>
  <c r="R37" i="2"/>
  <c r="R117" i="2"/>
  <c r="R162" i="2"/>
  <c r="R101" i="2"/>
  <c r="R69" i="2"/>
  <c r="S42" i="3"/>
  <c r="U46" i="3"/>
  <c r="R270" i="2"/>
  <c r="R254" i="2"/>
  <c r="R238" i="2"/>
  <c r="R222" i="2"/>
  <c r="R206" i="2"/>
  <c r="R190" i="2"/>
  <c r="R174" i="2"/>
  <c r="R247" i="2"/>
  <c r="R231" i="2"/>
  <c r="R215" i="2"/>
  <c r="R199" i="2"/>
  <c r="R183" i="2"/>
  <c r="R165" i="2"/>
  <c r="R137" i="2"/>
  <c r="R105" i="2"/>
  <c r="R73" i="2"/>
  <c r="R41" i="2"/>
  <c r="R9" i="2"/>
  <c r="R312" i="2"/>
  <c r="R296" i="2"/>
  <c r="R280" i="2"/>
  <c r="R264" i="2"/>
  <c r="R248" i="2"/>
  <c r="R232" i="2"/>
  <c r="R216" i="2"/>
  <c r="R200" i="2"/>
  <c r="R184" i="2"/>
  <c r="R168" i="2"/>
  <c r="R237" i="2"/>
  <c r="R221" i="2"/>
  <c r="R205" i="2"/>
  <c r="R189" i="2"/>
  <c r="R173" i="2"/>
  <c r="R157" i="2"/>
  <c r="R125" i="2"/>
  <c r="R93" i="2"/>
  <c r="R61" i="2"/>
  <c r="R29" i="2"/>
  <c r="R85" i="2"/>
  <c r="R53" i="2"/>
  <c r="R21" i="2"/>
  <c r="R262" i="2"/>
  <c r="R246" i="2"/>
  <c r="R230" i="2"/>
  <c r="R214" i="2"/>
  <c r="R198" i="2"/>
  <c r="R182" i="2"/>
  <c r="R255" i="2"/>
  <c r="R239" i="2"/>
  <c r="R223" i="2"/>
  <c r="R207" i="2"/>
  <c r="R191" i="2"/>
  <c r="R175" i="2"/>
  <c r="R153" i="2"/>
  <c r="R121" i="2"/>
  <c r="R89" i="2"/>
  <c r="R57" i="2"/>
  <c r="R25" i="2"/>
  <c r="R320" i="2"/>
  <c r="R304" i="2"/>
  <c r="R288" i="2"/>
  <c r="R272" i="2"/>
  <c r="R256" i="2"/>
  <c r="R240" i="2"/>
  <c r="R224" i="2"/>
  <c r="R208" i="2"/>
  <c r="R192" i="2"/>
  <c r="R176" i="2"/>
  <c r="R245" i="2"/>
  <c r="R229" i="2"/>
  <c r="R213" i="2"/>
  <c r="R197" i="2"/>
  <c r="R181" i="2"/>
  <c r="R166" i="2"/>
  <c r="R141" i="2"/>
  <c r="R109" i="2"/>
  <c r="R77" i="2"/>
  <c r="R45" i="2"/>
  <c r="R257" i="2"/>
  <c r="R265" i="2"/>
  <c r="R273" i="2"/>
  <c r="R281" i="2"/>
  <c r="R289" i="2"/>
  <c r="R297" i="2"/>
  <c r="R305" i="2"/>
  <c r="R313" i="2"/>
  <c r="R321" i="2"/>
  <c r="R323" i="2"/>
  <c r="R325" i="2"/>
  <c r="R327" i="2"/>
  <c r="R329" i="2"/>
  <c r="R331" i="2"/>
  <c r="R333" i="2"/>
  <c r="R335" i="2"/>
  <c r="R337" i="2"/>
  <c r="R339" i="2"/>
  <c r="R341" i="2"/>
  <c r="R343" i="2"/>
  <c r="R345" i="2"/>
  <c r="R347" i="2"/>
  <c r="R349" i="2"/>
  <c r="R351" i="2"/>
  <c r="R353" i="2"/>
  <c r="R355" i="2"/>
  <c r="R357" i="2"/>
  <c r="R359" i="2"/>
  <c r="R361" i="2"/>
  <c r="R363" i="2"/>
  <c r="R365" i="2"/>
  <c r="R367" i="2"/>
  <c r="R369" i="2"/>
  <c r="R371" i="2"/>
  <c r="R373" i="2"/>
  <c r="R375" i="2"/>
  <c r="R377" i="2"/>
  <c r="R379" i="2"/>
  <c r="R381" i="2"/>
  <c r="R383" i="2"/>
  <c r="R385" i="2"/>
  <c r="R387" i="2"/>
  <c r="R389" i="2"/>
  <c r="R391" i="2"/>
  <c r="R393" i="2"/>
  <c r="R395" i="2"/>
  <c r="R397" i="2"/>
  <c r="R399" i="2"/>
  <c r="R401" i="2"/>
  <c r="R403" i="2"/>
  <c r="R405" i="2"/>
  <c r="R407" i="2"/>
  <c r="R409" i="2"/>
  <c r="R411" i="2"/>
  <c r="R413" i="2"/>
  <c r="R415" i="2"/>
  <c r="R417" i="2"/>
  <c r="R419" i="2"/>
  <c r="R421" i="2"/>
  <c r="R423" i="2"/>
  <c r="R425" i="2"/>
  <c r="R427" i="2"/>
  <c r="R429" i="2"/>
  <c r="R431" i="2"/>
  <c r="R433" i="2"/>
  <c r="R435" i="2"/>
  <c r="R437" i="2"/>
  <c r="R439" i="2"/>
  <c r="R441" i="2"/>
  <c r="R443" i="2"/>
  <c r="R445" i="2"/>
  <c r="R447" i="2"/>
  <c r="R449" i="2"/>
  <c r="R451" i="2"/>
  <c r="R453" i="2"/>
  <c r="R455" i="2"/>
  <c r="R457" i="2"/>
  <c r="R459" i="2"/>
  <c r="R461" i="2"/>
  <c r="R463" i="2"/>
  <c r="R465" i="2"/>
  <c r="R467" i="2"/>
  <c r="R469" i="2"/>
  <c r="R471" i="2"/>
  <c r="R263" i="2"/>
  <c r="R271" i="2"/>
  <c r="R279" i="2"/>
  <c r="R287" i="2"/>
  <c r="R295" i="2"/>
  <c r="R303" i="2"/>
  <c r="R311" i="2"/>
  <c r="R319" i="2"/>
  <c r="R261" i="2"/>
  <c r="R269" i="2"/>
  <c r="R277" i="2"/>
  <c r="R285" i="2"/>
  <c r="R293" i="2"/>
  <c r="R301" i="2"/>
  <c r="R309" i="2"/>
  <c r="R317" i="2"/>
  <c r="R322" i="2"/>
  <c r="R324" i="2"/>
  <c r="R326" i="2"/>
  <c r="R328" i="2"/>
  <c r="R330" i="2"/>
  <c r="R332" i="2"/>
  <c r="R334" i="2"/>
  <c r="R336" i="2"/>
  <c r="R338" i="2"/>
  <c r="R340" i="2"/>
  <c r="R342" i="2"/>
  <c r="R344" i="2"/>
  <c r="R346" i="2"/>
  <c r="R348" i="2"/>
  <c r="R350" i="2"/>
  <c r="R352" i="2"/>
  <c r="R354" i="2"/>
  <c r="R356" i="2"/>
  <c r="R358" i="2"/>
  <c r="R360" i="2"/>
  <c r="R362" i="2"/>
  <c r="R364" i="2"/>
  <c r="R366" i="2"/>
  <c r="R368" i="2"/>
  <c r="R370" i="2"/>
  <c r="R372" i="2"/>
  <c r="R374" i="2"/>
  <c r="R376" i="2"/>
  <c r="R378" i="2"/>
  <c r="R380" i="2"/>
  <c r="R382" i="2"/>
  <c r="R384" i="2"/>
  <c r="R386" i="2"/>
  <c r="R388" i="2"/>
  <c r="R390" i="2"/>
  <c r="R392" i="2"/>
  <c r="R394" i="2"/>
  <c r="R396" i="2"/>
  <c r="R398" i="2"/>
  <c r="R400" i="2"/>
  <c r="R402" i="2"/>
  <c r="R404" i="2"/>
  <c r="R406" i="2"/>
  <c r="R408" i="2"/>
  <c r="R410" i="2"/>
  <c r="R412" i="2"/>
  <c r="R414" i="2"/>
  <c r="R416" i="2"/>
  <c r="R418" i="2"/>
  <c r="R420" i="2"/>
  <c r="R422" i="2"/>
  <c r="R424" i="2"/>
  <c r="R426" i="2"/>
  <c r="R428" i="2"/>
  <c r="R430" i="2"/>
  <c r="R432" i="2"/>
  <c r="R434" i="2"/>
  <c r="R436" i="2"/>
  <c r="R438" i="2"/>
  <c r="R440" i="2"/>
  <c r="R442" i="2"/>
  <c r="R444" i="2"/>
  <c r="R446" i="2"/>
  <c r="R448" i="2"/>
  <c r="R450" i="2"/>
  <c r="R452" i="2"/>
  <c r="R454" i="2"/>
  <c r="R456" i="2"/>
  <c r="R458" i="2"/>
  <c r="R460" i="2"/>
  <c r="R462" i="2"/>
  <c r="R464" i="2"/>
  <c r="R466" i="2"/>
  <c r="R468" i="2"/>
  <c r="R470" i="2"/>
  <c r="R472" i="2"/>
  <c r="R474" i="2"/>
  <c r="R253" i="2"/>
  <c r="R259" i="2"/>
  <c r="R267" i="2"/>
  <c r="R275" i="2"/>
  <c r="R283" i="2"/>
  <c r="R291" i="2"/>
  <c r="R299" i="2"/>
  <c r="R307" i="2"/>
  <c r="R315" i="2"/>
  <c r="R475" i="2"/>
  <c r="R477" i="2"/>
  <c r="R479" i="2"/>
  <c r="R481" i="2"/>
  <c r="R483" i="2"/>
  <c r="R485" i="2"/>
  <c r="R487" i="2"/>
  <c r="R489" i="2"/>
  <c r="R491" i="2"/>
  <c r="R493" i="2"/>
  <c r="R495" i="2"/>
  <c r="R497" i="2"/>
  <c r="R499" i="2"/>
  <c r="R501" i="2"/>
  <c r="R503" i="2"/>
  <c r="R505" i="2"/>
  <c r="R507" i="2"/>
  <c r="R509" i="2"/>
  <c r="R511" i="2"/>
  <c r="R513" i="2"/>
  <c r="R515" i="2"/>
  <c r="R517" i="2"/>
  <c r="R519" i="2"/>
  <c r="R521" i="2"/>
  <c r="R523" i="2"/>
  <c r="R525" i="2"/>
  <c r="R527" i="2"/>
  <c r="R529" i="2"/>
  <c r="R531" i="2"/>
  <c r="R533" i="2"/>
  <c r="R535" i="2"/>
  <c r="R537" i="2"/>
  <c r="R539" i="2"/>
  <c r="R541" i="2"/>
  <c r="R543" i="2"/>
  <c r="R545" i="2"/>
  <c r="R547" i="2"/>
  <c r="R549" i="2"/>
  <c r="R551" i="2"/>
  <c r="R553" i="2"/>
  <c r="R555" i="2"/>
  <c r="R557" i="2"/>
  <c r="R559" i="2"/>
  <c r="R561" i="2"/>
  <c r="R563" i="2"/>
  <c r="R565" i="2"/>
  <c r="R567" i="2"/>
  <c r="R569" i="2"/>
  <c r="R571" i="2"/>
  <c r="R573" i="2"/>
  <c r="R575" i="2"/>
  <c r="R577" i="2"/>
  <c r="R579" i="2"/>
  <c r="R581" i="2"/>
  <c r="R583" i="2"/>
  <c r="R585" i="2"/>
  <c r="R587" i="2"/>
  <c r="R589" i="2"/>
  <c r="R591" i="2"/>
  <c r="R593" i="2"/>
  <c r="R595" i="2"/>
  <c r="R597" i="2"/>
  <c r="R599" i="2"/>
  <c r="R601" i="2"/>
  <c r="R603" i="2"/>
  <c r="R605" i="2"/>
  <c r="R607" i="2"/>
  <c r="R609" i="2"/>
  <c r="R611" i="2"/>
  <c r="R613" i="2"/>
  <c r="R615" i="2"/>
  <c r="R617" i="2"/>
  <c r="R619" i="2"/>
  <c r="R621" i="2"/>
  <c r="R623" i="2"/>
  <c r="R625" i="2"/>
  <c r="R627" i="2"/>
  <c r="R473" i="2"/>
  <c r="R476" i="2"/>
  <c r="R478" i="2"/>
  <c r="R480" i="2"/>
  <c r="R482" i="2"/>
  <c r="R484" i="2"/>
  <c r="R486" i="2"/>
  <c r="R488" i="2"/>
  <c r="R490" i="2"/>
  <c r="R492" i="2"/>
  <c r="R494" i="2"/>
  <c r="R496" i="2"/>
  <c r="R498" i="2"/>
  <c r="R500" i="2"/>
  <c r="R502" i="2"/>
  <c r="R504" i="2"/>
  <c r="R506" i="2"/>
  <c r="R508" i="2"/>
  <c r="R510" i="2"/>
  <c r="R512" i="2"/>
  <c r="R514" i="2"/>
  <c r="R516" i="2"/>
  <c r="R518" i="2"/>
  <c r="R520" i="2"/>
  <c r="R522" i="2"/>
  <c r="R524" i="2"/>
  <c r="R526" i="2"/>
  <c r="R528" i="2"/>
  <c r="R530" i="2"/>
  <c r="R532" i="2"/>
  <c r="R534" i="2"/>
  <c r="R536" i="2"/>
  <c r="R538" i="2"/>
  <c r="R540" i="2"/>
  <c r="R542" i="2"/>
  <c r="R544" i="2"/>
  <c r="R546" i="2"/>
  <c r="R548" i="2"/>
  <c r="R550" i="2"/>
  <c r="R552" i="2"/>
  <c r="R554" i="2"/>
  <c r="R556" i="2"/>
  <c r="R558" i="2"/>
  <c r="R560" i="2"/>
  <c r="R562" i="2"/>
  <c r="R564" i="2"/>
  <c r="R566" i="2"/>
  <c r="R568" i="2"/>
  <c r="R570" i="2"/>
  <c r="R572" i="2"/>
  <c r="R574" i="2"/>
  <c r="R576" i="2"/>
  <c r="R578" i="2"/>
  <c r="R580" i="2"/>
  <c r="R582" i="2"/>
  <c r="R584" i="2"/>
  <c r="R586" i="2"/>
  <c r="R588" i="2"/>
  <c r="R590" i="2"/>
  <c r="R592" i="2"/>
  <c r="R594" i="2"/>
  <c r="R596" i="2"/>
  <c r="R598" i="2"/>
  <c r="R600" i="2"/>
  <c r="R602" i="2"/>
  <c r="R604" i="2"/>
  <c r="R606" i="2"/>
  <c r="R608" i="2"/>
  <c r="R610" i="2"/>
  <c r="R612" i="2"/>
  <c r="R614" i="2"/>
  <c r="R616" i="2"/>
  <c r="R618" i="2"/>
  <c r="R620" i="2"/>
  <c r="R622" i="2"/>
  <c r="R624" i="2"/>
  <c r="R626" i="2"/>
  <c r="R628" i="2"/>
  <c r="R630" i="2"/>
  <c r="R632" i="2"/>
  <c r="R634" i="2"/>
  <c r="R636" i="2"/>
  <c r="R638" i="2"/>
  <c r="R640" i="2"/>
  <c r="R642" i="2"/>
  <c r="R644" i="2"/>
  <c r="R633" i="2"/>
  <c r="R641" i="2"/>
  <c r="R646" i="2"/>
  <c r="R648" i="2"/>
  <c r="R650" i="2"/>
  <c r="R652" i="2"/>
  <c r="R654" i="2"/>
  <c r="R656" i="2"/>
  <c r="R658" i="2"/>
  <c r="R660" i="2"/>
  <c r="R662" i="2"/>
  <c r="R664" i="2"/>
  <c r="R666" i="2"/>
  <c r="R668" i="2"/>
  <c r="R670" i="2"/>
  <c r="R672" i="2"/>
  <c r="R674" i="2"/>
  <c r="R676" i="2"/>
  <c r="R678" i="2"/>
  <c r="R680" i="2"/>
  <c r="R682" i="2"/>
  <c r="R684" i="2"/>
  <c r="R686" i="2"/>
  <c r="R688" i="2"/>
  <c r="R690" i="2"/>
  <c r="R692" i="2"/>
  <c r="R694" i="2"/>
  <c r="R696" i="2"/>
  <c r="R698" i="2"/>
  <c r="R700" i="2"/>
  <c r="R702" i="2"/>
  <c r="R704" i="2"/>
  <c r="R706" i="2"/>
  <c r="R708" i="2"/>
  <c r="R710" i="2"/>
  <c r="R712" i="2"/>
  <c r="R714" i="2"/>
  <c r="R716" i="2"/>
  <c r="R718" i="2"/>
  <c r="R720" i="2"/>
  <c r="R722" i="2"/>
  <c r="R724" i="2"/>
  <c r="R726" i="2"/>
  <c r="R728" i="2"/>
  <c r="R730" i="2"/>
  <c r="R732" i="2"/>
  <c r="R734" i="2"/>
  <c r="R736" i="2"/>
  <c r="R738" i="2"/>
  <c r="R740" i="2"/>
  <c r="R742" i="2"/>
  <c r="R744" i="2"/>
  <c r="R746" i="2"/>
  <c r="R748" i="2"/>
  <c r="R750" i="2"/>
  <c r="R752" i="2"/>
  <c r="R754" i="2"/>
  <c r="R756" i="2"/>
  <c r="R758" i="2"/>
  <c r="R760" i="2"/>
  <c r="R762" i="2"/>
  <c r="R764" i="2"/>
  <c r="R766" i="2"/>
  <c r="R768" i="2"/>
  <c r="R770" i="2"/>
  <c r="R772" i="2"/>
  <c r="R774" i="2"/>
  <c r="R776" i="2"/>
  <c r="R778" i="2"/>
  <c r="R780" i="2"/>
  <c r="R782" i="2"/>
  <c r="R784" i="2"/>
  <c r="R786" i="2"/>
  <c r="R788" i="2"/>
  <c r="R790" i="2"/>
  <c r="R792" i="2"/>
  <c r="R794" i="2"/>
  <c r="R796" i="2"/>
  <c r="R798" i="2"/>
  <c r="R800" i="2"/>
  <c r="R631" i="2"/>
  <c r="R639" i="2"/>
  <c r="R629" i="2"/>
  <c r="R637" i="2"/>
  <c r="R645" i="2"/>
  <c r="R647" i="2"/>
  <c r="R649" i="2"/>
  <c r="R651" i="2"/>
  <c r="R653" i="2"/>
  <c r="R655" i="2"/>
  <c r="R657" i="2"/>
  <c r="R659" i="2"/>
  <c r="R661" i="2"/>
  <c r="R663" i="2"/>
  <c r="R665" i="2"/>
  <c r="R667" i="2"/>
  <c r="R669" i="2"/>
  <c r="R671" i="2"/>
  <c r="R673" i="2"/>
  <c r="R675" i="2"/>
  <c r="R677" i="2"/>
  <c r="R679" i="2"/>
  <c r="R681" i="2"/>
  <c r="R683" i="2"/>
  <c r="R685" i="2"/>
  <c r="R687" i="2"/>
  <c r="R689" i="2"/>
  <c r="R691" i="2"/>
  <c r="R693" i="2"/>
  <c r="R695" i="2"/>
  <c r="R697" i="2"/>
  <c r="R699" i="2"/>
  <c r="R701" i="2"/>
  <c r="R703" i="2"/>
  <c r="R705" i="2"/>
  <c r="R707" i="2"/>
  <c r="R709" i="2"/>
  <c r="R711" i="2"/>
  <c r="R713" i="2"/>
  <c r="R715" i="2"/>
  <c r="R717" i="2"/>
  <c r="R719" i="2"/>
  <c r="R721" i="2"/>
  <c r="R723" i="2"/>
  <c r="R725" i="2"/>
  <c r="R727" i="2"/>
  <c r="R729" i="2"/>
  <c r="R731" i="2"/>
  <c r="R733" i="2"/>
  <c r="R735" i="2"/>
  <c r="R737" i="2"/>
  <c r="R739" i="2"/>
  <c r="R741" i="2"/>
  <c r="R743" i="2"/>
  <c r="R745" i="2"/>
  <c r="R747" i="2"/>
  <c r="R749" i="2"/>
  <c r="R751" i="2"/>
  <c r="R753" i="2"/>
  <c r="R755" i="2"/>
  <c r="R757" i="2"/>
  <c r="R759" i="2"/>
  <c r="R761" i="2"/>
  <c r="R763" i="2"/>
  <c r="R765" i="2"/>
  <c r="R767" i="2"/>
  <c r="R769" i="2"/>
  <c r="R771" i="2"/>
  <c r="R773" i="2"/>
  <c r="R775" i="2"/>
  <c r="R777" i="2"/>
  <c r="R779" i="2"/>
  <c r="R781" i="2"/>
  <c r="R783" i="2"/>
  <c r="R785" i="2"/>
  <c r="R787" i="2"/>
  <c r="R789" i="2"/>
  <c r="R791" i="2"/>
  <c r="R793" i="2"/>
  <c r="R795" i="2"/>
  <c r="R797" i="2"/>
  <c r="R799" i="2"/>
  <c r="R635" i="2"/>
  <c r="R643" i="2"/>
  <c r="S225" i="2"/>
  <c r="S287" i="2"/>
  <c r="S537" i="2"/>
  <c r="S376" i="2"/>
  <c r="S504" i="2"/>
  <c r="S419" i="2"/>
  <c r="S547" i="2"/>
  <c r="S438" i="2"/>
  <c r="S576" i="2"/>
  <c r="S704" i="2"/>
  <c r="S776" i="2"/>
  <c r="S800" i="2"/>
  <c r="S567" i="2"/>
  <c r="S599" i="2"/>
  <c r="S623" i="2"/>
  <c r="S643" i="2"/>
  <c r="S667" i="2"/>
  <c r="S687" i="2"/>
  <c r="S707" i="2"/>
  <c r="S731" i="2"/>
  <c r="S751" i="2"/>
  <c r="S771" i="2"/>
  <c r="S795" i="2"/>
  <c r="S548" i="2"/>
  <c r="S574" i="2"/>
  <c r="S598" i="2"/>
  <c r="S618" i="2"/>
  <c r="S638" i="2"/>
  <c r="S662" i="2"/>
  <c r="S682" i="2"/>
  <c r="S702" i="2"/>
  <c r="S726" i="2"/>
  <c r="S746" i="2"/>
  <c r="S766" i="2"/>
  <c r="S790" i="2"/>
  <c r="S541" i="2"/>
  <c r="S565" i="2"/>
  <c r="S589" i="2"/>
  <c r="S609" i="2"/>
  <c r="S629" i="2"/>
  <c r="S653" i="2"/>
  <c r="S673" i="2"/>
  <c r="S693" i="2"/>
  <c r="S713" i="2"/>
  <c r="S729" i="2"/>
  <c r="S745" i="2"/>
  <c r="S761" i="2"/>
  <c r="S777" i="2"/>
  <c r="S793" i="2"/>
  <c r="K7" i="2"/>
  <c r="K8" i="2"/>
  <c r="G7" i="1"/>
  <c r="H7" i="1"/>
  <c r="F7" i="9"/>
  <c r="G7" i="9"/>
  <c r="H31" i="1"/>
  <c r="F6" i="9"/>
  <c r="G6" i="9"/>
  <c r="G10" i="1"/>
  <c r="H10" i="1"/>
  <c r="G34" i="1"/>
  <c r="E13" i="3"/>
  <c r="H34" i="1"/>
  <c r="G8" i="1"/>
  <c r="H8" i="1"/>
  <c r="H32" i="1"/>
  <c r="N5" i="4"/>
  <c r="H5" i="4"/>
  <c r="AU20" i="12"/>
  <c r="AX20" i="12"/>
  <c r="AV20" i="12"/>
  <c r="AW20" i="12"/>
  <c r="AS20" i="12"/>
  <c r="AT20" i="12"/>
  <c r="AL23" i="12"/>
  <c r="AU19" i="12"/>
  <c r="AX19" i="12"/>
  <c r="AV19" i="12"/>
  <c r="AW19" i="12"/>
  <c r="AS19" i="12"/>
  <c r="AT19" i="12"/>
  <c r="AR21" i="12"/>
  <c r="B158" i="7"/>
  <c r="F147" i="7"/>
  <c r="E147" i="7"/>
  <c r="B126" i="7"/>
  <c r="F115" i="7"/>
  <c r="E115" i="7"/>
  <c r="E117" i="7"/>
  <c r="B19" i="7"/>
  <c r="F8" i="7"/>
  <c r="E8" i="7"/>
  <c r="E10" i="7"/>
  <c r="BH11" i="9"/>
  <c r="BI10" i="9"/>
  <c r="BJ10" i="9"/>
  <c r="B19" i="13"/>
  <c r="F8" i="13"/>
  <c r="E8" i="13"/>
  <c r="E10" i="13"/>
  <c r="B142" i="7"/>
  <c r="F131" i="7"/>
  <c r="E131" i="7"/>
  <c r="E133" i="7"/>
  <c r="B49" i="7"/>
  <c r="F38" i="7"/>
  <c r="E38" i="7"/>
  <c r="B34" i="7"/>
  <c r="F23" i="7"/>
  <c r="C12" i="3"/>
  <c r="E5" i="4"/>
  <c r="H12" i="1"/>
  <c r="I12" i="1"/>
  <c r="K7" i="1"/>
  <c r="W10" i="1"/>
  <c r="S37" i="1"/>
  <c r="I36" i="1"/>
  <c r="K31" i="1"/>
  <c r="S34" i="1"/>
  <c r="K5" i="4"/>
  <c r="G36" i="1"/>
  <c r="E14" i="3"/>
  <c r="H2" i="10"/>
  <c r="S124" i="2"/>
  <c r="S60" i="2"/>
  <c r="S161" i="2"/>
  <c r="S97" i="2"/>
  <c r="S17" i="2"/>
  <c r="S43" i="2"/>
  <c r="S120" i="2"/>
  <c r="S56" i="2"/>
  <c r="S157" i="2"/>
  <c r="S93" i="2"/>
  <c r="S9" i="2"/>
  <c r="S35" i="2"/>
  <c r="S116" i="2"/>
  <c r="S52" i="2"/>
  <c r="S153" i="2"/>
  <c r="S89" i="2"/>
  <c r="S155" i="2"/>
  <c r="S27" i="2"/>
  <c r="S13" i="2"/>
  <c r="S103" i="2"/>
  <c r="S39" i="2"/>
  <c r="S21" i="2"/>
  <c r="S111" i="2"/>
  <c r="S47" i="2"/>
  <c r="S10" i="2"/>
  <c r="S42" i="2"/>
  <c r="S74" i="2"/>
  <c r="S106" i="2"/>
  <c r="S138" i="2"/>
  <c r="S174" i="2"/>
  <c r="S190" i="2"/>
  <c r="S206" i="2"/>
  <c r="S222" i="2"/>
  <c r="S238" i="2"/>
  <c r="S166" i="2"/>
  <c r="S181" i="2"/>
  <c r="S197" i="2"/>
  <c r="S213" i="2"/>
  <c r="S229" i="2"/>
  <c r="S245" i="2"/>
  <c r="S261" i="2"/>
  <c r="S277" i="2"/>
  <c r="S293" i="2"/>
  <c r="S309" i="2"/>
  <c r="S22" i="2"/>
  <c r="S54" i="2"/>
  <c r="S86" i="2"/>
  <c r="S118" i="2"/>
  <c r="S150" i="2"/>
  <c r="S176" i="2"/>
  <c r="S192" i="2"/>
  <c r="S208" i="2"/>
  <c r="S224" i="2"/>
  <c r="S240" i="2"/>
  <c r="S163" i="2"/>
  <c r="S179" i="2"/>
  <c r="S195" i="2"/>
  <c r="S211" i="2"/>
  <c r="S227" i="2"/>
  <c r="S243" i="2"/>
  <c r="S259" i="2"/>
  <c r="S275" i="2"/>
  <c r="S291" i="2"/>
  <c r="S307" i="2"/>
  <c r="S250" i="2"/>
  <c r="S333" i="2"/>
  <c r="S349" i="2"/>
  <c r="S365" i="2"/>
  <c r="S381" i="2"/>
  <c r="S397" i="2"/>
  <c r="S413" i="2"/>
  <c r="S429" i="2"/>
  <c r="S445" i="2"/>
  <c r="S461" i="2"/>
  <c r="S477" i="2"/>
  <c r="S493" i="2"/>
  <c r="S509" i="2"/>
  <c r="S525" i="2"/>
  <c r="S256" i="2"/>
  <c r="S264" i="2"/>
  <c r="S272" i="2"/>
  <c r="S280" i="2"/>
  <c r="S288" i="2"/>
  <c r="S296" i="2"/>
  <c r="S304" i="2"/>
  <c r="S108" i="2"/>
  <c r="S44" i="2"/>
  <c r="S145" i="2"/>
  <c r="S81" i="2"/>
  <c r="S139" i="2"/>
  <c r="S11" i="2"/>
  <c r="S104" i="2"/>
  <c r="S40" i="2"/>
  <c r="S141" i="2"/>
  <c r="S77" i="2"/>
  <c r="S131" i="2"/>
  <c r="S164" i="2"/>
  <c r="S100" i="2"/>
  <c r="S36" i="2"/>
  <c r="S137" i="2"/>
  <c r="S73" i="2"/>
  <c r="S123" i="2"/>
  <c r="S151" i="2"/>
  <c r="S87" i="2"/>
  <c r="S23" i="2"/>
  <c r="S159" i="2"/>
  <c r="S95" i="2"/>
  <c r="S31" i="2"/>
  <c r="S18" i="2"/>
  <c r="S50" i="2"/>
  <c r="S82" i="2"/>
  <c r="S114" i="2"/>
  <c r="S146" i="2"/>
  <c r="S178" i="2"/>
  <c r="S194" i="2"/>
  <c r="S210" i="2"/>
  <c r="S226" i="2"/>
  <c r="S242" i="2"/>
  <c r="S169" i="2"/>
  <c r="S185" i="2"/>
  <c r="S201" i="2"/>
  <c r="S217" i="2"/>
  <c r="S233" i="2"/>
  <c r="S249" i="2"/>
  <c r="S265" i="2"/>
  <c r="S281" i="2"/>
  <c r="S297" i="2"/>
  <c r="S313" i="2"/>
  <c r="S30" i="2"/>
  <c r="S62" i="2"/>
  <c r="S94" i="2"/>
  <c r="S126" i="2"/>
  <c r="S158" i="2"/>
  <c r="S180" i="2"/>
  <c r="S196" i="2"/>
  <c r="S212" i="2"/>
  <c r="S228" i="2"/>
  <c r="S244" i="2"/>
  <c r="S167" i="2"/>
  <c r="S183" i="2"/>
  <c r="S199" i="2"/>
  <c r="S215" i="2"/>
  <c r="S231" i="2"/>
  <c r="S247" i="2"/>
  <c r="S263" i="2"/>
  <c r="S279" i="2"/>
  <c r="S295" i="2"/>
  <c r="S311" i="2"/>
  <c r="S321" i="2"/>
  <c r="S337" i="2"/>
  <c r="S353" i="2"/>
  <c r="S369" i="2"/>
  <c r="S385" i="2"/>
  <c r="S401" i="2"/>
  <c r="S417" i="2"/>
  <c r="S433" i="2"/>
  <c r="S449" i="2"/>
  <c r="S465" i="2"/>
  <c r="S481" i="2"/>
  <c r="S497" i="2"/>
  <c r="S513" i="2"/>
  <c r="S529" i="2"/>
  <c r="S258" i="2"/>
  <c r="S266" i="2"/>
  <c r="S274" i="2"/>
  <c r="S282" i="2"/>
  <c r="S290" i="2"/>
  <c r="S298" i="2"/>
  <c r="S306" i="2"/>
  <c r="S314" i="2"/>
  <c r="S156" i="2"/>
  <c r="S92" i="2"/>
  <c r="S28" i="2"/>
  <c r="S129" i="2"/>
  <c r="S65" i="2"/>
  <c r="S107" i="2"/>
  <c r="S152" i="2"/>
  <c r="S88" i="2"/>
  <c r="S24" i="2"/>
  <c r="S125" i="2"/>
  <c r="S61" i="2"/>
  <c r="S99" i="2"/>
  <c r="S148" i="2"/>
  <c r="S84" i="2"/>
  <c r="S20" i="2"/>
  <c r="S121" i="2"/>
  <c r="S57" i="2"/>
  <c r="S91" i="2"/>
  <c r="S45" i="2"/>
  <c r="S135" i="2"/>
  <c r="S71" i="2"/>
  <c r="S143" i="2"/>
  <c r="S79" i="2"/>
  <c r="S26" i="2"/>
  <c r="S58" i="2"/>
  <c r="S90" i="2"/>
  <c r="S122" i="2"/>
  <c r="S154" i="2"/>
  <c r="S182" i="2"/>
  <c r="S198" i="2"/>
  <c r="S214" i="2"/>
  <c r="S230" i="2"/>
  <c r="S246" i="2"/>
  <c r="S173" i="2"/>
  <c r="S189" i="2"/>
  <c r="S205" i="2"/>
  <c r="S221" i="2"/>
  <c r="S237" i="2"/>
  <c r="S253" i="2"/>
  <c r="S269" i="2"/>
  <c r="S285" i="2"/>
  <c r="S301" i="2"/>
  <c r="S317" i="2"/>
  <c r="S38" i="2"/>
  <c r="S70" i="2"/>
  <c r="S102" i="2"/>
  <c r="S134" i="2"/>
  <c r="S168" i="2"/>
  <c r="S184" i="2"/>
  <c r="S200" i="2"/>
  <c r="S216" i="2"/>
  <c r="S232" i="2"/>
  <c r="S248" i="2"/>
  <c r="S12" i="2"/>
  <c r="S136" i="2"/>
  <c r="S41" i="2"/>
  <c r="S7" i="2"/>
  <c r="S98" i="2"/>
  <c r="S202" i="2"/>
  <c r="S177" i="2"/>
  <c r="S241" i="2"/>
  <c r="S305" i="2"/>
  <c r="S110" i="2"/>
  <c r="S204" i="2"/>
  <c r="S171" i="2"/>
  <c r="S203" i="2"/>
  <c r="S235" i="2"/>
  <c r="S267" i="2"/>
  <c r="S299" i="2"/>
  <c r="S325" i="2"/>
  <c r="S357" i="2"/>
  <c r="S389" i="2"/>
  <c r="S421" i="2"/>
  <c r="S453" i="2"/>
  <c r="S485" i="2"/>
  <c r="S517" i="2"/>
  <c r="S260" i="2"/>
  <c r="S276" i="2"/>
  <c r="S292" i="2"/>
  <c r="S308" i="2"/>
  <c r="S318" i="2"/>
  <c r="S332" i="2"/>
  <c r="S348" i="2"/>
  <c r="S364" i="2"/>
  <c r="S380" i="2"/>
  <c r="S396" i="2"/>
  <c r="S412" i="2"/>
  <c r="S428" i="2"/>
  <c r="S444" i="2"/>
  <c r="S460" i="2"/>
  <c r="S476" i="2"/>
  <c r="S492" i="2"/>
  <c r="S508" i="2"/>
  <c r="S524" i="2"/>
  <c r="S327" i="2"/>
  <c r="S343" i="2"/>
  <c r="S359" i="2"/>
  <c r="S375" i="2"/>
  <c r="S391" i="2"/>
  <c r="S407" i="2"/>
  <c r="S423" i="2"/>
  <c r="S439" i="2"/>
  <c r="S455" i="2"/>
  <c r="S471" i="2"/>
  <c r="S487" i="2"/>
  <c r="S503" i="2"/>
  <c r="S519" i="2"/>
  <c r="S535" i="2"/>
  <c r="S551" i="2"/>
  <c r="S330" i="2"/>
  <c r="S346" i="2"/>
  <c r="S362" i="2"/>
  <c r="S378" i="2"/>
  <c r="S394" i="2"/>
  <c r="S410" i="2"/>
  <c r="S426" i="2"/>
  <c r="S442" i="2"/>
  <c r="S458" i="2"/>
  <c r="S474" i="2"/>
  <c r="S490" i="2"/>
  <c r="S506" i="2"/>
  <c r="S522" i="2"/>
  <c r="S550" i="2"/>
  <c r="S564" i="2"/>
  <c r="S580" i="2"/>
  <c r="S596" i="2"/>
  <c r="S612" i="2"/>
  <c r="S628" i="2"/>
  <c r="S644" i="2"/>
  <c r="S660" i="2"/>
  <c r="S676" i="2"/>
  <c r="S692" i="2"/>
  <c r="S708" i="2"/>
  <c r="S724" i="2"/>
  <c r="S740" i="2"/>
  <c r="S756" i="2"/>
  <c r="S772" i="2"/>
  <c r="S788" i="2"/>
  <c r="S534" i="2"/>
  <c r="S559" i="2"/>
  <c r="S575" i="2"/>
  <c r="S591" i="2"/>
  <c r="S607" i="2"/>
  <c r="S113" i="2"/>
  <c r="S72" i="2"/>
  <c r="S67" i="2"/>
  <c r="S105" i="2"/>
  <c r="S29" i="2"/>
  <c r="S37" i="2"/>
  <c r="S140" i="2"/>
  <c r="S49" i="2"/>
  <c r="S8" i="2"/>
  <c r="S132" i="2"/>
  <c r="S33" i="2"/>
  <c r="S119" i="2"/>
  <c r="S127" i="2"/>
  <c r="S34" i="2"/>
  <c r="S170" i="2"/>
  <c r="S234" i="2"/>
  <c r="S209" i="2"/>
  <c r="S273" i="2"/>
  <c r="S46" i="2"/>
  <c r="S172" i="2"/>
  <c r="S236" i="2"/>
  <c r="S187" i="2"/>
  <c r="S219" i="2"/>
  <c r="S251" i="2"/>
  <c r="S283" i="2"/>
  <c r="S315" i="2"/>
  <c r="S341" i="2"/>
  <c r="S373" i="2"/>
  <c r="S405" i="2"/>
  <c r="S437" i="2"/>
  <c r="S469" i="2"/>
  <c r="S501" i="2"/>
  <c r="S533" i="2"/>
  <c r="S268" i="2"/>
  <c r="S284" i="2"/>
  <c r="S300" i="2"/>
  <c r="S312" i="2"/>
  <c r="S324" i="2"/>
  <c r="S340" i="2"/>
  <c r="S356" i="2"/>
  <c r="S372" i="2"/>
  <c r="S388" i="2"/>
  <c r="S404" i="2"/>
  <c r="S420" i="2"/>
  <c r="S436" i="2"/>
  <c r="S452" i="2"/>
  <c r="S468" i="2"/>
  <c r="S484" i="2"/>
  <c r="S500" i="2"/>
  <c r="S516" i="2"/>
  <c r="S254" i="2"/>
  <c r="S335" i="2"/>
  <c r="S351" i="2"/>
  <c r="S367" i="2"/>
  <c r="S383" i="2"/>
  <c r="S399" i="2"/>
  <c r="S415" i="2"/>
  <c r="S431" i="2"/>
  <c r="S447" i="2"/>
  <c r="S463" i="2"/>
  <c r="S479" i="2"/>
  <c r="S495" i="2"/>
  <c r="S511" i="2"/>
  <c r="S527" i="2"/>
  <c r="S543" i="2"/>
  <c r="S322" i="2"/>
  <c r="S338" i="2"/>
  <c r="S354" i="2"/>
  <c r="S370" i="2"/>
  <c r="S386" i="2"/>
  <c r="S402" i="2"/>
  <c r="S418" i="2"/>
  <c r="S434" i="2"/>
  <c r="S450" i="2"/>
  <c r="S466" i="2"/>
  <c r="S482" i="2"/>
  <c r="S498" i="2"/>
  <c r="S514" i="2"/>
  <c r="S532" i="2"/>
  <c r="S556" i="2"/>
  <c r="S572" i="2"/>
  <c r="S588" i="2"/>
  <c r="S604" i="2"/>
  <c r="S620" i="2"/>
  <c r="S636" i="2"/>
  <c r="S652" i="2"/>
  <c r="S668" i="2"/>
  <c r="S684" i="2"/>
  <c r="S700" i="2"/>
  <c r="S716" i="2"/>
  <c r="S732" i="2"/>
  <c r="S109" i="2"/>
  <c r="S55" i="2"/>
  <c r="S6" i="2"/>
  <c r="S218" i="2"/>
  <c r="S257" i="2"/>
  <c r="S142" i="2"/>
  <c r="S175" i="2"/>
  <c r="S239" i="2"/>
  <c r="S303" i="2"/>
  <c r="S361" i="2"/>
  <c r="S425" i="2"/>
  <c r="S489" i="2"/>
  <c r="S262" i="2"/>
  <c r="S294" i="2"/>
  <c r="S320" i="2"/>
  <c r="S352" i="2"/>
  <c r="S384" i="2"/>
  <c r="S416" i="2"/>
  <c r="S448" i="2"/>
  <c r="S480" i="2"/>
  <c r="S512" i="2"/>
  <c r="S331" i="2"/>
  <c r="S363" i="2"/>
  <c r="S395" i="2"/>
  <c r="S427" i="2"/>
  <c r="S459" i="2"/>
  <c r="S491" i="2"/>
  <c r="S523" i="2"/>
  <c r="S555" i="2"/>
  <c r="S350" i="2"/>
  <c r="S382" i="2"/>
  <c r="S414" i="2"/>
  <c r="S446" i="2"/>
  <c r="S478" i="2"/>
  <c r="S510" i="2"/>
  <c r="S553" i="2"/>
  <c r="S584" i="2"/>
  <c r="S616" i="2"/>
  <c r="S648" i="2"/>
  <c r="S680" i="2"/>
  <c r="S712" i="2"/>
  <c r="S744" i="2"/>
  <c r="S764" i="2"/>
  <c r="S68" i="2"/>
  <c r="S66" i="2"/>
  <c r="S162" i="2"/>
  <c r="S289" i="2"/>
  <c r="S188" i="2"/>
  <c r="S191" i="2"/>
  <c r="S255" i="2"/>
  <c r="S319" i="2"/>
  <c r="S377" i="2"/>
  <c r="S441" i="2"/>
  <c r="S505" i="2"/>
  <c r="S270" i="2"/>
  <c r="S302" i="2"/>
  <c r="S328" i="2"/>
  <c r="S360" i="2"/>
  <c r="S392" i="2"/>
  <c r="S424" i="2"/>
  <c r="S456" i="2"/>
  <c r="S488" i="2"/>
  <c r="S520" i="2"/>
  <c r="S339" i="2"/>
  <c r="S371" i="2"/>
  <c r="S403" i="2"/>
  <c r="S435" i="2"/>
  <c r="S467" i="2"/>
  <c r="S499" i="2"/>
  <c r="S531" i="2"/>
  <c r="S326" i="2"/>
  <c r="S358" i="2"/>
  <c r="S390" i="2"/>
  <c r="S422" i="2"/>
  <c r="S454" i="2"/>
  <c r="S486" i="2"/>
  <c r="S518" i="2"/>
  <c r="S560" i="2"/>
  <c r="S592" i="2"/>
  <c r="S624" i="2"/>
  <c r="S656" i="2"/>
  <c r="S688" i="2"/>
  <c r="S720" i="2"/>
  <c r="S748" i="2"/>
  <c r="S768" i="2"/>
  <c r="S792" i="2"/>
  <c r="S549" i="2"/>
  <c r="S571" i="2"/>
  <c r="S595" i="2"/>
  <c r="S615" i="2"/>
  <c r="S631" i="2"/>
  <c r="S647" i="2"/>
  <c r="S663" i="2"/>
  <c r="S679" i="2"/>
  <c r="S695" i="2"/>
  <c r="S711" i="2"/>
  <c r="S727" i="2"/>
  <c r="S743" i="2"/>
  <c r="S759" i="2"/>
  <c r="S775" i="2"/>
  <c r="S791" i="2"/>
  <c r="S542" i="2"/>
  <c r="S562" i="2"/>
  <c r="S578" i="2"/>
  <c r="S594" i="2"/>
  <c r="S610" i="2"/>
  <c r="S626" i="2"/>
  <c r="S642" i="2"/>
  <c r="S658" i="2"/>
  <c r="S674" i="2"/>
  <c r="S690" i="2"/>
  <c r="S706" i="2"/>
  <c r="S722" i="2"/>
  <c r="S738" i="2"/>
  <c r="S754" i="2"/>
  <c r="S770" i="2"/>
  <c r="S786" i="2"/>
  <c r="S530" i="2"/>
  <c r="S554" i="2"/>
  <c r="S569" i="2"/>
  <c r="S585" i="2"/>
  <c r="S601" i="2"/>
  <c r="S617" i="2"/>
  <c r="S633" i="2"/>
  <c r="S649" i="2"/>
  <c r="S665" i="2"/>
  <c r="S681" i="2"/>
  <c r="S697" i="2"/>
  <c r="S76" i="2"/>
  <c r="S59" i="2"/>
  <c r="S63" i="2"/>
  <c r="S130" i="2"/>
  <c r="S193" i="2"/>
  <c r="S14" i="2"/>
  <c r="S220" i="2"/>
  <c r="S207" i="2"/>
  <c r="S271" i="2"/>
  <c r="S329" i="2"/>
  <c r="S393" i="2"/>
  <c r="S457" i="2"/>
  <c r="S521" i="2"/>
  <c r="S278" i="2"/>
  <c r="S310" i="2"/>
  <c r="S336" i="2"/>
  <c r="S368" i="2"/>
  <c r="S400" i="2"/>
  <c r="S432" i="2"/>
  <c r="S464" i="2"/>
  <c r="S496" i="2"/>
  <c r="S528" i="2"/>
  <c r="S347" i="2"/>
  <c r="S379" i="2"/>
  <c r="S411" i="2"/>
  <c r="S443" i="2"/>
  <c r="S475" i="2"/>
  <c r="S507" i="2"/>
  <c r="S539" i="2"/>
  <c r="S334" i="2"/>
  <c r="S366" i="2"/>
  <c r="S398" i="2"/>
  <c r="S430" i="2"/>
  <c r="S462" i="2"/>
  <c r="S494" i="2"/>
  <c r="S526" i="2"/>
  <c r="S568" i="2"/>
  <c r="S600" i="2"/>
  <c r="S632" i="2"/>
  <c r="S664" i="2"/>
  <c r="S696" i="2"/>
  <c r="S728" i="2"/>
  <c r="S789" i="2"/>
  <c r="S773" i="2"/>
  <c r="S757" i="2"/>
  <c r="S741" i="2"/>
  <c r="S725" i="2"/>
  <c r="S709" i="2"/>
  <c r="S689" i="2"/>
  <c r="S669" i="2"/>
  <c r="S645" i="2"/>
  <c r="S625" i="2"/>
  <c r="S605" i="2"/>
  <c r="S581" i="2"/>
  <c r="S561" i="2"/>
  <c r="S538" i="2"/>
  <c r="S782" i="2"/>
  <c r="S762" i="2"/>
  <c r="S742" i="2"/>
  <c r="S718" i="2"/>
  <c r="S698" i="2"/>
  <c r="S678" i="2"/>
  <c r="S654" i="2"/>
  <c r="S634" i="2"/>
  <c r="S614" i="2"/>
  <c r="S590" i="2"/>
  <c r="S570" i="2"/>
  <c r="S545" i="2"/>
  <c r="S787" i="2"/>
  <c r="S767" i="2"/>
  <c r="S747" i="2"/>
  <c r="S723" i="2"/>
  <c r="S703" i="2"/>
  <c r="S683" i="2"/>
  <c r="S659" i="2"/>
  <c r="S639" i="2"/>
  <c r="S619" i="2"/>
  <c r="S587" i="2"/>
  <c r="S563" i="2"/>
  <c r="S796" i="2"/>
  <c r="S760" i="2"/>
  <c r="S672" i="2"/>
  <c r="S540" i="2"/>
  <c r="S406" i="2"/>
  <c r="S515" i="2"/>
  <c r="S387" i="2"/>
  <c r="S472" i="2"/>
  <c r="S344" i="2"/>
  <c r="S473" i="2"/>
  <c r="S223" i="2"/>
  <c r="S186" i="2"/>
  <c r="S75" i="2"/>
  <c r="S785" i="2"/>
  <c r="S769" i="2"/>
  <c r="S753" i="2"/>
  <c r="S737" i="2"/>
  <c r="S721" i="2"/>
  <c r="S705" i="2"/>
  <c r="S685" i="2"/>
  <c r="S661" i="2"/>
  <c r="S641" i="2"/>
  <c r="S621" i="2"/>
  <c r="S597" i="2"/>
  <c r="S577" i="2"/>
  <c r="S557" i="2"/>
  <c r="S798" i="2"/>
  <c r="S778" i="2"/>
  <c r="S758" i="2"/>
  <c r="S734" i="2"/>
  <c r="S714" i="2"/>
  <c r="S694" i="2"/>
  <c r="S670" i="2"/>
  <c r="S650" i="2"/>
  <c r="S630" i="2"/>
  <c r="S606" i="2"/>
  <c r="S586" i="2"/>
  <c r="S566" i="2"/>
  <c r="S536" i="2"/>
  <c r="S783" i="2"/>
  <c r="S763" i="2"/>
  <c r="S739" i="2"/>
  <c r="S719" i="2"/>
  <c r="S699" i="2"/>
  <c r="S675" i="2"/>
  <c r="S655" i="2"/>
  <c r="S635" i="2"/>
  <c r="S611" i="2"/>
  <c r="S583" i="2"/>
  <c r="S552" i="2"/>
  <c r="S784" i="2"/>
  <c r="S752" i="2"/>
  <c r="S640" i="2"/>
  <c r="S502" i="2"/>
  <c r="S374" i="2"/>
  <c r="S483" i="2"/>
  <c r="S355" i="2"/>
  <c r="S440" i="2"/>
  <c r="S316" i="2"/>
  <c r="S409" i="2"/>
  <c r="S252" i="2"/>
  <c r="S797" i="2"/>
  <c r="S781" i="2"/>
  <c r="S765" i="2"/>
  <c r="S749" i="2"/>
  <c r="S733" i="2"/>
  <c r="S717" i="2"/>
  <c r="S701" i="2"/>
  <c r="S677" i="2"/>
  <c r="S657" i="2"/>
  <c r="S637" i="2"/>
  <c r="S613" i="2"/>
  <c r="S593" i="2"/>
  <c r="S573" i="2"/>
  <c r="S544" i="2"/>
  <c r="S794" i="2"/>
  <c r="S774" i="2"/>
  <c r="S750" i="2"/>
  <c r="S730" i="2"/>
  <c r="S710" i="2"/>
  <c r="S686" i="2"/>
  <c r="S666" i="2"/>
  <c r="S646" i="2"/>
  <c r="S622" i="2"/>
  <c r="S602" i="2"/>
  <c r="S582" i="2"/>
  <c r="S558" i="2"/>
  <c r="S799" i="2"/>
  <c r="S779" i="2"/>
  <c r="S755" i="2"/>
  <c r="S735" i="2"/>
  <c r="S715" i="2"/>
  <c r="S691" i="2"/>
  <c r="S671" i="2"/>
  <c r="S651" i="2"/>
  <c r="S627" i="2"/>
  <c r="S603" i="2"/>
  <c r="S579" i="2"/>
  <c r="S546" i="2"/>
  <c r="S780" i="2"/>
  <c r="S736" i="2"/>
  <c r="S608" i="2"/>
  <c r="S470" i="2"/>
  <c r="S342" i="2"/>
  <c r="S451" i="2"/>
  <c r="S323" i="2"/>
  <c r="S408" i="2"/>
  <c r="S286" i="2"/>
  <c r="S345" i="2"/>
  <c r="S78" i="2"/>
  <c r="S15" i="2"/>
  <c r="S83" i="2"/>
  <c r="S53" i="2"/>
  <c r="S117" i="2"/>
  <c r="S16" i="2"/>
  <c r="S80" i="2"/>
  <c r="S144" i="2"/>
  <c r="S115" i="2"/>
  <c r="S69" i="2"/>
  <c r="S133" i="2"/>
  <c r="S32" i="2"/>
  <c r="S96" i="2"/>
  <c r="S160" i="2"/>
  <c r="S19" i="2"/>
  <c r="S147" i="2"/>
  <c r="S85" i="2"/>
  <c r="S149" i="2"/>
  <c r="S48" i="2"/>
  <c r="S112" i="2"/>
  <c r="S51" i="2"/>
  <c r="S25" i="2"/>
  <c r="S101" i="2"/>
  <c r="S165" i="2"/>
  <c r="S64" i="2"/>
  <c r="S128" i="2"/>
  <c r="C42" i="3"/>
  <c r="E46" i="3"/>
  <c r="K47" i="3"/>
  <c r="K51" i="3"/>
  <c r="K10" i="1"/>
  <c r="AQ179" i="9"/>
  <c r="S292" i="9"/>
  <c r="S179" i="9"/>
  <c r="AQ292" i="9"/>
  <c r="K34" i="1"/>
  <c r="E16" i="3"/>
  <c r="K78" i="3"/>
  <c r="C76" i="3"/>
  <c r="E15" i="3"/>
  <c r="C75" i="3"/>
  <c r="K77" i="3"/>
  <c r="BM5" i="9"/>
  <c r="BN5" i="9"/>
  <c r="AR22" i="12"/>
  <c r="AU21" i="12"/>
  <c r="AX21" i="12"/>
  <c r="AV21" i="12"/>
  <c r="AW21" i="12"/>
  <c r="AS21" i="12"/>
  <c r="AT21" i="12"/>
  <c r="AL24" i="12"/>
  <c r="S13" i="1"/>
  <c r="S12" i="3"/>
  <c r="R8" i="5"/>
  <c r="R11" i="5"/>
  <c r="G12" i="1"/>
  <c r="BH12" i="9"/>
  <c r="BI11" i="9"/>
  <c r="BJ11" i="9"/>
  <c r="F6" i="12"/>
  <c r="J8" i="12"/>
  <c r="E23" i="7"/>
  <c r="J23" i="7"/>
  <c r="R7" i="10"/>
  <c r="R10" i="10"/>
  <c r="AA22" i="10"/>
  <c r="T22" i="10"/>
  <c r="W22" i="10"/>
  <c r="AE22" i="10"/>
  <c r="H36" i="1"/>
  <c r="L4" i="12"/>
  <c r="C46" i="3"/>
  <c r="C47" i="3"/>
  <c r="C51" i="3"/>
  <c r="C52" i="3"/>
  <c r="K46" i="3"/>
  <c r="M46" i="3"/>
  <c r="E24" i="3"/>
  <c r="E25" i="1"/>
  <c r="S25" i="1"/>
  <c r="C73" i="3"/>
  <c r="C74" i="3"/>
  <c r="C80" i="3"/>
  <c r="K75" i="3"/>
  <c r="K76" i="3"/>
  <c r="K84" i="3"/>
  <c r="Q294" i="9"/>
  <c r="R294" i="9"/>
  <c r="S294" i="9"/>
  <c r="Q295" i="9"/>
  <c r="R295" i="9"/>
  <c r="S295" i="9"/>
  <c r="Z295" i="9"/>
  <c r="Q296" i="9"/>
  <c r="Q297" i="9"/>
  <c r="Q298" i="9"/>
  <c r="R298" i="9"/>
  <c r="S298" i="9"/>
  <c r="Z298" i="9"/>
  <c r="Q299" i="9"/>
  <c r="R299" i="9"/>
  <c r="S299" i="9"/>
  <c r="Z299" i="9"/>
  <c r="Q301" i="9"/>
  <c r="R301" i="9"/>
  <c r="S301" i="9"/>
  <c r="Z301" i="9"/>
  <c r="Q302" i="9"/>
  <c r="Q303" i="9"/>
  <c r="R303" i="9"/>
  <c r="S303" i="9"/>
  <c r="Z303" i="9"/>
  <c r="Q304" i="9"/>
  <c r="R304" i="9"/>
  <c r="S304" i="9"/>
  <c r="Z304" i="9"/>
  <c r="Q305" i="9"/>
  <c r="R305" i="9"/>
  <c r="S305" i="9"/>
  <c r="Z305" i="9"/>
  <c r="Q306" i="9"/>
  <c r="Q307" i="9"/>
  <c r="R307" i="9"/>
  <c r="S307" i="9"/>
  <c r="Z307" i="9"/>
  <c r="Q308" i="9"/>
  <c r="R308" i="9"/>
  <c r="S308" i="9"/>
  <c r="Z308" i="9"/>
  <c r="Q309" i="9"/>
  <c r="R309" i="9"/>
  <c r="S309" i="9"/>
  <c r="Z309" i="9"/>
  <c r="Q300" i="9"/>
  <c r="Q181" i="9"/>
  <c r="R181" i="9"/>
  <c r="S181" i="9"/>
  <c r="Z181" i="9"/>
  <c r="Q182" i="9"/>
  <c r="Q183" i="9"/>
  <c r="Q184" i="9"/>
  <c r="Q185" i="9"/>
  <c r="R185" i="9"/>
  <c r="S185" i="9"/>
  <c r="Z185" i="9"/>
  <c r="Q186" i="9"/>
  <c r="Q187" i="9"/>
  <c r="Q188" i="9"/>
  <c r="Q189" i="9"/>
  <c r="R189" i="9"/>
  <c r="S189" i="9"/>
  <c r="Z189" i="9"/>
  <c r="Q190" i="9"/>
  <c r="Q191" i="9"/>
  <c r="Q192" i="9"/>
  <c r="Q193" i="9"/>
  <c r="R193" i="9"/>
  <c r="S193" i="9"/>
  <c r="Z193" i="9"/>
  <c r="Q194" i="9"/>
  <c r="Q195" i="9"/>
  <c r="Q196" i="9"/>
  <c r="AO181" i="9"/>
  <c r="AP181" i="9"/>
  <c r="AQ181" i="9"/>
  <c r="AX181" i="9"/>
  <c r="AO182" i="9"/>
  <c r="AP182" i="9"/>
  <c r="AQ182" i="9"/>
  <c r="AX182" i="9"/>
  <c r="AO183" i="9"/>
  <c r="AP183" i="9"/>
  <c r="AQ183" i="9"/>
  <c r="AX183" i="9"/>
  <c r="AO184" i="9"/>
  <c r="AO185" i="9"/>
  <c r="AP185" i="9"/>
  <c r="AQ185" i="9"/>
  <c r="AX185" i="9"/>
  <c r="AO186" i="9"/>
  <c r="AP186" i="9"/>
  <c r="AQ186" i="9"/>
  <c r="AX186" i="9"/>
  <c r="AO187" i="9"/>
  <c r="AP187" i="9"/>
  <c r="AQ187" i="9"/>
  <c r="AX187" i="9"/>
  <c r="AO188" i="9"/>
  <c r="AO189" i="9"/>
  <c r="AP189" i="9"/>
  <c r="AQ189" i="9"/>
  <c r="AX189" i="9"/>
  <c r="AO190" i="9"/>
  <c r="AP190" i="9"/>
  <c r="AQ190" i="9"/>
  <c r="AX190" i="9"/>
  <c r="AO191" i="9"/>
  <c r="AP191" i="9"/>
  <c r="AQ191" i="9"/>
  <c r="AX191" i="9"/>
  <c r="AO192" i="9"/>
  <c r="AO193" i="9"/>
  <c r="AP193" i="9"/>
  <c r="AQ193" i="9"/>
  <c r="AX193" i="9"/>
  <c r="AO194" i="9"/>
  <c r="AP194" i="9"/>
  <c r="AQ194" i="9"/>
  <c r="AX194" i="9"/>
  <c r="AO195" i="9"/>
  <c r="AP195" i="9"/>
  <c r="AQ195" i="9"/>
  <c r="AX195" i="9"/>
  <c r="AO196" i="9"/>
  <c r="AO294" i="9"/>
  <c r="AP294" i="9"/>
  <c r="AQ294" i="9"/>
  <c r="AX294" i="9"/>
  <c r="AO295" i="9"/>
  <c r="AO296" i="9"/>
  <c r="AO297" i="9"/>
  <c r="AO298" i="9"/>
  <c r="AP298" i="9"/>
  <c r="AQ298" i="9"/>
  <c r="AX298" i="9"/>
  <c r="AO299" i="9"/>
  <c r="AO300" i="9"/>
  <c r="AP300" i="9"/>
  <c r="AQ300" i="9"/>
  <c r="AX300" i="9"/>
  <c r="AO301" i="9"/>
  <c r="AO302" i="9"/>
  <c r="AP302" i="9"/>
  <c r="AQ302" i="9"/>
  <c r="AX302" i="9"/>
  <c r="AO303" i="9"/>
  <c r="AP303" i="9"/>
  <c r="AQ303" i="9"/>
  <c r="AX303" i="9"/>
  <c r="AO304" i="9"/>
  <c r="AP304" i="9"/>
  <c r="AQ304" i="9"/>
  <c r="AX304" i="9"/>
  <c r="AO305" i="9"/>
  <c r="AO306" i="9"/>
  <c r="AO307" i="9"/>
  <c r="AP307" i="9"/>
  <c r="AQ307" i="9"/>
  <c r="AX307" i="9"/>
  <c r="AO308" i="9"/>
  <c r="AP308" i="9"/>
  <c r="AQ308" i="9"/>
  <c r="AX308" i="9"/>
  <c r="AO309" i="9"/>
  <c r="S25" i="9"/>
  <c r="Z25" i="9"/>
  <c r="Q26" i="9"/>
  <c r="R26" i="9"/>
  <c r="S26" i="9"/>
  <c r="Z26" i="9"/>
  <c r="Q27" i="9"/>
  <c r="Q28" i="9"/>
  <c r="Q29" i="9"/>
  <c r="Q30" i="9"/>
  <c r="Q31" i="9"/>
  <c r="R31" i="9"/>
  <c r="S31" i="9"/>
  <c r="Z31" i="9"/>
  <c r="Q32" i="9"/>
  <c r="Q33" i="9"/>
  <c r="Q34" i="9"/>
  <c r="R34" i="9"/>
  <c r="S34" i="9"/>
  <c r="Z34" i="9"/>
  <c r="Q35" i="9"/>
  <c r="Q36" i="9"/>
  <c r="Q39" i="9"/>
  <c r="R39" i="9"/>
  <c r="S39" i="9"/>
  <c r="Z39" i="9"/>
  <c r="Q41" i="9"/>
  <c r="Q51" i="9"/>
  <c r="R51" i="9"/>
  <c r="S51" i="9"/>
  <c r="Z51" i="9"/>
  <c r="Q53" i="9"/>
  <c r="Q55" i="9"/>
  <c r="R55" i="9"/>
  <c r="S55" i="9"/>
  <c r="Z55" i="9"/>
  <c r="Q57" i="9"/>
  <c r="Q59" i="9"/>
  <c r="Q61" i="9"/>
  <c r="Q63" i="9"/>
  <c r="R63" i="9"/>
  <c r="S63" i="9"/>
  <c r="Z63" i="9"/>
  <c r="Q38" i="9"/>
  <c r="R38" i="9"/>
  <c r="S38" i="9"/>
  <c r="Z38" i="9"/>
  <c r="Q48" i="9"/>
  <c r="R48" i="9"/>
  <c r="S48" i="9"/>
  <c r="Z48" i="9"/>
  <c r="Q37" i="9"/>
  <c r="Q50" i="9"/>
  <c r="R50" i="9"/>
  <c r="S50" i="9"/>
  <c r="Z50" i="9"/>
  <c r="Q52" i="9"/>
  <c r="Q54" i="9"/>
  <c r="Q56" i="9"/>
  <c r="Q58" i="9"/>
  <c r="R58" i="9"/>
  <c r="S58" i="9"/>
  <c r="Z58" i="9"/>
  <c r="Q60" i="9"/>
  <c r="Q62" i="9"/>
  <c r="R62" i="9"/>
  <c r="S62" i="9"/>
  <c r="Z62" i="9"/>
  <c r="Q64" i="9"/>
  <c r="Q40" i="9"/>
  <c r="R40" i="9"/>
  <c r="S40" i="9"/>
  <c r="Z40" i="9"/>
  <c r="Q42" i="9"/>
  <c r="R42" i="9"/>
  <c r="S42" i="9"/>
  <c r="Z42" i="9"/>
  <c r="Q43" i="9"/>
  <c r="R43" i="9"/>
  <c r="S43" i="9"/>
  <c r="Z43" i="9"/>
  <c r="Q44" i="9"/>
  <c r="Q45" i="9"/>
  <c r="Q46" i="9"/>
  <c r="R46" i="9"/>
  <c r="S46" i="9"/>
  <c r="Z46" i="9"/>
  <c r="Q47" i="9"/>
  <c r="R47" i="9"/>
  <c r="S47" i="9"/>
  <c r="Z47" i="9"/>
  <c r="Q49" i="9"/>
  <c r="Q65" i="9"/>
  <c r="Q66" i="9"/>
  <c r="R66" i="9"/>
  <c r="S66" i="9"/>
  <c r="Z66" i="9"/>
  <c r="Q68" i="9"/>
  <c r="Q70" i="9"/>
  <c r="Q72" i="9"/>
  <c r="R72" i="9"/>
  <c r="S72" i="9"/>
  <c r="Z72" i="9"/>
  <c r="Q67" i="9"/>
  <c r="R67" i="9"/>
  <c r="S67" i="9"/>
  <c r="Z67" i="9"/>
  <c r="Q69" i="9"/>
  <c r="R69" i="9"/>
  <c r="S69" i="9"/>
  <c r="Z69" i="9"/>
  <c r="Q71" i="9"/>
  <c r="AU179" i="9"/>
  <c r="AO26" i="9"/>
  <c r="AP26" i="9"/>
  <c r="AQ26" i="9"/>
  <c r="AX26" i="9"/>
  <c r="AO28" i="9"/>
  <c r="AP28" i="9"/>
  <c r="AQ28" i="9"/>
  <c r="AX28" i="9"/>
  <c r="AO30" i="9"/>
  <c r="AO32" i="9"/>
  <c r="AO34" i="9"/>
  <c r="AP34" i="9"/>
  <c r="AQ34" i="9"/>
  <c r="AX34" i="9"/>
  <c r="AO36" i="9"/>
  <c r="AP36" i="9"/>
  <c r="AQ36" i="9"/>
  <c r="AX36" i="9"/>
  <c r="AO38" i="9"/>
  <c r="AO40" i="9"/>
  <c r="AP40" i="9"/>
  <c r="AQ40" i="9"/>
  <c r="AX40" i="9"/>
  <c r="AO42" i="9"/>
  <c r="AP42" i="9"/>
  <c r="AQ42" i="9"/>
  <c r="AX42" i="9"/>
  <c r="AO44" i="9"/>
  <c r="AP44" i="9"/>
  <c r="AQ44" i="9"/>
  <c r="AX44" i="9"/>
  <c r="AO46" i="9"/>
  <c r="AO48" i="9"/>
  <c r="AP48" i="9"/>
  <c r="AQ48" i="9"/>
  <c r="AX48" i="9"/>
  <c r="AO50" i="9"/>
  <c r="AP50" i="9"/>
  <c r="AQ50" i="9"/>
  <c r="AX50" i="9"/>
  <c r="AO52" i="9"/>
  <c r="AP52" i="9"/>
  <c r="AQ52" i="9"/>
  <c r="AX52" i="9"/>
  <c r="AO54" i="9"/>
  <c r="AO56" i="9"/>
  <c r="AO58" i="9"/>
  <c r="AP58" i="9"/>
  <c r="AQ58" i="9"/>
  <c r="AX58" i="9"/>
  <c r="AO60" i="9"/>
  <c r="AP60" i="9"/>
  <c r="AQ60" i="9"/>
  <c r="AX60" i="9"/>
  <c r="AO62" i="9"/>
  <c r="AO64" i="9"/>
  <c r="AP64" i="9"/>
  <c r="AQ64" i="9"/>
  <c r="AX64" i="9"/>
  <c r="AO66" i="9"/>
  <c r="AP66" i="9"/>
  <c r="AQ66" i="9"/>
  <c r="AX66" i="9"/>
  <c r="AO68" i="9"/>
  <c r="AP68" i="9"/>
  <c r="AQ68" i="9"/>
  <c r="AX68" i="9"/>
  <c r="AO70" i="9"/>
  <c r="AO72" i="9"/>
  <c r="AO27" i="9"/>
  <c r="AP27" i="9"/>
  <c r="AQ27" i="9"/>
  <c r="AX27" i="9"/>
  <c r="AO29" i="9"/>
  <c r="AO31" i="9"/>
  <c r="AO33" i="9"/>
  <c r="AP33" i="9"/>
  <c r="AQ33" i="9"/>
  <c r="AX33" i="9"/>
  <c r="AO35" i="9"/>
  <c r="AP35" i="9"/>
  <c r="AQ35" i="9"/>
  <c r="AX35" i="9"/>
  <c r="AO37" i="9"/>
  <c r="AO39" i="9"/>
  <c r="AO41" i="9"/>
  <c r="AP41" i="9"/>
  <c r="AQ41" i="9"/>
  <c r="AX41" i="9"/>
  <c r="AO43" i="9"/>
  <c r="AP43" i="9"/>
  <c r="AQ43" i="9"/>
  <c r="AX43" i="9"/>
  <c r="AO45" i="9"/>
  <c r="AO47" i="9"/>
  <c r="AO49" i="9"/>
  <c r="AO51" i="9"/>
  <c r="AP51" i="9"/>
  <c r="AQ51" i="9"/>
  <c r="AX51" i="9"/>
  <c r="AO53" i="9"/>
  <c r="AO55" i="9"/>
  <c r="AO57" i="9"/>
  <c r="AP57" i="9"/>
  <c r="AQ57" i="9"/>
  <c r="AX57" i="9"/>
  <c r="AO59" i="9"/>
  <c r="AP59" i="9"/>
  <c r="AQ59" i="9"/>
  <c r="AX59" i="9"/>
  <c r="AO61" i="9"/>
  <c r="AO63" i="9"/>
  <c r="AO65" i="9"/>
  <c r="AP65" i="9"/>
  <c r="AQ65" i="9"/>
  <c r="AX65" i="9"/>
  <c r="AO67" i="9"/>
  <c r="AP67" i="9"/>
  <c r="AQ67" i="9"/>
  <c r="AX67" i="9"/>
  <c r="AO69" i="9"/>
  <c r="AO71" i="9"/>
  <c r="X4" i="5"/>
  <c r="T4" i="5"/>
  <c r="BM167" i="9"/>
  <c r="BN167" i="9"/>
  <c r="BO167" i="9"/>
  <c r="BP167" i="9"/>
  <c r="BM8" i="9"/>
  <c r="BN8" i="9"/>
  <c r="BO8" i="9"/>
  <c r="BP8" i="9"/>
  <c r="BM135" i="9"/>
  <c r="BN135" i="9"/>
  <c r="BO135" i="9"/>
  <c r="BP135" i="9"/>
  <c r="BM145" i="9"/>
  <c r="BN145" i="9"/>
  <c r="BO145" i="9"/>
  <c r="BP145" i="9"/>
  <c r="BM137" i="9"/>
  <c r="BN137" i="9"/>
  <c r="BO137" i="9"/>
  <c r="BP137" i="9"/>
  <c r="BM9" i="9"/>
  <c r="BN9" i="9"/>
  <c r="BO9" i="9"/>
  <c r="BP9" i="9"/>
  <c r="BM163" i="9"/>
  <c r="BN163" i="9"/>
  <c r="BO163" i="9"/>
  <c r="BP163" i="9"/>
  <c r="BM186" i="9"/>
  <c r="BN186" i="9"/>
  <c r="BO186" i="9"/>
  <c r="BP186" i="9"/>
  <c r="BM122" i="9"/>
  <c r="BN122" i="9"/>
  <c r="BO122" i="9"/>
  <c r="BP122" i="9"/>
  <c r="BM125" i="9"/>
  <c r="BN125" i="9"/>
  <c r="BO125" i="9"/>
  <c r="BP125" i="9"/>
  <c r="BM131" i="9"/>
  <c r="BN131" i="9"/>
  <c r="BO131" i="9"/>
  <c r="BP131" i="9"/>
  <c r="BM11" i="9"/>
  <c r="BN11" i="9"/>
  <c r="BO11" i="9"/>
  <c r="BP11" i="9"/>
  <c r="BM185" i="9"/>
  <c r="BN185" i="9"/>
  <c r="BO185" i="9"/>
  <c r="BP185" i="9"/>
  <c r="BM183" i="9"/>
  <c r="BN183" i="9"/>
  <c r="BO183" i="9"/>
  <c r="BP183" i="9"/>
  <c r="BM151" i="9"/>
  <c r="BN151" i="9"/>
  <c r="BO151" i="9"/>
  <c r="BP151" i="9"/>
  <c r="BM115" i="9"/>
  <c r="BN115" i="9"/>
  <c r="BO115" i="9"/>
  <c r="BP115" i="9"/>
  <c r="BM170" i="9"/>
  <c r="BN170" i="9"/>
  <c r="BO170" i="9"/>
  <c r="BP170" i="9"/>
  <c r="BM97" i="9"/>
  <c r="BN97" i="9"/>
  <c r="BO97" i="9"/>
  <c r="BP97" i="9"/>
  <c r="BM173" i="9"/>
  <c r="BN173" i="9"/>
  <c r="BO173" i="9"/>
  <c r="BP173" i="9"/>
  <c r="BM179" i="9"/>
  <c r="BN179" i="9"/>
  <c r="BO179" i="9"/>
  <c r="BP179" i="9"/>
  <c r="BM147" i="9"/>
  <c r="BN147" i="9"/>
  <c r="BO147" i="9"/>
  <c r="BP147" i="9"/>
  <c r="BM99" i="9"/>
  <c r="BN99" i="9"/>
  <c r="BO99" i="9"/>
  <c r="BP99" i="9"/>
  <c r="BM154" i="9"/>
  <c r="BN154" i="9"/>
  <c r="BO154" i="9"/>
  <c r="BP154" i="9"/>
  <c r="BM168" i="9"/>
  <c r="BN168" i="9"/>
  <c r="BO168" i="9"/>
  <c r="BP168" i="9"/>
  <c r="BM138" i="9"/>
  <c r="BN138" i="9"/>
  <c r="BO138" i="9"/>
  <c r="BP138" i="9"/>
  <c r="BM119" i="9"/>
  <c r="BN119" i="9"/>
  <c r="BO119" i="9"/>
  <c r="BP119" i="9"/>
  <c r="BM157" i="9"/>
  <c r="BN157" i="9"/>
  <c r="BO157" i="9"/>
  <c r="BP157" i="9"/>
  <c r="BM174" i="9"/>
  <c r="BN174" i="9"/>
  <c r="BO174" i="9"/>
  <c r="BP174" i="9"/>
  <c r="BM142" i="9"/>
  <c r="BN142" i="9"/>
  <c r="BO142" i="9"/>
  <c r="BP142" i="9"/>
  <c r="BM110" i="9"/>
  <c r="BN110" i="9"/>
  <c r="BO110" i="9"/>
  <c r="BP110" i="9"/>
  <c r="BM152" i="9"/>
  <c r="BN152" i="9"/>
  <c r="BO152" i="9"/>
  <c r="BP152" i="9"/>
  <c r="BM120" i="9"/>
  <c r="BN120" i="9"/>
  <c r="BO120" i="9"/>
  <c r="BP120" i="9"/>
  <c r="BM103" i="9"/>
  <c r="BN103" i="9"/>
  <c r="BO103" i="9"/>
  <c r="BP103" i="9"/>
  <c r="BM109" i="9"/>
  <c r="BN109" i="9"/>
  <c r="BO109" i="9"/>
  <c r="BP109" i="9"/>
  <c r="BM158" i="9"/>
  <c r="BN158" i="9"/>
  <c r="BO158" i="9"/>
  <c r="BP158" i="9"/>
  <c r="BM126" i="9"/>
  <c r="BN126" i="9"/>
  <c r="BO126" i="9"/>
  <c r="BP126" i="9"/>
  <c r="BM133" i="9"/>
  <c r="BN133" i="9"/>
  <c r="BO133" i="9"/>
  <c r="BP133" i="9"/>
  <c r="BM106" i="9"/>
  <c r="BN106" i="9"/>
  <c r="BO106" i="9"/>
  <c r="BP106" i="9"/>
  <c r="BM184" i="9"/>
  <c r="BN184" i="9"/>
  <c r="BO184" i="9"/>
  <c r="BP184" i="9"/>
  <c r="BM132" i="9"/>
  <c r="BN132" i="9"/>
  <c r="BO132" i="9"/>
  <c r="BP132" i="9"/>
  <c r="BM141" i="9"/>
  <c r="BN141" i="9"/>
  <c r="BO141" i="9"/>
  <c r="BP141" i="9"/>
  <c r="BM164" i="9"/>
  <c r="BN164" i="9"/>
  <c r="BO164" i="9"/>
  <c r="BP164" i="9"/>
  <c r="BM177" i="9"/>
  <c r="BN177" i="9"/>
  <c r="BO177" i="9"/>
  <c r="BP177" i="9"/>
  <c r="BM180" i="9"/>
  <c r="BN180" i="9"/>
  <c r="BO180" i="9"/>
  <c r="BP180" i="9"/>
  <c r="BM148" i="9"/>
  <c r="BN148" i="9"/>
  <c r="BO148" i="9"/>
  <c r="BP148" i="9"/>
  <c r="BM116" i="9"/>
  <c r="BN116" i="9"/>
  <c r="BO116" i="9"/>
  <c r="BP116" i="9"/>
  <c r="BM136" i="9"/>
  <c r="BN136" i="9"/>
  <c r="BO136" i="9"/>
  <c r="BP136" i="9"/>
  <c r="BM104" i="9"/>
  <c r="BN104" i="9"/>
  <c r="BO104" i="9"/>
  <c r="BP104" i="9"/>
  <c r="BN7" i="9"/>
  <c r="BO7" i="9"/>
  <c r="BP7" i="9"/>
  <c r="BM161" i="9"/>
  <c r="BN161" i="9"/>
  <c r="BO161" i="9"/>
  <c r="BP161" i="9"/>
  <c r="BM113" i="9"/>
  <c r="BN113" i="9"/>
  <c r="BO113" i="9"/>
  <c r="BP113" i="9"/>
  <c r="BM175" i="9"/>
  <c r="BN175" i="9"/>
  <c r="BO175" i="9"/>
  <c r="BP175" i="9"/>
  <c r="BM159" i="9"/>
  <c r="BN159" i="9"/>
  <c r="BO159" i="9"/>
  <c r="BP159" i="9"/>
  <c r="BM143" i="9"/>
  <c r="BN143" i="9"/>
  <c r="BO143" i="9"/>
  <c r="BP143" i="9"/>
  <c r="BM127" i="9"/>
  <c r="BN127" i="9"/>
  <c r="BO127" i="9"/>
  <c r="BP127" i="9"/>
  <c r="BM111" i="9"/>
  <c r="BN111" i="9"/>
  <c r="BO111" i="9"/>
  <c r="BP111" i="9"/>
  <c r="BM181" i="9"/>
  <c r="BN181" i="9"/>
  <c r="BO181" i="9"/>
  <c r="BP181" i="9"/>
  <c r="BM129" i="9"/>
  <c r="BN129" i="9"/>
  <c r="BO129" i="9"/>
  <c r="BP129" i="9"/>
  <c r="BM182" i="9"/>
  <c r="BN182" i="9"/>
  <c r="BO182" i="9"/>
  <c r="BP182" i="9"/>
  <c r="BM166" i="9"/>
  <c r="BN166" i="9"/>
  <c r="BO166" i="9"/>
  <c r="BP166" i="9"/>
  <c r="BM150" i="9"/>
  <c r="BN150" i="9"/>
  <c r="BO150" i="9"/>
  <c r="BP150" i="9"/>
  <c r="BM134" i="9"/>
  <c r="BN134" i="9"/>
  <c r="BO134" i="9"/>
  <c r="BP134" i="9"/>
  <c r="BM118" i="9"/>
  <c r="BN118" i="9"/>
  <c r="BO118" i="9"/>
  <c r="BP118" i="9"/>
  <c r="BM102" i="9"/>
  <c r="BN102" i="9"/>
  <c r="BO102" i="9"/>
  <c r="BP102" i="9"/>
  <c r="BM165" i="9"/>
  <c r="BN165" i="9"/>
  <c r="BO165" i="9"/>
  <c r="BP165" i="9"/>
  <c r="BM117" i="9"/>
  <c r="BN117" i="9"/>
  <c r="BO117" i="9"/>
  <c r="BP117" i="9"/>
  <c r="BM176" i="9"/>
  <c r="BN176" i="9"/>
  <c r="BO176" i="9"/>
  <c r="BP176" i="9"/>
  <c r="BM160" i="9"/>
  <c r="BN160" i="9"/>
  <c r="BO160" i="9"/>
  <c r="BP160" i="9"/>
  <c r="BM144" i="9"/>
  <c r="BN144" i="9"/>
  <c r="BO144" i="9"/>
  <c r="BP144" i="9"/>
  <c r="BM128" i="9"/>
  <c r="BN128" i="9"/>
  <c r="BO128" i="9"/>
  <c r="BP128" i="9"/>
  <c r="BM112" i="9"/>
  <c r="BN112" i="9"/>
  <c r="BO112" i="9"/>
  <c r="BP112" i="9"/>
  <c r="BM96" i="9"/>
  <c r="BN96" i="9"/>
  <c r="BO96" i="9"/>
  <c r="BP96" i="9"/>
  <c r="BM10" i="9"/>
  <c r="BN10" i="9"/>
  <c r="BO10" i="9"/>
  <c r="BP10" i="9"/>
  <c r="BM149" i="9"/>
  <c r="BN149" i="9"/>
  <c r="BO149" i="9"/>
  <c r="BP149" i="9"/>
  <c r="BM105" i="9"/>
  <c r="BN105" i="9"/>
  <c r="BO105" i="9"/>
  <c r="BP105" i="9"/>
  <c r="BM171" i="9"/>
  <c r="BN171" i="9"/>
  <c r="BO171" i="9"/>
  <c r="BP171" i="9"/>
  <c r="BM155" i="9"/>
  <c r="BN155" i="9"/>
  <c r="BO155" i="9"/>
  <c r="BP155" i="9"/>
  <c r="BM139" i="9"/>
  <c r="BN139" i="9"/>
  <c r="BO139" i="9"/>
  <c r="BP139" i="9"/>
  <c r="BM123" i="9"/>
  <c r="BN123" i="9"/>
  <c r="BO123" i="9"/>
  <c r="BP123" i="9"/>
  <c r="BM107" i="9"/>
  <c r="BN107" i="9"/>
  <c r="BO107" i="9"/>
  <c r="BP107" i="9"/>
  <c r="BM169" i="9"/>
  <c r="BN169" i="9"/>
  <c r="BO169" i="9"/>
  <c r="BP169" i="9"/>
  <c r="BM121" i="9"/>
  <c r="BN121" i="9"/>
  <c r="BO121" i="9"/>
  <c r="BP121" i="9"/>
  <c r="BM178" i="9"/>
  <c r="BN178" i="9"/>
  <c r="BO178" i="9"/>
  <c r="BP178" i="9"/>
  <c r="BM162" i="9"/>
  <c r="BN162" i="9"/>
  <c r="BO162" i="9"/>
  <c r="BP162" i="9"/>
  <c r="BM146" i="9"/>
  <c r="BN146" i="9"/>
  <c r="BO146" i="9"/>
  <c r="BP146" i="9"/>
  <c r="BM130" i="9"/>
  <c r="BN130" i="9"/>
  <c r="BO130" i="9"/>
  <c r="BP130" i="9"/>
  <c r="BM114" i="9"/>
  <c r="BN114" i="9"/>
  <c r="BO114" i="9"/>
  <c r="BP114" i="9"/>
  <c r="BM98" i="9"/>
  <c r="BN98" i="9"/>
  <c r="BO98" i="9"/>
  <c r="BP98" i="9"/>
  <c r="BM153" i="9"/>
  <c r="BN153" i="9"/>
  <c r="BO153" i="9"/>
  <c r="BP153" i="9"/>
  <c r="BM101" i="9"/>
  <c r="BN101" i="9"/>
  <c r="BO101" i="9"/>
  <c r="BP101" i="9"/>
  <c r="BM172" i="9"/>
  <c r="BN172" i="9"/>
  <c r="BO172" i="9"/>
  <c r="BP172" i="9"/>
  <c r="BM156" i="9"/>
  <c r="BN156" i="9"/>
  <c r="BO156" i="9"/>
  <c r="BP156" i="9"/>
  <c r="BM140" i="9"/>
  <c r="BN140" i="9"/>
  <c r="BO140" i="9"/>
  <c r="BP140" i="9"/>
  <c r="BM124" i="9"/>
  <c r="BN124" i="9"/>
  <c r="BO124" i="9"/>
  <c r="BP124" i="9"/>
  <c r="BM108" i="9"/>
  <c r="BN108" i="9"/>
  <c r="BO108" i="9"/>
  <c r="BP108" i="9"/>
  <c r="BM100" i="9"/>
  <c r="BN100" i="9"/>
  <c r="BO100" i="9"/>
  <c r="BP100" i="9"/>
  <c r="AR23" i="12"/>
  <c r="AL25" i="12"/>
  <c r="AU22" i="12"/>
  <c r="AX22" i="12"/>
  <c r="AV22" i="12"/>
  <c r="AW22" i="12"/>
  <c r="AS22" i="12"/>
  <c r="AT22" i="12"/>
  <c r="M7" i="12"/>
  <c r="X130" i="5"/>
  <c r="T130" i="5"/>
  <c r="X161" i="5"/>
  <c r="T161" i="5"/>
  <c r="X57" i="5"/>
  <c r="T57" i="5"/>
  <c r="X175" i="5"/>
  <c r="T175" i="5"/>
  <c r="X80" i="5"/>
  <c r="T80" i="5"/>
  <c r="X137" i="5"/>
  <c r="T137" i="5"/>
  <c r="X89" i="5"/>
  <c r="T89" i="5"/>
  <c r="X154" i="5"/>
  <c r="T154" i="5"/>
  <c r="X27" i="5"/>
  <c r="T27" i="5"/>
  <c r="X40" i="5"/>
  <c r="T40" i="5"/>
  <c r="X165" i="5"/>
  <c r="T165" i="5"/>
  <c r="X129" i="5"/>
  <c r="T129" i="5"/>
  <c r="X122" i="5"/>
  <c r="T122" i="5"/>
  <c r="X81" i="5"/>
  <c r="T81" i="5"/>
  <c r="X72" i="5"/>
  <c r="T72" i="5"/>
  <c r="X168" i="5"/>
  <c r="T168" i="5"/>
  <c r="X105" i="5"/>
  <c r="T105" i="5"/>
  <c r="X69" i="5"/>
  <c r="T69" i="5"/>
  <c r="X43" i="5"/>
  <c r="T43" i="5"/>
  <c r="X48" i="5"/>
  <c r="T48" i="5"/>
  <c r="X17" i="5"/>
  <c r="T17" i="5"/>
  <c r="X180" i="5"/>
  <c r="T180" i="5"/>
  <c r="X153" i="5"/>
  <c r="T153" i="5"/>
  <c r="X121" i="5"/>
  <c r="T121" i="5"/>
  <c r="X146" i="5"/>
  <c r="T146" i="5"/>
  <c r="X114" i="5"/>
  <c r="T114" i="5"/>
  <c r="X41" i="5"/>
  <c r="T41" i="5"/>
  <c r="X73" i="5"/>
  <c r="T73" i="5"/>
  <c r="X96" i="5"/>
  <c r="T96" i="5"/>
  <c r="X64" i="5"/>
  <c r="T64" i="5"/>
  <c r="X32" i="5"/>
  <c r="T32" i="5"/>
  <c r="X172" i="5"/>
  <c r="T172" i="5"/>
  <c r="X145" i="5"/>
  <c r="T145" i="5"/>
  <c r="X113" i="5"/>
  <c r="T113" i="5"/>
  <c r="X138" i="5"/>
  <c r="T138" i="5"/>
  <c r="X106" i="5"/>
  <c r="T106" i="5"/>
  <c r="X97" i="5"/>
  <c r="T97" i="5"/>
  <c r="X59" i="5"/>
  <c r="T59" i="5"/>
  <c r="X88" i="5"/>
  <c r="T88" i="5"/>
  <c r="X56" i="5"/>
  <c r="T56" i="5"/>
  <c r="X24" i="5"/>
  <c r="T24" i="5"/>
  <c r="BO5" i="9"/>
  <c r="BP5" i="9"/>
  <c r="X162" i="5"/>
  <c r="T162" i="5"/>
  <c r="X167" i="5"/>
  <c r="T167" i="5"/>
  <c r="X151" i="5"/>
  <c r="T151" i="5"/>
  <c r="X135" i="5"/>
  <c r="T135" i="5"/>
  <c r="X119" i="5"/>
  <c r="T119" i="5"/>
  <c r="X152" i="5"/>
  <c r="T152" i="5"/>
  <c r="X136" i="5"/>
  <c r="T136" i="5"/>
  <c r="X120" i="5"/>
  <c r="T120" i="5"/>
  <c r="X104" i="5"/>
  <c r="T104" i="5"/>
  <c r="X79" i="5"/>
  <c r="T79" i="5"/>
  <c r="X173" i="5"/>
  <c r="T173" i="5"/>
  <c r="X178" i="5"/>
  <c r="T178" i="5"/>
  <c r="X159" i="5"/>
  <c r="T159" i="5"/>
  <c r="X143" i="5"/>
  <c r="T143" i="5"/>
  <c r="X127" i="5"/>
  <c r="T127" i="5"/>
  <c r="X111" i="5"/>
  <c r="T111" i="5"/>
  <c r="X144" i="5"/>
  <c r="T144" i="5"/>
  <c r="X128" i="5"/>
  <c r="T128" i="5"/>
  <c r="X112" i="5"/>
  <c r="T112" i="5"/>
  <c r="X68" i="5"/>
  <c r="T68" i="5"/>
  <c r="X53" i="5"/>
  <c r="T53" i="5"/>
  <c r="X37" i="5"/>
  <c r="T37" i="5"/>
  <c r="X95" i="5"/>
  <c r="T95" i="5"/>
  <c r="X87" i="5"/>
  <c r="T87" i="5"/>
  <c r="X71" i="5"/>
  <c r="T71" i="5"/>
  <c r="X55" i="5"/>
  <c r="T55" i="5"/>
  <c r="X39" i="5"/>
  <c r="T39" i="5"/>
  <c r="X23" i="5"/>
  <c r="T23" i="5"/>
  <c r="X94" i="5"/>
  <c r="T94" i="5"/>
  <c r="X86" i="5"/>
  <c r="T86" i="5"/>
  <c r="X78" i="5"/>
  <c r="T78" i="5"/>
  <c r="X70" i="5"/>
  <c r="T70" i="5"/>
  <c r="X62" i="5"/>
  <c r="T62" i="5"/>
  <c r="X54" i="5"/>
  <c r="T54" i="5"/>
  <c r="X46" i="5"/>
  <c r="T46" i="5"/>
  <c r="X38" i="5"/>
  <c r="T38" i="5"/>
  <c r="X30" i="5"/>
  <c r="T30" i="5"/>
  <c r="X22" i="5"/>
  <c r="T22" i="5"/>
  <c r="X18" i="5"/>
  <c r="T18" i="5"/>
  <c r="X179" i="5"/>
  <c r="T179" i="5"/>
  <c r="X171" i="5"/>
  <c r="T171" i="5"/>
  <c r="X164" i="5"/>
  <c r="T164" i="5"/>
  <c r="X176" i="5"/>
  <c r="T176" i="5"/>
  <c r="X169" i="5"/>
  <c r="T169" i="5"/>
  <c r="X160" i="5"/>
  <c r="T160" i="5"/>
  <c r="X157" i="5"/>
  <c r="T157" i="5"/>
  <c r="X149" i="5"/>
  <c r="T149" i="5"/>
  <c r="X141" i="5"/>
  <c r="T141" i="5"/>
  <c r="X133" i="5"/>
  <c r="T133" i="5"/>
  <c r="X125" i="5"/>
  <c r="T125" i="5"/>
  <c r="X117" i="5"/>
  <c r="T117" i="5"/>
  <c r="X109" i="5"/>
  <c r="T109" i="5"/>
  <c r="X102" i="5"/>
  <c r="T102" i="5"/>
  <c r="X150" i="5"/>
  <c r="T150" i="5"/>
  <c r="X142" i="5"/>
  <c r="T142" i="5"/>
  <c r="X134" i="5"/>
  <c r="T134" i="5"/>
  <c r="X126" i="5"/>
  <c r="T126" i="5"/>
  <c r="X118" i="5"/>
  <c r="T118" i="5"/>
  <c r="X110" i="5"/>
  <c r="T110" i="5"/>
  <c r="X99" i="5"/>
  <c r="T99" i="5"/>
  <c r="X65" i="5"/>
  <c r="T65" i="5"/>
  <c r="X49" i="5"/>
  <c r="T49" i="5"/>
  <c r="X33" i="5"/>
  <c r="T33" i="5"/>
  <c r="X93" i="5"/>
  <c r="T93" i="5"/>
  <c r="X85" i="5"/>
  <c r="T85" i="5"/>
  <c r="X77" i="5"/>
  <c r="T77" i="5"/>
  <c r="X67" i="5"/>
  <c r="T67" i="5"/>
  <c r="X51" i="5"/>
  <c r="T51" i="5"/>
  <c r="X35" i="5"/>
  <c r="T35" i="5"/>
  <c r="X100" i="5"/>
  <c r="T100" i="5"/>
  <c r="X92" i="5"/>
  <c r="T92" i="5"/>
  <c r="X84" i="5"/>
  <c r="T84" i="5"/>
  <c r="X76" i="5"/>
  <c r="T76" i="5"/>
  <c r="X25" i="5"/>
  <c r="T25" i="5"/>
  <c r="X60" i="5"/>
  <c r="T60" i="5"/>
  <c r="X52" i="5"/>
  <c r="T52" i="5"/>
  <c r="X44" i="5"/>
  <c r="T44" i="5"/>
  <c r="X36" i="5"/>
  <c r="T36" i="5"/>
  <c r="X28" i="5"/>
  <c r="T28" i="5"/>
  <c r="X20" i="5"/>
  <c r="T20" i="5"/>
  <c r="X13" i="5"/>
  <c r="T13" i="5"/>
  <c r="X181" i="5"/>
  <c r="T181" i="5"/>
  <c r="X170" i="5"/>
  <c r="T170" i="5"/>
  <c r="X103" i="5"/>
  <c r="T103" i="5"/>
  <c r="X177" i="5"/>
  <c r="T177" i="5"/>
  <c r="X166" i="5"/>
  <c r="T166" i="5"/>
  <c r="X182" i="5"/>
  <c r="T182" i="5"/>
  <c r="X174" i="5"/>
  <c r="T174" i="5"/>
  <c r="X158" i="5"/>
  <c r="T158" i="5"/>
  <c r="X163" i="5"/>
  <c r="T163" i="5"/>
  <c r="X155" i="5"/>
  <c r="T155" i="5"/>
  <c r="X147" i="5"/>
  <c r="T147" i="5"/>
  <c r="X139" i="5"/>
  <c r="T139" i="5"/>
  <c r="X131" i="5"/>
  <c r="T131" i="5"/>
  <c r="X123" i="5"/>
  <c r="T123" i="5"/>
  <c r="X115" i="5"/>
  <c r="T115" i="5"/>
  <c r="X107" i="5"/>
  <c r="T107" i="5"/>
  <c r="X156" i="5"/>
  <c r="T156" i="5"/>
  <c r="X148" i="5"/>
  <c r="T148" i="5"/>
  <c r="X140" i="5"/>
  <c r="T140" i="5"/>
  <c r="X132" i="5"/>
  <c r="T132" i="5"/>
  <c r="X124" i="5"/>
  <c r="T124" i="5"/>
  <c r="X116" i="5"/>
  <c r="T116" i="5"/>
  <c r="X108" i="5"/>
  <c r="T108" i="5"/>
  <c r="X101" i="5"/>
  <c r="T101" i="5"/>
  <c r="X61" i="5"/>
  <c r="T61" i="5"/>
  <c r="X45" i="5"/>
  <c r="T45" i="5"/>
  <c r="X29" i="5"/>
  <c r="T29" i="5"/>
  <c r="X91" i="5"/>
  <c r="T91" i="5"/>
  <c r="X83" i="5"/>
  <c r="T83" i="5"/>
  <c r="X75" i="5"/>
  <c r="T75" i="5"/>
  <c r="X63" i="5"/>
  <c r="T63" i="5"/>
  <c r="X47" i="5"/>
  <c r="T47" i="5"/>
  <c r="X31" i="5"/>
  <c r="T31" i="5"/>
  <c r="X98" i="5"/>
  <c r="T98" i="5"/>
  <c r="X90" i="5"/>
  <c r="T90" i="5"/>
  <c r="X82" i="5"/>
  <c r="T82" i="5"/>
  <c r="X74" i="5"/>
  <c r="T74" i="5"/>
  <c r="X66" i="5"/>
  <c r="T66" i="5"/>
  <c r="X58" i="5"/>
  <c r="T58" i="5"/>
  <c r="X50" i="5"/>
  <c r="T50" i="5"/>
  <c r="X42" i="5"/>
  <c r="T42" i="5"/>
  <c r="X34" i="5"/>
  <c r="T34" i="5"/>
  <c r="X26" i="5"/>
  <c r="T26" i="5"/>
  <c r="X19" i="5"/>
  <c r="T19" i="5"/>
  <c r="X12" i="5"/>
  <c r="T12" i="5"/>
  <c r="X21" i="5"/>
  <c r="T21" i="5"/>
  <c r="X16" i="5"/>
  <c r="T16" i="5"/>
  <c r="R13" i="5"/>
  <c r="X14" i="5"/>
  <c r="T14" i="5"/>
  <c r="X10" i="5"/>
  <c r="T10" i="5"/>
  <c r="X8" i="5"/>
  <c r="T8" i="5"/>
  <c r="X9" i="5"/>
  <c r="T9" i="5"/>
  <c r="R14" i="5"/>
  <c r="X3" i="5"/>
  <c r="T3" i="5"/>
  <c r="X15" i="5"/>
  <c r="T15" i="5"/>
  <c r="X11" i="5"/>
  <c r="T11" i="5"/>
  <c r="X6" i="5"/>
  <c r="T6" i="5"/>
  <c r="X7" i="5"/>
  <c r="T7" i="5"/>
  <c r="X5" i="5"/>
  <c r="T5" i="5"/>
  <c r="BH13" i="9"/>
  <c r="BI12" i="9"/>
  <c r="BJ12" i="9"/>
  <c r="BM12" i="9"/>
  <c r="BN12" i="9"/>
  <c r="AA127" i="10"/>
  <c r="T127" i="10"/>
  <c r="W127" i="10"/>
  <c r="AA10" i="10"/>
  <c r="T10" i="10"/>
  <c r="W10" i="10"/>
  <c r="AE10" i="10"/>
  <c r="AA173" i="10"/>
  <c r="T173" i="10"/>
  <c r="W173" i="10"/>
  <c r="AA111" i="10"/>
  <c r="T111" i="10"/>
  <c r="W111" i="10"/>
  <c r="AA55" i="10"/>
  <c r="T55" i="10"/>
  <c r="W55" i="10"/>
  <c r="AA159" i="10"/>
  <c r="T159" i="10"/>
  <c r="W159" i="10"/>
  <c r="AA95" i="10"/>
  <c r="T95" i="10"/>
  <c r="W95" i="10"/>
  <c r="AA39" i="10"/>
  <c r="T39" i="10"/>
  <c r="W39" i="10"/>
  <c r="AA143" i="10"/>
  <c r="T143" i="10"/>
  <c r="W143" i="10"/>
  <c r="AA79" i="10"/>
  <c r="T79" i="10"/>
  <c r="W79" i="10"/>
  <c r="AA21" i="10"/>
  <c r="T21" i="10"/>
  <c r="W21" i="10"/>
  <c r="AE21" i="10"/>
  <c r="AA172" i="10"/>
  <c r="T172" i="10"/>
  <c r="W172" i="10"/>
  <c r="AA156" i="10"/>
  <c r="T156" i="10"/>
  <c r="W156" i="10"/>
  <c r="AA140" i="10"/>
  <c r="T140" i="10"/>
  <c r="W140" i="10"/>
  <c r="AA124" i="10"/>
  <c r="T124" i="10"/>
  <c r="W124" i="10"/>
  <c r="AA108" i="10"/>
  <c r="T108" i="10"/>
  <c r="W108" i="10"/>
  <c r="AA92" i="10"/>
  <c r="T92" i="10"/>
  <c r="W92" i="10"/>
  <c r="AA76" i="10"/>
  <c r="T76" i="10"/>
  <c r="W76" i="10"/>
  <c r="AA68" i="10"/>
  <c r="T68" i="10"/>
  <c r="W68" i="10"/>
  <c r="AA52" i="10"/>
  <c r="T52" i="10"/>
  <c r="W52" i="10"/>
  <c r="AA36" i="10"/>
  <c r="T36" i="10"/>
  <c r="W36" i="10"/>
  <c r="AA18" i="10"/>
  <c r="T18" i="10"/>
  <c r="W18" i="10"/>
  <c r="AE18" i="10"/>
  <c r="AA179" i="10"/>
  <c r="T179" i="10"/>
  <c r="W179" i="10"/>
  <c r="AA167" i="10"/>
  <c r="T167" i="10"/>
  <c r="W167" i="10"/>
  <c r="AA151" i="10"/>
  <c r="T151" i="10"/>
  <c r="W151" i="10"/>
  <c r="AA135" i="10"/>
  <c r="T135" i="10"/>
  <c r="W135" i="10"/>
  <c r="AA119" i="10"/>
  <c r="T119" i="10"/>
  <c r="W119" i="10"/>
  <c r="AA103" i="10"/>
  <c r="T103" i="10"/>
  <c r="W103" i="10"/>
  <c r="AA87" i="10"/>
  <c r="T87" i="10"/>
  <c r="W87" i="10"/>
  <c r="AA71" i="10"/>
  <c r="T71" i="10"/>
  <c r="W71" i="10"/>
  <c r="AA63" i="10"/>
  <c r="T63" i="10"/>
  <c r="W63" i="10"/>
  <c r="AA47" i="10"/>
  <c r="T47" i="10"/>
  <c r="W47" i="10"/>
  <c r="AA31" i="10"/>
  <c r="T31" i="10"/>
  <c r="W31" i="10"/>
  <c r="AA11" i="10"/>
  <c r="T11" i="10"/>
  <c r="W11" i="10"/>
  <c r="AE11" i="10"/>
  <c r="AA177" i="10"/>
  <c r="T177" i="10"/>
  <c r="W177" i="10"/>
  <c r="AA164" i="10"/>
  <c r="T164" i="10"/>
  <c r="W164" i="10"/>
  <c r="AA148" i="10"/>
  <c r="T148" i="10"/>
  <c r="W148" i="10"/>
  <c r="AA132" i="10"/>
  <c r="T132" i="10"/>
  <c r="W132" i="10"/>
  <c r="AA116" i="10"/>
  <c r="T116" i="10"/>
  <c r="W116" i="10"/>
  <c r="AA100" i="10"/>
  <c r="T100" i="10"/>
  <c r="W100" i="10"/>
  <c r="AA84" i="10"/>
  <c r="T84" i="10"/>
  <c r="W84" i="10"/>
  <c r="AA13" i="10"/>
  <c r="T13" i="10"/>
  <c r="W13" i="10"/>
  <c r="AE13" i="10"/>
  <c r="AA60" i="10"/>
  <c r="T60" i="10"/>
  <c r="W60" i="10"/>
  <c r="AA44" i="10"/>
  <c r="T44" i="10"/>
  <c r="W44" i="10"/>
  <c r="AA28" i="10"/>
  <c r="T28" i="10"/>
  <c r="W28" i="10"/>
  <c r="AA2" i="10"/>
  <c r="T2" i="10"/>
  <c r="W2" i="10"/>
  <c r="AE2" i="10"/>
  <c r="AA181" i="10"/>
  <c r="T181" i="10"/>
  <c r="W181" i="10"/>
  <c r="AA176" i="10"/>
  <c r="T176" i="10"/>
  <c r="W176" i="10"/>
  <c r="AA171" i="10"/>
  <c r="T171" i="10"/>
  <c r="W171" i="10"/>
  <c r="AA163" i="10"/>
  <c r="T163" i="10"/>
  <c r="W163" i="10"/>
  <c r="AA155" i="10"/>
  <c r="T155" i="10"/>
  <c r="W155" i="10"/>
  <c r="AA147" i="10"/>
  <c r="T147" i="10"/>
  <c r="W147" i="10"/>
  <c r="AA139" i="10"/>
  <c r="T139" i="10"/>
  <c r="W139" i="10"/>
  <c r="AA131" i="10"/>
  <c r="T131" i="10"/>
  <c r="W131" i="10"/>
  <c r="AA123" i="10"/>
  <c r="T123" i="10"/>
  <c r="W123" i="10"/>
  <c r="AA115" i="10"/>
  <c r="T115" i="10"/>
  <c r="W115" i="10"/>
  <c r="AA107" i="10"/>
  <c r="T107" i="10"/>
  <c r="W107" i="10"/>
  <c r="AA99" i="10"/>
  <c r="T99" i="10"/>
  <c r="W99" i="10"/>
  <c r="AA91" i="10"/>
  <c r="AA83" i="10"/>
  <c r="T83" i="10"/>
  <c r="W83" i="10"/>
  <c r="AA75" i="10"/>
  <c r="T75" i="10"/>
  <c r="W75" i="10"/>
  <c r="AA7" i="10"/>
  <c r="T7" i="10"/>
  <c r="W7" i="10"/>
  <c r="AE7" i="10"/>
  <c r="AA67" i="10"/>
  <c r="T67" i="10"/>
  <c r="W67" i="10"/>
  <c r="AA59" i="10"/>
  <c r="T59" i="10"/>
  <c r="W59" i="10"/>
  <c r="AA51" i="10"/>
  <c r="T51" i="10"/>
  <c r="W51" i="10"/>
  <c r="AA43" i="10"/>
  <c r="T43" i="10"/>
  <c r="W43" i="10"/>
  <c r="AA35" i="10"/>
  <c r="T35" i="10"/>
  <c r="W35" i="10"/>
  <c r="AA27" i="10"/>
  <c r="T27" i="10"/>
  <c r="W27" i="10"/>
  <c r="AA17" i="10"/>
  <c r="T17" i="10"/>
  <c r="W17" i="10"/>
  <c r="AE17" i="10"/>
  <c r="AA4" i="10"/>
  <c r="T4" i="10"/>
  <c r="W4" i="10"/>
  <c r="AE4" i="10"/>
  <c r="AA180" i="10"/>
  <c r="T180" i="10"/>
  <c r="W180" i="10"/>
  <c r="AA175" i="10"/>
  <c r="T175" i="10"/>
  <c r="W175" i="10"/>
  <c r="AA168" i="10"/>
  <c r="T168" i="10"/>
  <c r="W168" i="10"/>
  <c r="AA160" i="10"/>
  <c r="T160" i="10"/>
  <c r="W160" i="10"/>
  <c r="AA152" i="10"/>
  <c r="AA144" i="10"/>
  <c r="T144" i="10"/>
  <c r="W144" i="10"/>
  <c r="AA136" i="10"/>
  <c r="T136" i="10"/>
  <c r="W136" i="10"/>
  <c r="AA128" i="10"/>
  <c r="T128" i="10"/>
  <c r="W128" i="10"/>
  <c r="AA120" i="10"/>
  <c r="T120" i="10"/>
  <c r="W120" i="10"/>
  <c r="AA112" i="10"/>
  <c r="T112" i="10"/>
  <c r="W112" i="10"/>
  <c r="AA104" i="10"/>
  <c r="T104" i="10"/>
  <c r="W104" i="10"/>
  <c r="AA96" i="10"/>
  <c r="T96" i="10"/>
  <c r="W96" i="10"/>
  <c r="AA88" i="10"/>
  <c r="AA80" i="10"/>
  <c r="T80" i="10"/>
  <c r="W80" i="10"/>
  <c r="AA72" i="10"/>
  <c r="T72" i="10"/>
  <c r="W72" i="10"/>
  <c r="AA14" i="10"/>
  <c r="T14" i="10"/>
  <c r="W14" i="10"/>
  <c r="AE14" i="10"/>
  <c r="AA64" i="10"/>
  <c r="AA56" i="10"/>
  <c r="T56" i="10"/>
  <c r="W56" i="10"/>
  <c r="AA48" i="10"/>
  <c r="T48" i="10"/>
  <c r="W48" i="10"/>
  <c r="AA40" i="10"/>
  <c r="T40" i="10"/>
  <c r="W40" i="10"/>
  <c r="AA32" i="10"/>
  <c r="AA24" i="10"/>
  <c r="T24" i="10"/>
  <c r="W24" i="10"/>
  <c r="R13" i="10"/>
  <c r="AA12" i="10"/>
  <c r="T12" i="10"/>
  <c r="W12" i="10"/>
  <c r="AE12" i="10"/>
  <c r="AA178" i="10"/>
  <c r="AA174" i="10"/>
  <c r="T174" i="10"/>
  <c r="W174" i="10"/>
  <c r="AA170" i="10"/>
  <c r="T170" i="10"/>
  <c r="W170" i="10"/>
  <c r="AA166" i="10"/>
  <c r="T166" i="10"/>
  <c r="W166" i="10"/>
  <c r="AA162" i="10"/>
  <c r="T162" i="10"/>
  <c r="W162" i="10"/>
  <c r="AA158" i="10"/>
  <c r="T158" i="10"/>
  <c r="W158" i="10"/>
  <c r="AA154" i="10"/>
  <c r="T154" i="10"/>
  <c r="W154" i="10"/>
  <c r="AA150" i="10"/>
  <c r="T150" i="10"/>
  <c r="W150" i="10"/>
  <c r="AA146" i="10"/>
  <c r="T146" i="10"/>
  <c r="W146" i="10"/>
  <c r="AA142" i="10"/>
  <c r="T142" i="10"/>
  <c r="W142" i="10"/>
  <c r="AA138" i="10"/>
  <c r="T138" i="10"/>
  <c r="W138" i="10"/>
  <c r="AA134" i="10"/>
  <c r="T134" i="10"/>
  <c r="W134" i="10"/>
  <c r="AA130" i="10"/>
  <c r="AA126" i="10"/>
  <c r="T126" i="10"/>
  <c r="W126" i="10"/>
  <c r="AA122" i="10"/>
  <c r="T122" i="10"/>
  <c r="W122" i="10"/>
  <c r="AA118" i="10"/>
  <c r="T118" i="10"/>
  <c r="W118" i="10"/>
  <c r="AA114" i="10"/>
  <c r="AA110" i="10"/>
  <c r="T110" i="10"/>
  <c r="W110" i="10"/>
  <c r="AA106" i="10"/>
  <c r="T106" i="10"/>
  <c r="W106" i="10"/>
  <c r="AA102" i="10"/>
  <c r="T102" i="10"/>
  <c r="W102" i="10"/>
  <c r="AA98" i="10"/>
  <c r="T98" i="10"/>
  <c r="W98" i="10"/>
  <c r="AA94" i="10"/>
  <c r="T94" i="10"/>
  <c r="W94" i="10"/>
  <c r="AA90" i="10"/>
  <c r="T90" i="10"/>
  <c r="W90" i="10"/>
  <c r="AA86" i="10"/>
  <c r="T86" i="10"/>
  <c r="W86" i="10"/>
  <c r="AA82" i="10"/>
  <c r="T82" i="10"/>
  <c r="W82" i="10"/>
  <c r="AA78" i="10"/>
  <c r="T78" i="10"/>
  <c r="W78" i="10"/>
  <c r="AA74" i="10"/>
  <c r="T74" i="10"/>
  <c r="W74" i="10"/>
  <c r="AA70" i="10"/>
  <c r="T70" i="10"/>
  <c r="W70" i="10"/>
  <c r="AA8" i="10"/>
  <c r="T8" i="10"/>
  <c r="W8" i="10"/>
  <c r="AE8" i="10"/>
  <c r="AA9" i="10"/>
  <c r="T9" i="10"/>
  <c r="W9" i="10"/>
  <c r="AE9" i="10"/>
  <c r="AA66" i="10"/>
  <c r="T66" i="10"/>
  <c r="W66" i="10"/>
  <c r="AA62" i="10"/>
  <c r="T62" i="10"/>
  <c r="W62" i="10"/>
  <c r="AA58" i="10"/>
  <c r="AA54" i="10"/>
  <c r="T54" i="10"/>
  <c r="W54" i="10"/>
  <c r="AA50" i="10"/>
  <c r="T50" i="10"/>
  <c r="W50" i="10"/>
  <c r="AA46" i="10"/>
  <c r="T46" i="10"/>
  <c r="W46" i="10"/>
  <c r="AA42" i="10"/>
  <c r="AA38" i="10"/>
  <c r="T38" i="10"/>
  <c r="W38" i="10"/>
  <c r="AA34" i="10"/>
  <c r="T34" i="10"/>
  <c r="W34" i="10"/>
  <c r="AA30" i="10"/>
  <c r="T30" i="10"/>
  <c r="W30" i="10"/>
  <c r="AA26" i="10"/>
  <c r="AA20" i="10"/>
  <c r="T20" i="10"/>
  <c r="W20" i="10"/>
  <c r="AE20" i="10"/>
  <c r="AA16" i="10"/>
  <c r="T16" i="10"/>
  <c r="W16" i="10"/>
  <c r="AE16" i="10"/>
  <c r="AA6" i="10"/>
  <c r="T6" i="10"/>
  <c r="W6" i="10"/>
  <c r="AE6" i="10"/>
  <c r="AA3" i="10"/>
  <c r="T3" i="10"/>
  <c r="W3" i="10"/>
  <c r="AE3" i="10"/>
  <c r="AA169" i="10"/>
  <c r="T169" i="10"/>
  <c r="W169" i="10"/>
  <c r="AA165" i="10"/>
  <c r="T165" i="10"/>
  <c r="W165" i="10"/>
  <c r="AA161" i="10"/>
  <c r="T161" i="10"/>
  <c r="W161" i="10"/>
  <c r="AA157" i="10"/>
  <c r="T157" i="10"/>
  <c r="W157" i="10"/>
  <c r="AA153" i="10"/>
  <c r="T153" i="10"/>
  <c r="W153" i="10"/>
  <c r="AA149" i="10"/>
  <c r="T149" i="10"/>
  <c r="W149" i="10"/>
  <c r="AA145" i="10"/>
  <c r="T145" i="10"/>
  <c r="W145" i="10"/>
  <c r="AA141" i="10"/>
  <c r="AA137" i="10"/>
  <c r="T137" i="10"/>
  <c r="W137" i="10"/>
  <c r="AA133" i="10"/>
  <c r="T133" i="10"/>
  <c r="W133" i="10"/>
  <c r="AA129" i="10"/>
  <c r="T129" i="10"/>
  <c r="W129" i="10"/>
  <c r="AA125" i="10"/>
  <c r="AA121" i="10"/>
  <c r="T121" i="10"/>
  <c r="W121" i="10"/>
  <c r="AA117" i="10"/>
  <c r="T117" i="10"/>
  <c r="W117" i="10"/>
  <c r="AA113" i="10"/>
  <c r="T113" i="10"/>
  <c r="W113" i="10"/>
  <c r="AA109" i="10"/>
  <c r="AA105" i="10"/>
  <c r="T105" i="10"/>
  <c r="W105" i="10"/>
  <c r="AA101" i="10"/>
  <c r="T101" i="10"/>
  <c r="W101" i="10"/>
  <c r="AA97" i="10"/>
  <c r="T97" i="10"/>
  <c r="W97" i="10"/>
  <c r="AA93" i="10"/>
  <c r="T93" i="10"/>
  <c r="W93" i="10"/>
  <c r="AA89" i="10"/>
  <c r="T89" i="10"/>
  <c r="W89" i="10"/>
  <c r="AA85" i="10"/>
  <c r="T85" i="10"/>
  <c r="W85" i="10"/>
  <c r="AA81" i="10"/>
  <c r="T81" i="10"/>
  <c r="W81" i="10"/>
  <c r="AA77" i="10"/>
  <c r="AA73" i="10"/>
  <c r="T73" i="10"/>
  <c r="W73" i="10"/>
  <c r="AA69" i="10"/>
  <c r="T69" i="10"/>
  <c r="W69" i="10"/>
  <c r="AA23" i="10"/>
  <c r="T23" i="10"/>
  <c r="W23" i="10"/>
  <c r="AE23" i="10"/>
  <c r="R12" i="10"/>
  <c r="AB53" i="10"/>
  <c r="AA65" i="10"/>
  <c r="T65" i="10"/>
  <c r="W65" i="10"/>
  <c r="AA61" i="10"/>
  <c r="T61" i="10"/>
  <c r="W61" i="10"/>
  <c r="AA57" i="10"/>
  <c r="T57" i="10"/>
  <c r="W57" i="10"/>
  <c r="AA53" i="10"/>
  <c r="T53" i="10"/>
  <c r="W53" i="10"/>
  <c r="AA49" i="10"/>
  <c r="T49" i="10"/>
  <c r="W49" i="10"/>
  <c r="AA45" i="10"/>
  <c r="T45" i="10"/>
  <c r="W45" i="10"/>
  <c r="AA41" i="10"/>
  <c r="T41" i="10"/>
  <c r="W41" i="10"/>
  <c r="AA37" i="10"/>
  <c r="T37" i="10"/>
  <c r="W37" i="10"/>
  <c r="AA33" i="10"/>
  <c r="T33" i="10"/>
  <c r="W33" i="10"/>
  <c r="AA29" i="10"/>
  <c r="T29" i="10"/>
  <c r="W29" i="10"/>
  <c r="AA25" i="10"/>
  <c r="T25" i="10"/>
  <c r="W25" i="10"/>
  <c r="AA19" i="10"/>
  <c r="T19" i="10"/>
  <c r="W19" i="10"/>
  <c r="AE19" i="10"/>
  <c r="AA15" i="10"/>
  <c r="T15" i="10"/>
  <c r="W15" i="10"/>
  <c r="AE15" i="10"/>
  <c r="AA5" i="10"/>
  <c r="T5" i="10"/>
  <c r="W5" i="10"/>
  <c r="AE5" i="10"/>
  <c r="J24" i="7"/>
  <c r="E51" i="3"/>
  <c r="L5" i="12"/>
  <c r="M6" i="12"/>
  <c r="U46" i="12"/>
  <c r="V23" i="5"/>
  <c r="V22" i="10"/>
  <c r="AD22" i="10"/>
  <c r="AF22" i="10"/>
  <c r="BC65" i="9"/>
  <c r="AZ65" i="9"/>
  <c r="BA65" i="9"/>
  <c r="BB65" i="9"/>
  <c r="BC41" i="9"/>
  <c r="AZ41" i="9"/>
  <c r="BA41" i="9"/>
  <c r="BB41" i="9"/>
  <c r="BC64" i="9"/>
  <c r="AZ64" i="9"/>
  <c r="BA64" i="9"/>
  <c r="BB64" i="9"/>
  <c r="BC40" i="9"/>
  <c r="AZ40" i="9"/>
  <c r="BA40" i="9"/>
  <c r="BB40" i="9"/>
  <c r="AE40" i="9"/>
  <c r="AB40" i="9"/>
  <c r="AC40" i="9"/>
  <c r="AD40" i="9"/>
  <c r="AE58" i="9"/>
  <c r="AB58" i="9"/>
  <c r="AC58" i="9"/>
  <c r="AD58" i="9"/>
  <c r="AE50" i="9"/>
  <c r="AB50" i="9"/>
  <c r="AC50" i="9"/>
  <c r="AD50" i="9"/>
  <c r="AE63" i="9"/>
  <c r="AB63" i="9"/>
  <c r="AC63" i="9"/>
  <c r="AD63" i="9"/>
  <c r="AE55" i="9"/>
  <c r="AB55" i="9"/>
  <c r="AC55" i="9"/>
  <c r="AD55" i="9"/>
  <c r="AE39" i="9"/>
  <c r="AB39" i="9"/>
  <c r="AC39" i="9"/>
  <c r="AD39" i="9"/>
  <c r="AE25" i="9"/>
  <c r="AB25" i="9"/>
  <c r="AC25" i="9"/>
  <c r="AD25" i="9"/>
  <c r="AZ302" i="9"/>
  <c r="BA302" i="9"/>
  <c r="BB302" i="9"/>
  <c r="BC302" i="9"/>
  <c r="BC298" i="9"/>
  <c r="AZ298" i="9"/>
  <c r="BA298" i="9"/>
  <c r="BB298" i="9"/>
  <c r="BC294" i="9"/>
  <c r="AZ294" i="9"/>
  <c r="BA294" i="9"/>
  <c r="BB294" i="9"/>
  <c r="BC193" i="9"/>
  <c r="AZ193" i="9"/>
  <c r="BA193" i="9"/>
  <c r="BB193" i="9"/>
  <c r="BC189" i="9"/>
  <c r="AZ189" i="9"/>
  <c r="BA189" i="9"/>
  <c r="BB189" i="9"/>
  <c r="BC185" i="9"/>
  <c r="AZ185" i="9"/>
  <c r="BA185" i="9"/>
  <c r="BB185" i="9"/>
  <c r="AZ181" i="9"/>
  <c r="BA181" i="9"/>
  <c r="BB181" i="9"/>
  <c r="BC181" i="9"/>
  <c r="AE193" i="9"/>
  <c r="AB193" i="9"/>
  <c r="AC193" i="9"/>
  <c r="AD193" i="9"/>
  <c r="AE189" i="9"/>
  <c r="AB189" i="9"/>
  <c r="AC189" i="9"/>
  <c r="AD189" i="9"/>
  <c r="AE185" i="9"/>
  <c r="AB185" i="9"/>
  <c r="AC185" i="9"/>
  <c r="AD185" i="9"/>
  <c r="AB181" i="9"/>
  <c r="AC181" i="9"/>
  <c r="AD181" i="9"/>
  <c r="AE181" i="9"/>
  <c r="AE307" i="9"/>
  <c r="AB307" i="9"/>
  <c r="AC307" i="9"/>
  <c r="AD307" i="9"/>
  <c r="AE303" i="9"/>
  <c r="AB303" i="9"/>
  <c r="AC303" i="9"/>
  <c r="AD303" i="9"/>
  <c r="AE298" i="9"/>
  <c r="AB298" i="9"/>
  <c r="AC298" i="9"/>
  <c r="AD298" i="9"/>
  <c r="Z294" i="9"/>
  <c r="BC57" i="9"/>
  <c r="AZ57" i="9"/>
  <c r="BA57" i="9"/>
  <c r="BB57" i="9"/>
  <c r="AZ33" i="9"/>
  <c r="BA33" i="9"/>
  <c r="BB33" i="9"/>
  <c r="BC33" i="9"/>
  <c r="BC48" i="9"/>
  <c r="AZ48" i="9"/>
  <c r="BA48" i="9"/>
  <c r="BB48" i="9"/>
  <c r="AE72" i="9"/>
  <c r="AB72" i="9"/>
  <c r="AC72" i="9"/>
  <c r="AD72" i="9"/>
  <c r="BC68" i="9"/>
  <c r="AZ68" i="9"/>
  <c r="BA68" i="9"/>
  <c r="BB68" i="9"/>
  <c r="BC60" i="9"/>
  <c r="AZ60" i="9"/>
  <c r="BA60" i="9"/>
  <c r="BB60" i="9"/>
  <c r="BC52" i="9"/>
  <c r="AZ52" i="9"/>
  <c r="BA52" i="9"/>
  <c r="BB52" i="9"/>
  <c r="BC44" i="9"/>
  <c r="AZ44" i="9"/>
  <c r="BA44" i="9"/>
  <c r="BB44" i="9"/>
  <c r="AZ36" i="9"/>
  <c r="BA36" i="9"/>
  <c r="BB36" i="9"/>
  <c r="BC36" i="9"/>
  <c r="BC28" i="9"/>
  <c r="AZ28" i="9"/>
  <c r="BA28" i="9"/>
  <c r="BB28" i="9"/>
  <c r="AE69" i="9"/>
  <c r="AB69" i="9"/>
  <c r="AC69" i="9"/>
  <c r="AD69" i="9"/>
  <c r="AE47" i="9"/>
  <c r="AB47" i="9"/>
  <c r="AC47" i="9"/>
  <c r="AD47" i="9"/>
  <c r="AE43" i="9"/>
  <c r="AB43" i="9"/>
  <c r="AC43" i="9"/>
  <c r="AD43" i="9"/>
  <c r="AE62" i="9"/>
  <c r="AB62" i="9"/>
  <c r="AC62" i="9"/>
  <c r="AD62" i="9"/>
  <c r="AB48" i="9"/>
  <c r="AC48" i="9"/>
  <c r="AD48" i="9"/>
  <c r="AE48" i="9"/>
  <c r="AE51" i="9"/>
  <c r="AB51" i="9"/>
  <c r="AC51" i="9"/>
  <c r="AD51" i="9"/>
  <c r="AE31" i="9"/>
  <c r="AB31" i="9"/>
  <c r="AC31" i="9"/>
  <c r="AD31" i="9"/>
  <c r="AZ308" i="9"/>
  <c r="BA308" i="9"/>
  <c r="BB308" i="9"/>
  <c r="BC308" i="9"/>
  <c r="AZ304" i="9"/>
  <c r="BA304" i="9"/>
  <c r="BB304" i="9"/>
  <c r="BC304" i="9"/>
  <c r="AZ300" i="9"/>
  <c r="BA300" i="9"/>
  <c r="BB300" i="9"/>
  <c r="BC300" i="9"/>
  <c r="BC195" i="9"/>
  <c r="AZ195" i="9"/>
  <c r="BA195" i="9"/>
  <c r="BB195" i="9"/>
  <c r="BC191" i="9"/>
  <c r="AZ191" i="9"/>
  <c r="BA191" i="9"/>
  <c r="BB191" i="9"/>
  <c r="BC187" i="9"/>
  <c r="AZ187" i="9"/>
  <c r="BA187" i="9"/>
  <c r="BB187" i="9"/>
  <c r="BC183" i="9"/>
  <c r="AZ183" i="9"/>
  <c r="BA183" i="9"/>
  <c r="BB183" i="9"/>
  <c r="AE309" i="9"/>
  <c r="AB309" i="9"/>
  <c r="AC309" i="9"/>
  <c r="AD309" i="9"/>
  <c r="AE305" i="9"/>
  <c r="AB305" i="9"/>
  <c r="AC305" i="9"/>
  <c r="AD305" i="9"/>
  <c r="AE301" i="9"/>
  <c r="AB301" i="9"/>
  <c r="AC301" i="9"/>
  <c r="AD301" i="9"/>
  <c r="BC25" i="9"/>
  <c r="BA25" i="9"/>
  <c r="BB25" i="9"/>
  <c r="BC67" i="9"/>
  <c r="AZ67" i="9"/>
  <c r="BA67" i="9"/>
  <c r="BB67" i="9"/>
  <c r="BC59" i="9"/>
  <c r="AZ59" i="9"/>
  <c r="BA59" i="9"/>
  <c r="BB59" i="9"/>
  <c r="BC51" i="9"/>
  <c r="AZ51" i="9"/>
  <c r="BA51" i="9"/>
  <c r="BB51" i="9"/>
  <c r="BC43" i="9"/>
  <c r="AZ43" i="9"/>
  <c r="BA43" i="9"/>
  <c r="BB43" i="9"/>
  <c r="AZ35" i="9"/>
  <c r="BA35" i="9"/>
  <c r="BB35" i="9"/>
  <c r="BC35" i="9"/>
  <c r="BC27" i="9"/>
  <c r="AZ27" i="9"/>
  <c r="BA27" i="9"/>
  <c r="BB27" i="9"/>
  <c r="BC66" i="9"/>
  <c r="AZ66" i="9"/>
  <c r="BA66" i="9"/>
  <c r="BB66" i="9"/>
  <c r="BC58" i="9"/>
  <c r="AZ58" i="9"/>
  <c r="BA58" i="9"/>
  <c r="BB58" i="9"/>
  <c r="BC50" i="9"/>
  <c r="AZ50" i="9"/>
  <c r="BA50" i="9"/>
  <c r="BB50" i="9"/>
  <c r="BC42" i="9"/>
  <c r="AZ42" i="9"/>
  <c r="BA42" i="9"/>
  <c r="BB42" i="9"/>
  <c r="AZ34" i="9"/>
  <c r="BA34" i="9"/>
  <c r="BB34" i="9"/>
  <c r="BC34" i="9"/>
  <c r="BC26" i="9"/>
  <c r="AZ26" i="9"/>
  <c r="BA26" i="9"/>
  <c r="BB26" i="9"/>
  <c r="AE67" i="9"/>
  <c r="AB67" i="9"/>
  <c r="AC67" i="9"/>
  <c r="AD67" i="9"/>
  <c r="AE66" i="9"/>
  <c r="AB66" i="9"/>
  <c r="AC66" i="9"/>
  <c r="AD66" i="9"/>
  <c r="AE46" i="9"/>
  <c r="AB46" i="9"/>
  <c r="AC46" i="9"/>
  <c r="AD46" i="9"/>
  <c r="AE42" i="9"/>
  <c r="AB42" i="9"/>
  <c r="AC42" i="9"/>
  <c r="AD42" i="9"/>
  <c r="AE38" i="9"/>
  <c r="AB38" i="9"/>
  <c r="AC38" i="9"/>
  <c r="AD38" i="9"/>
  <c r="AE34" i="9"/>
  <c r="AB34" i="9"/>
  <c r="AC34" i="9"/>
  <c r="AD34" i="9"/>
  <c r="AE26" i="9"/>
  <c r="AB26" i="9"/>
  <c r="AC26" i="9"/>
  <c r="AD26" i="9"/>
  <c r="AZ307" i="9"/>
  <c r="BA307" i="9"/>
  <c r="BB307" i="9"/>
  <c r="BC307" i="9"/>
  <c r="AZ303" i="9"/>
  <c r="BA303" i="9"/>
  <c r="BB303" i="9"/>
  <c r="BC303" i="9"/>
  <c r="BC194" i="9"/>
  <c r="AZ194" i="9"/>
  <c r="BA194" i="9"/>
  <c r="BB194" i="9"/>
  <c r="BC190" i="9"/>
  <c r="AZ190" i="9"/>
  <c r="BA190" i="9"/>
  <c r="BB190" i="9"/>
  <c r="BC186" i="9"/>
  <c r="AZ186" i="9"/>
  <c r="BA186" i="9"/>
  <c r="BB186" i="9"/>
  <c r="BC182" i="9"/>
  <c r="AZ182" i="9"/>
  <c r="BA182" i="9"/>
  <c r="BB182" i="9"/>
  <c r="AE308" i="9"/>
  <c r="AB308" i="9"/>
  <c r="AC308" i="9"/>
  <c r="AD308" i="9"/>
  <c r="AE304" i="9"/>
  <c r="AB304" i="9"/>
  <c r="AC304" i="9"/>
  <c r="AD304" i="9"/>
  <c r="AE299" i="9"/>
  <c r="AB299" i="9"/>
  <c r="AC299" i="9"/>
  <c r="AD299" i="9"/>
  <c r="AE295" i="9"/>
  <c r="AB295" i="9"/>
  <c r="AC295" i="9"/>
  <c r="AD295" i="9"/>
  <c r="U196" i="9"/>
  <c r="V196" i="9"/>
  <c r="T196" i="9"/>
  <c r="W196" i="9"/>
  <c r="U192" i="9"/>
  <c r="V192" i="9"/>
  <c r="T192" i="9"/>
  <c r="W192" i="9"/>
  <c r="U188" i="9"/>
  <c r="V188" i="9"/>
  <c r="T188" i="9"/>
  <c r="W188" i="9"/>
  <c r="U184" i="9"/>
  <c r="V184" i="9"/>
  <c r="T184" i="9"/>
  <c r="W184" i="9"/>
  <c r="U300" i="9"/>
  <c r="V300" i="9"/>
  <c r="T300" i="9"/>
  <c r="W300" i="9"/>
  <c r="U306" i="9"/>
  <c r="V306" i="9"/>
  <c r="T306" i="9"/>
  <c r="W306" i="9"/>
  <c r="U302" i="9"/>
  <c r="V302" i="9"/>
  <c r="T302" i="9"/>
  <c r="W302" i="9"/>
  <c r="U297" i="9"/>
  <c r="V297" i="9"/>
  <c r="T297" i="9"/>
  <c r="W297" i="9"/>
  <c r="R297" i="9"/>
  <c r="S297" i="9"/>
  <c r="Z297" i="9"/>
  <c r="AS49" i="9"/>
  <c r="AT49" i="9"/>
  <c r="AR49" i="9"/>
  <c r="AU49" i="9"/>
  <c r="U45" i="9"/>
  <c r="V45" i="9"/>
  <c r="T45" i="9"/>
  <c r="W45" i="9"/>
  <c r="U63" i="9"/>
  <c r="V63" i="9"/>
  <c r="T63" i="9"/>
  <c r="W63" i="9"/>
  <c r="U29" i="9"/>
  <c r="V29" i="9"/>
  <c r="T29" i="9"/>
  <c r="W29" i="9"/>
  <c r="AS294" i="9"/>
  <c r="AT294" i="9"/>
  <c r="AR294" i="9"/>
  <c r="AU294" i="9"/>
  <c r="AS181" i="9"/>
  <c r="AT181" i="9"/>
  <c r="AR181" i="9"/>
  <c r="AU181" i="9"/>
  <c r="AS71" i="9"/>
  <c r="AT71" i="9"/>
  <c r="AR71" i="9"/>
  <c r="AU71" i="9"/>
  <c r="AS63" i="9"/>
  <c r="AT63" i="9"/>
  <c r="AR63" i="9"/>
  <c r="AU63" i="9"/>
  <c r="AS55" i="9"/>
  <c r="AT55" i="9"/>
  <c r="AR55" i="9"/>
  <c r="AU55" i="9"/>
  <c r="AS47" i="9"/>
  <c r="AT47" i="9"/>
  <c r="AR47" i="9"/>
  <c r="AU47" i="9"/>
  <c r="AS39" i="9"/>
  <c r="AT39" i="9"/>
  <c r="AR39" i="9"/>
  <c r="AU39" i="9"/>
  <c r="AS31" i="9"/>
  <c r="AT31" i="9"/>
  <c r="AR31" i="9"/>
  <c r="AU31" i="9"/>
  <c r="AS70" i="9"/>
  <c r="AT70" i="9"/>
  <c r="AR70" i="9"/>
  <c r="AU70" i="9"/>
  <c r="AS62" i="9"/>
  <c r="AT62" i="9"/>
  <c r="AR62" i="9"/>
  <c r="AU62" i="9"/>
  <c r="AS54" i="9"/>
  <c r="AT54" i="9"/>
  <c r="AR54" i="9"/>
  <c r="AU54" i="9"/>
  <c r="AS46" i="9"/>
  <c r="AT46" i="9"/>
  <c r="AR46" i="9"/>
  <c r="AU46" i="9"/>
  <c r="AS38" i="9"/>
  <c r="AT38" i="9"/>
  <c r="AR38" i="9"/>
  <c r="AU38" i="9"/>
  <c r="AS30" i="9"/>
  <c r="AT30" i="9"/>
  <c r="AR30" i="9"/>
  <c r="AU30" i="9"/>
  <c r="U71" i="9"/>
  <c r="V71" i="9"/>
  <c r="T71" i="9"/>
  <c r="W71" i="9"/>
  <c r="U70" i="9"/>
  <c r="V70" i="9"/>
  <c r="T70" i="9"/>
  <c r="W70" i="9"/>
  <c r="U49" i="9"/>
  <c r="V49" i="9"/>
  <c r="T49" i="9"/>
  <c r="W49" i="9"/>
  <c r="U44" i="9"/>
  <c r="V44" i="9"/>
  <c r="T44" i="9"/>
  <c r="W44" i="9"/>
  <c r="U64" i="9"/>
  <c r="V64" i="9"/>
  <c r="T64" i="9"/>
  <c r="W64" i="9"/>
  <c r="U56" i="9"/>
  <c r="V56" i="9"/>
  <c r="T56" i="9"/>
  <c r="W56" i="9"/>
  <c r="U37" i="9"/>
  <c r="V37" i="9"/>
  <c r="T37" i="9"/>
  <c r="W37" i="9"/>
  <c r="U61" i="9"/>
  <c r="V61" i="9"/>
  <c r="T61" i="9"/>
  <c r="W61" i="9"/>
  <c r="U53" i="9"/>
  <c r="V53" i="9"/>
  <c r="T53" i="9"/>
  <c r="W53" i="9"/>
  <c r="U36" i="9"/>
  <c r="V36" i="9"/>
  <c r="T36" i="9"/>
  <c r="W36" i="9"/>
  <c r="U32" i="9"/>
  <c r="V32" i="9"/>
  <c r="T32" i="9"/>
  <c r="W32" i="9"/>
  <c r="U28" i="9"/>
  <c r="V28" i="9"/>
  <c r="T28" i="9"/>
  <c r="W28" i="9"/>
  <c r="AS309" i="9"/>
  <c r="AT309" i="9"/>
  <c r="AR309" i="9"/>
  <c r="AU309" i="9"/>
  <c r="AS305" i="9"/>
  <c r="AT305" i="9"/>
  <c r="AR305" i="9"/>
  <c r="AU305" i="9"/>
  <c r="AS301" i="9"/>
  <c r="AT301" i="9"/>
  <c r="AR301" i="9"/>
  <c r="AU301" i="9"/>
  <c r="AS297" i="9"/>
  <c r="AT297" i="9"/>
  <c r="AR297" i="9"/>
  <c r="AU297" i="9"/>
  <c r="AS196" i="9"/>
  <c r="AT196" i="9"/>
  <c r="AR196" i="9"/>
  <c r="AU196" i="9"/>
  <c r="AS192" i="9"/>
  <c r="AT192" i="9"/>
  <c r="AR192" i="9"/>
  <c r="AU192" i="9"/>
  <c r="AS188" i="9"/>
  <c r="AT188" i="9"/>
  <c r="AR188" i="9"/>
  <c r="AU188" i="9"/>
  <c r="AS184" i="9"/>
  <c r="AT184" i="9"/>
  <c r="AR184" i="9"/>
  <c r="AU184" i="9"/>
  <c r="U195" i="9"/>
  <c r="V195" i="9"/>
  <c r="T195" i="9"/>
  <c r="W195" i="9"/>
  <c r="U191" i="9"/>
  <c r="V191" i="9"/>
  <c r="T191" i="9"/>
  <c r="W191" i="9"/>
  <c r="U187" i="9"/>
  <c r="V187" i="9"/>
  <c r="T187" i="9"/>
  <c r="W187" i="9"/>
  <c r="U183" i="9"/>
  <c r="V183" i="9"/>
  <c r="T183" i="9"/>
  <c r="W183" i="9"/>
  <c r="U309" i="9"/>
  <c r="V309" i="9"/>
  <c r="T309" i="9"/>
  <c r="W309" i="9"/>
  <c r="U305" i="9"/>
  <c r="V305" i="9"/>
  <c r="T305" i="9"/>
  <c r="W305" i="9"/>
  <c r="U301" i="9"/>
  <c r="V301" i="9"/>
  <c r="T301" i="9"/>
  <c r="W301" i="9"/>
  <c r="U296" i="9"/>
  <c r="V296" i="9"/>
  <c r="T296" i="9"/>
  <c r="W296" i="9"/>
  <c r="R195" i="9"/>
  <c r="S195" i="9"/>
  <c r="Z195" i="9"/>
  <c r="R191" i="9"/>
  <c r="S191" i="9"/>
  <c r="Z191" i="9"/>
  <c r="R187" i="9"/>
  <c r="S187" i="9"/>
  <c r="Z187" i="9"/>
  <c r="R183" i="9"/>
  <c r="S183" i="9"/>
  <c r="Z183" i="9"/>
  <c r="AP297" i="9"/>
  <c r="AQ297" i="9"/>
  <c r="AX297" i="9"/>
  <c r="R64" i="9"/>
  <c r="S64" i="9"/>
  <c r="Z64" i="9"/>
  <c r="R56" i="9"/>
  <c r="S56" i="9"/>
  <c r="Z56" i="9"/>
  <c r="R37" i="9"/>
  <c r="S37" i="9"/>
  <c r="Z37" i="9"/>
  <c r="R61" i="9"/>
  <c r="S61" i="9"/>
  <c r="Z61" i="9"/>
  <c r="R53" i="9"/>
  <c r="S53" i="9"/>
  <c r="Z53" i="9"/>
  <c r="R36" i="9"/>
  <c r="S36" i="9"/>
  <c r="Z36" i="9"/>
  <c r="R29" i="9"/>
  <c r="S29" i="9"/>
  <c r="Z29" i="9"/>
  <c r="AP49" i="9"/>
  <c r="AQ49" i="9"/>
  <c r="AX49" i="9"/>
  <c r="AS57" i="9"/>
  <c r="AT57" i="9"/>
  <c r="AR57" i="9"/>
  <c r="AU57" i="9"/>
  <c r="AS41" i="9"/>
  <c r="AT41" i="9"/>
  <c r="AR41" i="9"/>
  <c r="AU41" i="9"/>
  <c r="AS72" i="9"/>
  <c r="AT72" i="9"/>
  <c r="AR72" i="9"/>
  <c r="AU72" i="9"/>
  <c r="AS56" i="9"/>
  <c r="AT56" i="9"/>
  <c r="AR56" i="9"/>
  <c r="AU56" i="9"/>
  <c r="AS32" i="9"/>
  <c r="AT32" i="9"/>
  <c r="AR32" i="9"/>
  <c r="AU32" i="9"/>
  <c r="U65" i="9"/>
  <c r="V65" i="9"/>
  <c r="T65" i="9"/>
  <c r="W65" i="9"/>
  <c r="U58" i="9"/>
  <c r="V58" i="9"/>
  <c r="T58" i="9"/>
  <c r="W58" i="9"/>
  <c r="U55" i="9"/>
  <c r="V55" i="9"/>
  <c r="T55" i="9"/>
  <c r="W55" i="9"/>
  <c r="U33" i="9"/>
  <c r="V33" i="9"/>
  <c r="T33" i="9"/>
  <c r="W33" i="9"/>
  <c r="AS306" i="9"/>
  <c r="AT306" i="9"/>
  <c r="AR306" i="9"/>
  <c r="AU306" i="9"/>
  <c r="AS298" i="9"/>
  <c r="AT298" i="9"/>
  <c r="AR298" i="9"/>
  <c r="AU298" i="9"/>
  <c r="AS193" i="9"/>
  <c r="AT193" i="9"/>
  <c r="AR193" i="9"/>
  <c r="AU193" i="9"/>
  <c r="AS185" i="9"/>
  <c r="AT185" i="9"/>
  <c r="AR185" i="9"/>
  <c r="AU185" i="9"/>
  <c r="AS69" i="9"/>
  <c r="AT69" i="9"/>
  <c r="AR69" i="9"/>
  <c r="AU69" i="9"/>
  <c r="AS53" i="9"/>
  <c r="AT53" i="9"/>
  <c r="AR53" i="9"/>
  <c r="AU53" i="9"/>
  <c r="AS37" i="9"/>
  <c r="AT37" i="9"/>
  <c r="AR37" i="9"/>
  <c r="AU37" i="9"/>
  <c r="AS68" i="9"/>
  <c r="AT68" i="9"/>
  <c r="AR68" i="9"/>
  <c r="AU68" i="9"/>
  <c r="AS44" i="9"/>
  <c r="AT44" i="9"/>
  <c r="AR44" i="9"/>
  <c r="AU44" i="9"/>
  <c r="AS28" i="9"/>
  <c r="AT28" i="9"/>
  <c r="AR28" i="9"/>
  <c r="AU28" i="9"/>
  <c r="U68" i="9"/>
  <c r="V68" i="9"/>
  <c r="T68" i="9"/>
  <c r="W68" i="9"/>
  <c r="U43" i="9"/>
  <c r="V43" i="9"/>
  <c r="T43" i="9"/>
  <c r="W43" i="9"/>
  <c r="U54" i="9"/>
  <c r="V54" i="9"/>
  <c r="T54" i="9"/>
  <c r="W54" i="9"/>
  <c r="U59" i="9"/>
  <c r="V59" i="9"/>
  <c r="T59" i="9"/>
  <c r="W59" i="9"/>
  <c r="U35" i="9"/>
  <c r="V35" i="9"/>
  <c r="T35" i="9"/>
  <c r="W35" i="9"/>
  <c r="U27" i="9"/>
  <c r="V27" i="9"/>
  <c r="T27" i="9"/>
  <c r="W27" i="9"/>
  <c r="AS304" i="9"/>
  <c r="AT304" i="9"/>
  <c r="AR304" i="9"/>
  <c r="AU304" i="9"/>
  <c r="AS296" i="9"/>
  <c r="AT296" i="9"/>
  <c r="AR296" i="9"/>
  <c r="AU296" i="9"/>
  <c r="AS195" i="9"/>
  <c r="AT195" i="9"/>
  <c r="AR195" i="9"/>
  <c r="AU195" i="9"/>
  <c r="AS187" i="9"/>
  <c r="AT187" i="9"/>
  <c r="AR187" i="9"/>
  <c r="AU187" i="9"/>
  <c r="U194" i="9"/>
  <c r="V194" i="9"/>
  <c r="T194" i="9"/>
  <c r="W194" i="9"/>
  <c r="U190" i="9"/>
  <c r="V190" i="9"/>
  <c r="T190" i="9"/>
  <c r="W190" i="9"/>
  <c r="U186" i="9"/>
  <c r="V186" i="9"/>
  <c r="T186" i="9"/>
  <c r="W186" i="9"/>
  <c r="U182" i="9"/>
  <c r="V182" i="9"/>
  <c r="T182" i="9"/>
  <c r="W182" i="9"/>
  <c r="U308" i="9"/>
  <c r="V308" i="9"/>
  <c r="T308" i="9"/>
  <c r="W308" i="9"/>
  <c r="U304" i="9"/>
  <c r="V304" i="9"/>
  <c r="T304" i="9"/>
  <c r="W304" i="9"/>
  <c r="U299" i="9"/>
  <c r="V299" i="9"/>
  <c r="T299" i="9"/>
  <c r="W299" i="9"/>
  <c r="U295" i="9"/>
  <c r="V295" i="9"/>
  <c r="T295" i="9"/>
  <c r="W295" i="9"/>
  <c r="V4" i="5"/>
  <c r="R300" i="9"/>
  <c r="S300" i="9"/>
  <c r="Z300" i="9"/>
  <c r="AP306" i="9"/>
  <c r="AQ306" i="9"/>
  <c r="AX306" i="9"/>
  <c r="AP196" i="9"/>
  <c r="AQ196" i="9"/>
  <c r="AX196" i="9"/>
  <c r="AP192" i="9"/>
  <c r="AQ192" i="9"/>
  <c r="AX192" i="9"/>
  <c r="AP188" i="9"/>
  <c r="AQ188" i="9"/>
  <c r="AX188" i="9"/>
  <c r="AP184" i="9"/>
  <c r="AQ184" i="9"/>
  <c r="AX184" i="9"/>
  <c r="AP296" i="9"/>
  <c r="AQ296" i="9"/>
  <c r="AX296" i="9"/>
  <c r="R70" i="9"/>
  <c r="S70" i="9"/>
  <c r="Z70" i="9"/>
  <c r="R54" i="9"/>
  <c r="S54" i="9"/>
  <c r="Z54" i="9"/>
  <c r="R33" i="9"/>
  <c r="S33" i="9"/>
  <c r="Z33" i="9"/>
  <c r="R59" i="9"/>
  <c r="S59" i="9"/>
  <c r="Z59" i="9"/>
  <c r="R32" i="9"/>
  <c r="S32" i="9"/>
  <c r="Z32" i="9"/>
  <c r="R45" i="9"/>
  <c r="S45" i="9"/>
  <c r="Z45" i="9"/>
  <c r="R28" i="9"/>
  <c r="S28" i="9"/>
  <c r="Z28" i="9"/>
  <c r="AP71" i="9"/>
  <c r="AQ71" i="9"/>
  <c r="AX71" i="9"/>
  <c r="AP63" i="9"/>
  <c r="AQ63" i="9"/>
  <c r="AX63" i="9"/>
  <c r="AP55" i="9"/>
  <c r="AQ55" i="9"/>
  <c r="AX55" i="9"/>
  <c r="AP47" i="9"/>
  <c r="AQ47" i="9"/>
  <c r="AX47" i="9"/>
  <c r="AP39" i="9"/>
  <c r="AQ39" i="9"/>
  <c r="AX39" i="9"/>
  <c r="AP31" i="9"/>
  <c r="AQ31" i="9"/>
  <c r="AX31" i="9"/>
  <c r="AP72" i="9"/>
  <c r="AQ72" i="9"/>
  <c r="AX72" i="9"/>
  <c r="AP56" i="9"/>
  <c r="AQ56" i="9"/>
  <c r="AX56" i="9"/>
  <c r="AP32" i="9"/>
  <c r="AQ32" i="9"/>
  <c r="AX32" i="9"/>
  <c r="AS65" i="9"/>
  <c r="AT65" i="9"/>
  <c r="AR65" i="9"/>
  <c r="AU65" i="9"/>
  <c r="AS33" i="9"/>
  <c r="AT33" i="9"/>
  <c r="AR33" i="9"/>
  <c r="AU33" i="9"/>
  <c r="AS64" i="9"/>
  <c r="AT64" i="9"/>
  <c r="AR64" i="9"/>
  <c r="AU64" i="9"/>
  <c r="AS48" i="9"/>
  <c r="AT48" i="9"/>
  <c r="AR48" i="9"/>
  <c r="AU48" i="9"/>
  <c r="AS40" i="9"/>
  <c r="AT40" i="9"/>
  <c r="AR40" i="9"/>
  <c r="AU40" i="9"/>
  <c r="U72" i="9"/>
  <c r="V72" i="9"/>
  <c r="T72" i="9"/>
  <c r="W72" i="9"/>
  <c r="U40" i="9"/>
  <c r="V40" i="9"/>
  <c r="T40" i="9"/>
  <c r="W40" i="9"/>
  <c r="U50" i="9"/>
  <c r="V50" i="9"/>
  <c r="T50" i="9"/>
  <c r="W50" i="9"/>
  <c r="U39" i="9"/>
  <c r="V39" i="9"/>
  <c r="T39" i="9"/>
  <c r="W39" i="9"/>
  <c r="V25" i="9"/>
  <c r="T25" i="9"/>
  <c r="W25" i="9"/>
  <c r="AS302" i="9"/>
  <c r="AT302" i="9"/>
  <c r="AR302" i="9"/>
  <c r="AU302" i="9"/>
  <c r="AS189" i="9"/>
  <c r="AT189" i="9"/>
  <c r="AR189" i="9"/>
  <c r="AU189" i="9"/>
  <c r="AS61" i="9"/>
  <c r="AT61" i="9"/>
  <c r="AR61" i="9"/>
  <c r="AU61" i="9"/>
  <c r="AS45" i="9"/>
  <c r="AT45" i="9"/>
  <c r="AR45" i="9"/>
  <c r="AU45" i="9"/>
  <c r="AS29" i="9"/>
  <c r="AT29" i="9"/>
  <c r="AR29" i="9"/>
  <c r="AU29" i="9"/>
  <c r="AS60" i="9"/>
  <c r="AT60" i="9"/>
  <c r="AR60" i="9"/>
  <c r="AU60" i="9"/>
  <c r="AS52" i="9"/>
  <c r="AT52" i="9"/>
  <c r="AR52" i="9"/>
  <c r="AU52" i="9"/>
  <c r="AS36" i="9"/>
  <c r="AT36" i="9"/>
  <c r="AR36" i="9"/>
  <c r="AU36" i="9"/>
  <c r="U69" i="9"/>
  <c r="V69" i="9"/>
  <c r="T69" i="9"/>
  <c r="W69" i="9"/>
  <c r="U47" i="9"/>
  <c r="V47" i="9"/>
  <c r="T47" i="9"/>
  <c r="W47" i="9"/>
  <c r="U62" i="9"/>
  <c r="V62" i="9"/>
  <c r="T62" i="9"/>
  <c r="W62" i="9"/>
  <c r="U48" i="9"/>
  <c r="V48" i="9"/>
  <c r="T48" i="9"/>
  <c r="W48" i="9"/>
  <c r="U51" i="9"/>
  <c r="V51" i="9"/>
  <c r="T51" i="9"/>
  <c r="W51" i="9"/>
  <c r="U31" i="9"/>
  <c r="V31" i="9"/>
  <c r="T31" i="9"/>
  <c r="W31" i="9"/>
  <c r="AS308" i="9"/>
  <c r="AT308" i="9"/>
  <c r="AR308" i="9"/>
  <c r="AU308" i="9"/>
  <c r="AS300" i="9"/>
  <c r="AT300" i="9"/>
  <c r="AR300" i="9"/>
  <c r="AU300" i="9"/>
  <c r="AS191" i="9"/>
  <c r="AT191" i="9"/>
  <c r="AR191" i="9"/>
  <c r="AU191" i="9"/>
  <c r="AS183" i="9"/>
  <c r="AT183" i="9"/>
  <c r="AR183" i="9"/>
  <c r="AU183" i="9"/>
  <c r="AS67" i="9"/>
  <c r="AT67" i="9"/>
  <c r="AR67" i="9"/>
  <c r="AU67" i="9"/>
  <c r="AS59" i="9"/>
  <c r="AT59" i="9"/>
  <c r="AR59" i="9"/>
  <c r="AU59" i="9"/>
  <c r="AS51" i="9"/>
  <c r="AT51" i="9"/>
  <c r="AR51" i="9"/>
  <c r="AU51" i="9"/>
  <c r="AS43" i="9"/>
  <c r="AT43" i="9"/>
  <c r="AR43" i="9"/>
  <c r="AU43" i="9"/>
  <c r="AS35" i="9"/>
  <c r="AT35" i="9"/>
  <c r="AR35" i="9"/>
  <c r="AU35" i="9"/>
  <c r="AS27" i="9"/>
  <c r="AT27" i="9"/>
  <c r="AR27" i="9"/>
  <c r="AU27" i="9"/>
  <c r="AS66" i="9"/>
  <c r="AT66" i="9"/>
  <c r="AR66" i="9"/>
  <c r="AU66" i="9"/>
  <c r="AS58" i="9"/>
  <c r="AT58" i="9"/>
  <c r="AR58" i="9"/>
  <c r="AU58" i="9"/>
  <c r="AS50" i="9"/>
  <c r="AT50" i="9"/>
  <c r="AR50" i="9"/>
  <c r="AU50" i="9"/>
  <c r="AS42" i="9"/>
  <c r="AT42" i="9"/>
  <c r="AR42" i="9"/>
  <c r="AU42" i="9"/>
  <c r="AS34" i="9"/>
  <c r="AT34" i="9"/>
  <c r="AR34" i="9"/>
  <c r="AU34" i="9"/>
  <c r="AS26" i="9"/>
  <c r="AT26" i="9"/>
  <c r="AR26" i="9"/>
  <c r="AU26" i="9"/>
  <c r="U67" i="9"/>
  <c r="V67" i="9"/>
  <c r="T67" i="9"/>
  <c r="W67" i="9"/>
  <c r="U66" i="9"/>
  <c r="V66" i="9"/>
  <c r="T66" i="9"/>
  <c r="W66" i="9"/>
  <c r="U46" i="9"/>
  <c r="V46" i="9"/>
  <c r="T46" i="9"/>
  <c r="W46" i="9"/>
  <c r="U42" i="9"/>
  <c r="V42" i="9"/>
  <c r="T42" i="9"/>
  <c r="W42" i="9"/>
  <c r="U60" i="9"/>
  <c r="V60" i="9"/>
  <c r="T60" i="9"/>
  <c r="W60" i="9"/>
  <c r="U52" i="9"/>
  <c r="V52" i="9"/>
  <c r="T52" i="9"/>
  <c r="W52" i="9"/>
  <c r="U38" i="9"/>
  <c r="V38" i="9"/>
  <c r="T38" i="9"/>
  <c r="W38" i="9"/>
  <c r="U57" i="9"/>
  <c r="V57" i="9"/>
  <c r="T57" i="9"/>
  <c r="W57" i="9"/>
  <c r="U41" i="9"/>
  <c r="V41" i="9"/>
  <c r="T41" i="9"/>
  <c r="W41" i="9"/>
  <c r="U34" i="9"/>
  <c r="V34" i="9"/>
  <c r="T34" i="9"/>
  <c r="W34" i="9"/>
  <c r="U30" i="9"/>
  <c r="V30" i="9"/>
  <c r="T30" i="9"/>
  <c r="W30" i="9"/>
  <c r="U26" i="9"/>
  <c r="V26" i="9"/>
  <c r="T26" i="9"/>
  <c r="W26" i="9"/>
  <c r="AS307" i="9"/>
  <c r="AT307" i="9"/>
  <c r="AR307" i="9"/>
  <c r="AU307" i="9"/>
  <c r="AS303" i="9"/>
  <c r="AT303" i="9"/>
  <c r="AR303" i="9"/>
  <c r="AU303" i="9"/>
  <c r="AS299" i="9"/>
  <c r="AT299" i="9"/>
  <c r="AR299" i="9"/>
  <c r="AU299" i="9"/>
  <c r="AS295" i="9"/>
  <c r="AT295" i="9"/>
  <c r="AR295" i="9"/>
  <c r="AU295" i="9"/>
  <c r="AS194" i="9"/>
  <c r="AT194" i="9"/>
  <c r="AR194" i="9"/>
  <c r="AU194" i="9"/>
  <c r="AS190" i="9"/>
  <c r="AT190" i="9"/>
  <c r="AR190" i="9"/>
  <c r="AU190" i="9"/>
  <c r="AS186" i="9"/>
  <c r="AT186" i="9"/>
  <c r="AR186" i="9"/>
  <c r="AU186" i="9"/>
  <c r="AS182" i="9"/>
  <c r="AT182" i="9"/>
  <c r="AR182" i="9"/>
  <c r="AU182" i="9"/>
  <c r="U193" i="9"/>
  <c r="V193" i="9"/>
  <c r="T193" i="9"/>
  <c r="W193" i="9"/>
  <c r="U189" i="9"/>
  <c r="V189" i="9"/>
  <c r="T189" i="9"/>
  <c r="W189" i="9"/>
  <c r="U185" i="9"/>
  <c r="V185" i="9"/>
  <c r="T185" i="9"/>
  <c r="W185" i="9"/>
  <c r="U181" i="9"/>
  <c r="V181" i="9"/>
  <c r="T181" i="9"/>
  <c r="W181" i="9"/>
  <c r="U307" i="9"/>
  <c r="V307" i="9"/>
  <c r="T307" i="9"/>
  <c r="W307" i="9"/>
  <c r="U303" i="9"/>
  <c r="V303" i="9"/>
  <c r="T303" i="9"/>
  <c r="W303" i="9"/>
  <c r="U298" i="9"/>
  <c r="V298" i="9"/>
  <c r="T298" i="9"/>
  <c r="W298" i="9"/>
  <c r="U294" i="9"/>
  <c r="V294" i="9"/>
  <c r="T294" i="9"/>
  <c r="W294" i="9"/>
  <c r="E93" i="3"/>
  <c r="C93" i="3"/>
  <c r="C94" i="3"/>
  <c r="R296" i="9"/>
  <c r="S296" i="9"/>
  <c r="Z296" i="9"/>
  <c r="R306" i="9"/>
  <c r="S306" i="9"/>
  <c r="Z306" i="9"/>
  <c r="R302" i="9"/>
  <c r="S302" i="9"/>
  <c r="Z302" i="9"/>
  <c r="AP309" i="9"/>
  <c r="AQ309" i="9"/>
  <c r="AX309" i="9"/>
  <c r="AP305" i="9"/>
  <c r="AQ305" i="9"/>
  <c r="AX305" i="9"/>
  <c r="AP301" i="9"/>
  <c r="AQ301" i="9"/>
  <c r="AX301" i="9"/>
  <c r="R196" i="9"/>
  <c r="S196" i="9"/>
  <c r="Z196" i="9"/>
  <c r="R194" i="9"/>
  <c r="S194" i="9"/>
  <c r="Z194" i="9"/>
  <c r="R192" i="9"/>
  <c r="S192" i="9"/>
  <c r="Z192" i="9"/>
  <c r="R190" i="9"/>
  <c r="S190" i="9"/>
  <c r="Z190" i="9"/>
  <c r="R188" i="9"/>
  <c r="S188" i="9"/>
  <c r="Z188" i="9"/>
  <c r="R186" i="9"/>
  <c r="S186" i="9"/>
  <c r="Z186" i="9"/>
  <c r="R184" i="9"/>
  <c r="S184" i="9"/>
  <c r="Z184" i="9"/>
  <c r="R71" i="9"/>
  <c r="S71" i="9"/>
  <c r="Z71" i="9"/>
  <c r="R182" i="9"/>
  <c r="S182" i="9"/>
  <c r="Z182" i="9"/>
  <c r="AP299" i="9"/>
  <c r="AQ299" i="9"/>
  <c r="AX299" i="9"/>
  <c r="AP295" i="9"/>
  <c r="AQ295" i="9"/>
  <c r="AX295" i="9"/>
  <c r="R68" i="9"/>
  <c r="S68" i="9"/>
  <c r="Z68" i="9"/>
  <c r="R60" i="9"/>
  <c r="S60" i="9"/>
  <c r="Z60" i="9"/>
  <c r="R52" i="9"/>
  <c r="S52" i="9"/>
  <c r="Z52" i="9"/>
  <c r="R30" i="9"/>
  <c r="S30" i="9"/>
  <c r="Z30" i="9"/>
  <c r="R65" i="9"/>
  <c r="S65" i="9"/>
  <c r="Z65" i="9"/>
  <c r="R57" i="9"/>
  <c r="S57" i="9"/>
  <c r="Z57" i="9"/>
  <c r="R41" i="9"/>
  <c r="S41" i="9"/>
  <c r="Z41" i="9"/>
  <c r="R49" i="9"/>
  <c r="S49" i="9"/>
  <c r="Z49" i="9"/>
  <c r="R44" i="9"/>
  <c r="S44" i="9"/>
  <c r="Z44" i="9"/>
  <c r="R35" i="9"/>
  <c r="S35" i="9"/>
  <c r="Z35" i="9"/>
  <c r="R27" i="9"/>
  <c r="S27" i="9"/>
  <c r="Z27" i="9"/>
  <c r="AP69" i="9"/>
  <c r="AQ69" i="9"/>
  <c r="AX69" i="9"/>
  <c r="AP61" i="9"/>
  <c r="AQ61" i="9"/>
  <c r="AX61" i="9"/>
  <c r="AP53" i="9"/>
  <c r="AQ53" i="9"/>
  <c r="AX53" i="9"/>
  <c r="AP45" i="9"/>
  <c r="AQ45" i="9"/>
  <c r="AX45" i="9"/>
  <c r="AP37" i="9"/>
  <c r="AQ37" i="9"/>
  <c r="AX37" i="9"/>
  <c r="AP29" i="9"/>
  <c r="AQ29" i="9"/>
  <c r="AX29" i="9"/>
  <c r="AP70" i="9"/>
  <c r="AQ70" i="9"/>
  <c r="AX70" i="9"/>
  <c r="AP62" i="9"/>
  <c r="AQ62" i="9"/>
  <c r="AX62" i="9"/>
  <c r="AP54" i="9"/>
  <c r="AQ54" i="9"/>
  <c r="AX54" i="9"/>
  <c r="AP46" i="9"/>
  <c r="AQ46" i="9"/>
  <c r="AX46" i="9"/>
  <c r="AP38" i="9"/>
  <c r="AQ38" i="9"/>
  <c r="AX38" i="9"/>
  <c r="AP30" i="9"/>
  <c r="AQ30" i="9"/>
  <c r="AX30" i="9"/>
  <c r="R16" i="5"/>
  <c r="V161" i="5"/>
  <c r="V105" i="5"/>
  <c r="V130" i="5"/>
  <c r="AR24" i="12"/>
  <c r="AL26" i="12"/>
  <c r="AU23" i="12"/>
  <c r="AX23" i="12"/>
  <c r="AV23" i="12"/>
  <c r="AW23" i="12"/>
  <c r="AS23" i="12"/>
  <c r="AT23" i="12"/>
  <c r="AA36" i="12"/>
  <c r="V57" i="5"/>
  <c r="V48" i="5"/>
  <c r="V175" i="5"/>
  <c r="V129" i="5"/>
  <c r="V56" i="5"/>
  <c r="V178" i="5"/>
  <c r="V172" i="5"/>
  <c r="V180" i="5"/>
  <c r="V154" i="5"/>
  <c r="V70" i="5"/>
  <c r="V168" i="5"/>
  <c r="V64" i="5"/>
  <c r="V5" i="5"/>
  <c r="V103" i="5"/>
  <c r="V84" i="5"/>
  <c r="V169" i="5"/>
  <c r="V135" i="5"/>
  <c r="V114" i="5"/>
  <c r="V80" i="5"/>
  <c r="V113" i="5"/>
  <c r="V37" i="5"/>
  <c r="V73" i="5"/>
  <c r="V40" i="5"/>
  <c r="V81" i="5"/>
  <c r="V137" i="5"/>
  <c r="V12" i="5"/>
  <c r="V51" i="10"/>
  <c r="V90" i="10"/>
  <c r="V98" i="5"/>
  <c r="V127" i="10"/>
  <c r="V28" i="5"/>
  <c r="V60" i="5"/>
  <c r="V89" i="5"/>
  <c r="V165" i="5"/>
  <c r="V136" i="10"/>
  <c r="V138" i="5"/>
  <c r="V45" i="5"/>
  <c r="V168" i="10"/>
  <c r="V34" i="5"/>
  <c r="V95" i="5"/>
  <c r="V176" i="5"/>
  <c r="V3" i="5"/>
  <c r="V116" i="5"/>
  <c r="V88" i="5"/>
  <c r="V67" i="5"/>
  <c r="V170" i="5"/>
  <c r="V55" i="10"/>
  <c r="V92" i="10"/>
  <c r="V148" i="10"/>
  <c r="V46" i="5"/>
  <c r="V33" i="5"/>
  <c r="V151" i="5"/>
  <c r="V143" i="10"/>
  <c r="V7" i="5"/>
  <c r="V142" i="5"/>
  <c r="V136" i="5"/>
  <c r="V110" i="5"/>
  <c r="V72" i="5"/>
  <c r="V92" i="5"/>
  <c r="V149" i="5"/>
  <c r="V31" i="10"/>
  <c r="V72" i="10"/>
  <c r="V104" i="10"/>
  <c r="V154" i="10"/>
  <c r="V123" i="5"/>
  <c r="V155" i="5"/>
  <c r="V173" i="5"/>
  <c r="V171" i="10"/>
  <c r="V148" i="5"/>
  <c r="V43" i="5"/>
  <c r="V39" i="5"/>
  <c r="V18" i="5"/>
  <c r="V117" i="5"/>
  <c r="V182" i="5"/>
  <c r="V45" i="10"/>
  <c r="V84" i="10"/>
  <c r="V122" i="10"/>
  <c r="V156" i="10"/>
  <c r="V78" i="5"/>
  <c r="V75" i="5"/>
  <c r="V127" i="5"/>
  <c r="V36" i="10"/>
  <c r="V112" i="5"/>
  <c r="V21" i="5"/>
  <c r="V10" i="5"/>
  <c r="V82" i="5"/>
  <c r="V17" i="5"/>
  <c r="AB122" i="10"/>
  <c r="U122" i="10"/>
  <c r="Z122" i="10"/>
  <c r="Y70" i="5"/>
  <c r="W70" i="5"/>
  <c r="V122" i="5"/>
  <c r="V27" i="5"/>
  <c r="V59" i="5"/>
  <c r="V150" i="5"/>
  <c r="V86" i="5"/>
  <c r="V181" i="5"/>
  <c r="V74" i="10"/>
  <c r="V138" i="10"/>
  <c r="V152" i="5"/>
  <c r="V25" i="5"/>
  <c r="V121" i="5"/>
  <c r="V29" i="10"/>
  <c r="V69" i="5"/>
  <c r="V125" i="5"/>
  <c r="V61" i="10"/>
  <c r="V106" i="10"/>
  <c r="V170" i="10"/>
  <c r="V22" i="5"/>
  <c r="V167" i="5"/>
  <c r="Y179" i="5"/>
  <c r="U179" i="5"/>
  <c r="Y61" i="5"/>
  <c r="U61" i="5"/>
  <c r="Y118" i="5"/>
  <c r="U118" i="5"/>
  <c r="Y14" i="5"/>
  <c r="W14" i="5"/>
  <c r="V95" i="10"/>
  <c r="Y111" i="5"/>
  <c r="W111" i="5"/>
  <c r="V162" i="5"/>
  <c r="V50" i="5"/>
  <c r="V71" i="5"/>
  <c r="Y165" i="5"/>
  <c r="U165" i="5"/>
  <c r="Y100" i="5"/>
  <c r="U100" i="5"/>
  <c r="Y58" i="5"/>
  <c r="U58" i="5"/>
  <c r="Y40" i="5"/>
  <c r="W40" i="5"/>
  <c r="Y45" i="5"/>
  <c r="U45" i="5"/>
  <c r="Y3" i="5"/>
  <c r="W3" i="5"/>
  <c r="V132" i="5"/>
  <c r="V44" i="5"/>
  <c r="V145" i="5"/>
  <c r="V67" i="10"/>
  <c r="AB21" i="10"/>
  <c r="Y21" i="10"/>
  <c r="V120" i="10"/>
  <c r="Y150" i="5"/>
  <c r="U150" i="5"/>
  <c r="Y143" i="5"/>
  <c r="U143" i="5"/>
  <c r="Y26" i="5"/>
  <c r="W26" i="5"/>
  <c r="Y93" i="5"/>
  <c r="W93" i="5"/>
  <c r="Y29" i="5"/>
  <c r="U29" i="5"/>
  <c r="AB48" i="10"/>
  <c r="U48" i="10"/>
  <c r="Z48" i="10"/>
  <c r="AB161" i="10"/>
  <c r="Y161" i="10"/>
  <c r="V155" i="10"/>
  <c r="Y174" i="5"/>
  <c r="U174" i="5"/>
  <c r="Y134" i="5"/>
  <c r="W134" i="5"/>
  <c r="Y127" i="5"/>
  <c r="U127" i="5"/>
  <c r="Y86" i="5"/>
  <c r="U86" i="5"/>
  <c r="Y77" i="5"/>
  <c r="U77" i="5"/>
  <c r="Y19" i="5"/>
  <c r="U19" i="5"/>
  <c r="V53" i="5"/>
  <c r="AB90" i="10"/>
  <c r="U90" i="10"/>
  <c r="Z90" i="10"/>
  <c r="AB150" i="10"/>
  <c r="U150" i="10"/>
  <c r="Z150" i="10"/>
  <c r="AB114" i="10"/>
  <c r="U114" i="10"/>
  <c r="Z114" i="10"/>
  <c r="AB32" i="10"/>
  <c r="U32" i="10"/>
  <c r="Z32" i="10"/>
  <c r="AB37" i="10"/>
  <c r="U37" i="10"/>
  <c r="Z37" i="10"/>
  <c r="V98" i="10"/>
  <c r="V102" i="5"/>
  <c r="V30" i="5"/>
  <c r="V62" i="5"/>
  <c r="V41" i="5"/>
  <c r="V107" i="5"/>
  <c r="V159" i="5"/>
  <c r="V119" i="10"/>
  <c r="Y172" i="5"/>
  <c r="W172" i="5"/>
  <c r="Y177" i="5"/>
  <c r="U177" i="5"/>
  <c r="Y164" i="5"/>
  <c r="W164" i="5"/>
  <c r="Y148" i="5"/>
  <c r="W148" i="5"/>
  <c r="Y132" i="5"/>
  <c r="U132" i="5"/>
  <c r="Y116" i="5"/>
  <c r="U116" i="5"/>
  <c r="Y157" i="5"/>
  <c r="W157" i="5"/>
  <c r="Y141" i="5"/>
  <c r="W141" i="5"/>
  <c r="Y125" i="5"/>
  <c r="W125" i="5"/>
  <c r="Y109" i="5"/>
  <c r="U109" i="5"/>
  <c r="Y54" i="5"/>
  <c r="W54" i="5"/>
  <c r="Y24" i="5"/>
  <c r="W24" i="5"/>
  <c r="Y84" i="5"/>
  <c r="U84" i="5"/>
  <c r="Y69" i="5"/>
  <c r="W69" i="5"/>
  <c r="Y36" i="5"/>
  <c r="W36" i="5"/>
  <c r="Y91" i="5"/>
  <c r="W91" i="5"/>
  <c r="Y75" i="5"/>
  <c r="W75" i="5"/>
  <c r="Y59" i="5"/>
  <c r="U59" i="5"/>
  <c r="Y43" i="5"/>
  <c r="W43" i="5"/>
  <c r="Y27" i="5"/>
  <c r="W27" i="5"/>
  <c r="Y18" i="5"/>
  <c r="U18" i="5"/>
  <c r="Y13" i="5"/>
  <c r="U13" i="5"/>
  <c r="V32" i="5"/>
  <c r="V76" i="5"/>
  <c r="V85" i="5"/>
  <c r="V133" i="5"/>
  <c r="V153" i="5"/>
  <c r="V160" i="5"/>
  <c r="AB171" i="10"/>
  <c r="U171" i="10"/>
  <c r="Z171" i="10"/>
  <c r="AB145" i="10"/>
  <c r="Y145" i="10"/>
  <c r="AB106" i="10"/>
  <c r="Y106" i="10"/>
  <c r="AB84" i="10"/>
  <c r="Y84" i="10"/>
  <c r="AB18" i="10"/>
  <c r="U18" i="10"/>
  <c r="Z18" i="10"/>
  <c r="V124" i="10"/>
  <c r="V180" i="10"/>
  <c r="V94" i="5"/>
  <c r="V91" i="5"/>
  <c r="V119" i="5"/>
  <c r="V139" i="5"/>
  <c r="V179" i="10"/>
  <c r="Y182" i="5"/>
  <c r="U182" i="5"/>
  <c r="Y169" i="5"/>
  <c r="U169" i="5"/>
  <c r="Y171" i="5"/>
  <c r="U171" i="5"/>
  <c r="Y158" i="5"/>
  <c r="U158" i="5"/>
  <c r="Y142" i="5"/>
  <c r="W142" i="5"/>
  <c r="Y126" i="5"/>
  <c r="U126" i="5"/>
  <c r="Y110" i="5"/>
  <c r="W110" i="5"/>
  <c r="Y151" i="5"/>
  <c r="U151" i="5"/>
  <c r="Y135" i="5"/>
  <c r="U135" i="5"/>
  <c r="Y119" i="5"/>
  <c r="U119" i="5"/>
  <c r="Y103" i="5"/>
  <c r="W103" i="5"/>
  <c r="Y42" i="5"/>
  <c r="U42" i="5"/>
  <c r="Y94" i="5"/>
  <c r="U94" i="5"/>
  <c r="Y78" i="5"/>
  <c r="U78" i="5"/>
  <c r="Y56" i="5"/>
  <c r="U56" i="5"/>
  <c r="Y101" i="5"/>
  <c r="U101" i="5"/>
  <c r="Y85" i="5"/>
  <c r="U85" i="5"/>
  <c r="Y68" i="5"/>
  <c r="U68" i="5"/>
  <c r="Y53" i="5"/>
  <c r="U53" i="5"/>
  <c r="Y37" i="5"/>
  <c r="W37" i="5"/>
  <c r="Y21" i="5"/>
  <c r="W21" i="5"/>
  <c r="R15" i="5"/>
  <c r="Y4" i="5"/>
  <c r="U4" i="5"/>
  <c r="V171" i="5"/>
  <c r="V35" i="10"/>
  <c r="AB166" i="10"/>
  <c r="Y166" i="10"/>
  <c r="AB138" i="10"/>
  <c r="U138" i="10"/>
  <c r="Z138" i="10"/>
  <c r="AB64" i="10"/>
  <c r="Y64" i="10"/>
  <c r="AB76" i="10"/>
  <c r="U76" i="10"/>
  <c r="Z76" i="10"/>
  <c r="AB3" i="10"/>
  <c r="Y3" i="10"/>
  <c r="V13" i="5"/>
  <c r="V65" i="5"/>
  <c r="V181" i="10"/>
  <c r="Y180" i="5"/>
  <c r="U180" i="5"/>
  <c r="Y168" i="5"/>
  <c r="U168" i="5"/>
  <c r="Y167" i="5"/>
  <c r="W167" i="5"/>
  <c r="Y156" i="5"/>
  <c r="U156" i="5"/>
  <c r="Y140" i="5"/>
  <c r="U140" i="5"/>
  <c r="Y124" i="5"/>
  <c r="U124" i="5"/>
  <c r="Y108" i="5"/>
  <c r="W108" i="5"/>
  <c r="Y149" i="5"/>
  <c r="U149" i="5"/>
  <c r="Y133" i="5"/>
  <c r="U133" i="5"/>
  <c r="Y117" i="5"/>
  <c r="U117" i="5"/>
  <c r="Y102" i="5"/>
  <c r="W102" i="5"/>
  <c r="Y38" i="5"/>
  <c r="W38" i="5"/>
  <c r="Y92" i="5"/>
  <c r="U92" i="5"/>
  <c r="Y76" i="5"/>
  <c r="U76" i="5"/>
  <c r="Y52" i="5"/>
  <c r="W52" i="5"/>
  <c r="Y99" i="5"/>
  <c r="U99" i="5"/>
  <c r="Y83" i="5"/>
  <c r="U83" i="5"/>
  <c r="Y67" i="5"/>
  <c r="U67" i="5"/>
  <c r="Y51" i="5"/>
  <c r="W51" i="5"/>
  <c r="Y35" i="5"/>
  <c r="U35" i="5"/>
  <c r="Y22" i="5"/>
  <c r="U22" i="5"/>
  <c r="Y12" i="5"/>
  <c r="U12" i="5"/>
  <c r="Y7" i="5"/>
  <c r="W7" i="5"/>
  <c r="V21" i="10"/>
  <c r="AD21" i="10"/>
  <c r="AF192" i="10"/>
  <c r="AF193" i="10"/>
  <c r="AG195" i="10"/>
  <c r="BO12" i="9"/>
  <c r="BP12" i="9"/>
  <c r="V74" i="5"/>
  <c r="V55" i="5"/>
  <c r="V36" i="5"/>
  <c r="V49" i="5"/>
  <c r="V164" i="5"/>
  <c r="V156" i="5"/>
  <c r="V31" i="5"/>
  <c r="V24" i="5"/>
  <c r="V96" i="5"/>
  <c r="V63" i="10"/>
  <c r="AB177" i="10"/>
  <c r="U177" i="10"/>
  <c r="Z177" i="10"/>
  <c r="AB155" i="10"/>
  <c r="U155" i="10"/>
  <c r="Z155" i="10"/>
  <c r="AB130" i="10"/>
  <c r="Y130" i="10"/>
  <c r="AB98" i="10"/>
  <c r="U98" i="10"/>
  <c r="Z98" i="10"/>
  <c r="R14" i="10"/>
  <c r="V116" i="10"/>
  <c r="V9" i="5"/>
  <c r="V54" i="5"/>
  <c r="V79" i="5"/>
  <c r="V143" i="5"/>
  <c r="V163" i="5"/>
  <c r="V60" i="10"/>
  <c r="V173" i="10"/>
  <c r="Y178" i="5"/>
  <c r="U178" i="5"/>
  <c r="Y170" i="5"/>
  <c r="U170" i="5"/>
  <c r="Y161" i="5"/>
  <c r="U161" i="5"/>
  <c r="Y175" i="5"/>
  <c r="W175" i="5"/>
  <c r="Y166" i="5"/>
  <c r="W166" i="5"/>
  <c r="Y162" i="5"/>
  <c r="W162" i="5"/>
  <c r="Y154" i="5"/>
  <c r="U154" i="5"/>
  <c r="Y146" i="5"/>
  <c r="U146" i="5"/>
  <c r="Y138" i="5"/>
  <c r="U138" i="5"/>
  <c r="Y130" i="5"/>
  <c r="U130" i="5"/>
  <c r="Y122" i="5"/>
  <c r="U122" i="5"/>
  <c r="Y114" i="5"/>
  <c r="U114" i="5"/>
  <c r="Y106" i="5"/>
  <c r="W106" i="5"/>
  <c r="Y155" i="5"/>
  <c r="W155" i="5"/>
  <c r="Y147" i="5"/>
  <c r="U147" i="5"/>
  <c r="Y139" i="5"/>
  <c r="U139" i="5"/>
  <c r="Y131" i="5"/>
  <c r="U131" i="5"/>
  <c r="Y123" i="5"/>
  <c r="U123" i="5"/>
  <c r="Y115" i="5"/>
  <c r="U115" i="5"/>
  <c r="Y107" i="5"/>
  <c r="W107" i="5"/>
  <c r="Y66" i="5"/>
  <c r="W66" i="5"/>
  <c r="Y50" i="5"/>
  <c r="W50" i="5"/>
  <c r="Y34" i="5"/>
  <c r="U34" i="5"/>
  <c r="Y98" i="5"/>
  <c r="U98" i="5"/>
  <c r="Y90" i="5"/>
  <c r="W90" i="5"/>
  <c r="Y82" i="5"/>
  <c r="U82" i="5"/>
  <c r="Y74" i="5"/>
  <c r="U74" i="5"/>
  <c r="Y64" i="5"/>
  <c r="U64" i="5"/>
  <c r="Y48" i="5"/>
  <c r="U48" i="5"/>
  <c r="Y32" i="5"/>
  <c r="W32" i="5"/>
  <c r="Y97" i="5"/>
  <c r="U97" i="5"/>
  <c r="Y89" i="5"/>
  <c r="U89" i="5"/>
  <c r="Y81" i="5"/>
  <c r="W81" i="5"/>
  <c r="Y73" i="5"/>
  <c r="U73" i="5"/>
  <c r="Y65" i="5"/>
  <c r="U65" i="5"/>
  <c r="Y57" i="5"/>
  <c r="W57" i="5"/>
  <c r="Y49" i="5"/>
  <c r="U49" i="5"/>
  <c r="Y41" i="5"/>
  <c r="W41" i="5"/>
  <c r="Y33" i="5"/>
  <c r="U33" i="5"/>
  <c r="Y25" i="5"/>
  <c r="U25" i="5"/>
  <c r="Y20" i="5"/>
  <c r="U20" i="5"/>
  <c r="Y11" i="5"/>
  <c r="U11" i="5"/>
  <c r="Y9" i="5"/>
  <c r="U9" i="5"/>
  <c r="Y10" i="5"/>
  <c r="U10" i="5"/>
  <c r="Y8" i="5"/>
  <c r="W8" i="5"/>
  <c r="V11" i="5"/>
  <c r="V124" i="5"/>
  <c r="V144" i="5"/>
  <c r="V166" i="5"/>
  <c r="V106" i="5"/>
  <c r="V101" i="5"/>
  <c r="V15" i="10"/>
  <c r="AD15" i="10"/>
  <c r="AF132" i="10"/>
  <c r="AG134" i="10"/>
  <c r="V35" i="5"/>
  <c r="V47" i="5"/>
  <c r="V39" i="10"/>
  <c r="V100" i="5"/>
  <c r="V61" i="5"/>
  <c r="V77" i="5"/>
  <c r="V97" i="5"/>
  <c r="V157" i="5"/>
  <c r="V65" i="10"/>
  <c r="V42" i="5"/>
  <c r="V83" i="5"/>
  <c r="V131" i="5"/>
  <c r="V177" i="5"/>
  <c r="V68" i="10"/>
  <c r="V177" i="10"/>
  <c r="Y176" i="5"/>
  <c r="U176" i="5"/>
  <c r="Y159" i="5"/>
  <c r="U159" i="5"/>
  <c r="Y181" i="5"/>
  <c r="W181" i="5"/>
  <c r="Y173" i="5"/>
  <c r="W173" i="5"/>
  <c r="Y163" i="5"/>
  <c r="W163" i="5"/>
  <c r="Y160" i="5"/>
  <c r="W160" i="5"/>
  <c r="Y152" i="5"/>
  <c r="U152" i="5"/>
  <c r="Y144" i="5"/>
  <c r="W144" i="5"/>
  <c r="Y136" i="5"/>
  <c r="U136" i="5"/>
  <c r="Y128" i="5"/>
  <c r="U128" i="5"/>
  <c r="Y120" i="5"/>
  <c r="U120" i="5"/>
  <c r="Y112" i="5"/>
  <c r="W112" i="5"/>
  <c r="Y104" i="5"/>
  <c r="W104" i="5"/>
  <c r="Y153" i="5"/>
  <c r="U153" i="5"/>
  <c r="Y145" i="5"/>
  <c r="U145" i="5"/>
  <c r="Y137" i="5"/>
  <c r="W137" i="5"/>
  <c r="Y129" i="5"/>
  <c r="U129" i="5"/>
  <c r="Y121" i="5"/>
  <c r="U121" i="5"/>
  <c r="Y113" i="5"/>
  <c r="W113" i="5"/>
  <c r="Y105" i="5"/>
  <c r="W105" i="5"/>
  <c r="Y62" i="5"/>
  <c r="U62" i="5"/>
  <c r="Y46" i="5"/>
  <c r="W46" i="5"/>
  <c r="Y30" i="5"/>
  <c r="U30" i="5"/>
  <c r="Y96" i="5"/>
  <c r="W96" i="5"/>
  <c r="Y88" i="5"/>
  <c r="W88" i="5"/>
  <c r="Y80" i="5"/>
  <c r="U80" i="5"/>
  <c r="Y72" i="5"/>
  <c r="U72" i="5"/>
  <c r="Y60" i="5"/>
  <c r="W60" i="5"/>
  <c r="Y44" i="5"/>
  <c r="U44" i="5"/>
  <c r="Y28" i="5"/>
  <c r="U28" i="5"/>
  <c r="Y95" i="5"/>
  <c r="U95" i="5"/>
  <c r="Y87" i="5"/>
  <c r="W87" i="5"/>
  <c r="Y79" i="5"/>
  <c r="U79" i="5"/>
  <c r="Y71" i="5"/>
  <c r="U71" i="5"/>
  <c r="Y63" i="5"/>
  <c r="W63" i="5"/>
  <c r="Y55" i="5"/>
  <c r="W55" i="5"/>
  <c r="Y47" i="5"/>
  <c r="W47" i="5"/>
  <c r="Y39" i="5"/>
  <c r="W39" i="5"/>
  <c r="Y31" i="5"/>
  <c r="U31" i="5"/>
  <c r="Y23" i="5"/>
  <c r="W23" i="5"/>
  <c r="Y16" i="5"/>
  <c r="U16" i="5"/>
  <c r="Y17" i="5"/>
  <c r="U17" i="5"/>
  <c r="Y15" i="5"/>
  <c r="W15" i="5"/>
  <c r="Y6" i="5"/>
  <c r="W6" i="5"/>
  <c r="Y5" i="5"/>
  <c r="W5" i="5"/>
  <c r="V19" i="5"/>
  <c r="V126" i="5"/>
  <c r="V146" i="5"/>
  <c r="V104" i="5"/>
  <c r="V128" i="5"/>
  <c r="V118" i="5"/>
  <c r="V19" i="10"/>
  <c r="AD19" i="10"/>
  <c r="AF172" i="10"/>
  <c r="AF174" i="10"/>
  <c r="V158" i="5"/>
  <c r="D24" i="13"/>
  <c r="L23" i="13"/>
  <c r="V109" i="5"/>
  <c r="V179" i="5"/>
  <c r="V38" i="5"/>
  <c r="V90" i="5"/>
  <c r="V87" i="5"/>
  <c r="V8" i="5"/>
  <c r="V15" i="5"/>
  <c r="V20" i="5"/>
  <c r="V52" i="5"/>
  <c r="V25" i="10"/>
  <c r="V26" i="5"/>
  <c r="V58" i="5"/>
  <c r="V111" i="5"/>
  <c r="V134" i="5"/>
  <c r="V120" i="5"/>
  <c r="V16" i="5"/>
  <c r="V51" i="5"/>
  <c r="V29" i="5"/>
  <c r="V93" i="5"/>
  <c r="V141" i="5"/>
  <c r="V99" i="5"/>
  <c r="V174" i="5"/>
  <c r="V115" i="5"/>
  <c r="V147" i="5"/>
  <c r="V68" i="5"/>
  <c r="V108" i="5"/>
  <c r="V140" i="5"/>
  <c r="V66" i="5"/>
  <c r="V63" i="5"/>
  <c r="V76" i="10"/>
  <c r="V172" i="10"/>
  <c r="V59" i="10"/>
  <c r="V164" i="10"/>
  <c r="V174" i="10"/>
  <c r="V14" i="5"/>
  <c r="V6" i="5"/>
  <c r="V33" i="10"/>
  <c r="V47" i="10"/>
  <c r="V80" i="10"/>
  <c r="V94" i="10"/>
  <c r="V112" i="10"/>
  <c r="V27" i="10"/>
  <c r="V126" i="10"/>
  <c r="V140" i="10"/>
  <c r="V160" i="10"/>
  <c r="V43" i="10"/>
  <c r="V128" i="10"/>
  <c r="V96" i="10"/>
  <c r="V11" i="10"/>
  <c r="AD11" i="10"/>
  <c r="AF92" i="10"/>
  <c r="AF94" i="10"/>
  <c r="V10" i="10"/>
  <c r="AD10" i="10"/>
  <c r="AF82" i="10"/>
  <c r="AF84" i="10"/>
  <c r="V163" i="10"/>
  <c r="V2" i="10"/>
  <c r="AD2" i="10"/>
  <c r="AF2" i="10"/>
  <c r="AF4" i="10"/>
  <c r="V18" i="10"/>
  <c r="AD18" i="10"/>
  <c r="AF162" i="10"/>
  <c r="AF163" i="10"/>
  <c r="AF165" i="10"/>
  <c r="V71" i="10"/>
  <c r="V131" i="10"/>
  <c r="BH14" i="9"/>
  <c r="BI13" i="9"/>
  <c r="BJ13" i="9"/>
  <c r="BM13" i="9"/>
  <c r="BN13" i="9"/>
  <c r="V49" i="10"/>
  <c r="V108" i="10"/>
  <c r="V142" i="10"/>
  <c r="V176" i="10"/>
  <c r="V9" i="10"/>
  <c r="AD9" i="10"/>
  <c r="AF72" i="10"/>
  <c r="AF73" i="10"/>
  <c r="V78" i="10"/>
  <c r="V100" i="10"/>
  <c r="V110" i="10"/>
  <c r="V144" i="10"/>
  <c r="V158" i="10"/>
  <c r="V103" i="10"/>
  <c r="V101" i="10"/>
  <c r="V66" i="10"/>
  <c r="V85" i="10"/>
  <c r="V149" i="10"/>
  <c r="V111" i="10"/>
  <c r="V52" i="10"/>
  <c r="V56" i="10"/>
  <c r="V38" i="10"/>
  <c r="V121" i="10"/>
  <c r="V89" i="10"/>
  <c r="V105" i="10"/>
  <c r="V44" i="10"/>
  <c r="V147" i="10"/>
  <c r="V24" i="10"/>
  <c r="V83" i="10"/>
  <c r="V115" i="10"/>
  <c r="V167" i="10"/>
  <c r="V175" i="10"/>
  <c r="V54" i="10"/>
  <c r="V137" i="10"/>
  <c r="V153" i="10"/>
  <c r="V169" i="10"/>
  <c r="V73" i="10"/>
  <c r="V20" i="10"/>
  <c r="AD20" i="10"/>
  <c r="AF182" i="10"/>
  <c r="AF184" i="10"/>
  <c r="Y23" i="12"/>
  <c r="V50" i="10"/>
  <c r="V69" i="10"/>
  <c r="V107" i="10"/>
  <c r="V133" i="10"/>
  <c r="AA206" i="12"/>
  <c r="Y28" i="12"/>
  <c r="V28" i="10"/>
  <c r="V87" i="10"/>
  <c r="V139" i="10"/>
  <c r="V151" i="10"/>
  <c r="V165" i="10"/>
  <c r="V5" i="10"/>
  <c r="AD5" i="10"/>
  <c r="V34" i="10"/>
  <c r="V48" i="10"/>
  <c r="V75" i="10"/>
  <c r="V117" i="10"/>
  <c r="V17" i="10"/>
  <c r="AD17" i="10"/>
  <c r="AF152" i="10"/>
  <c r="AF154" i="10"/>
  <c r="V7" i="10"/>
  <c r="AD7" i="10"/>
  <c r="AF52" i="10"/>
  <c r="AG54" i="10"/>
  <c r="V99" i="10"/>
  <c r="V57" i="10"/>
  <c r="V13" i="10"/>
  <c r="AD13" i="10"/>
  <c r="AF112" i="10"/>
  <c r="AF113" i="10"/>
  <c r="V132" i="10"/>
  <c r="V4" i="10"/>
  <c r="AD4" i="10"/>
  <c r="V41" i="10"/>
  <c r="V40" i="10"/>
  <c r="V23" i="10"/>
  <c r="AD23" i="10"/>
  <c r="AD247" i="10"/>
  <c r="AD249" i="10"/>
  <c r="V135" i="10"/>
  <c r="V14" i="10"/>
  <c r="AD14" i="10"/>
  <c r="AF122" i="10"/>
  <c r="AF123" i="10"/>
  <c r="AG125" i="10"/>
  <c r="V79" i="10"/>
  <c r="V159" i="10"/>
  <c r="R15" i="10"/>
  <c r="AB22" i="10"/>
  <c r="U22" i="10"/>
  <c r="Z22" i="10"/>
  <c r="AB2" i="10"/>
  <c r="U2" i="10"/>
  <c r="Z2" i="10"/>
  <c r="AB11" i="10"/>
  <c r="Y11" i="10"/>
  <c r="AB25" i="10"/>
  <c r="U25" i="10"/>
  <c r="Z25" i="10"/>
  <c r="AB33" i="10"/>
  <c r="U33" i="10"/>
  <c r="Z33" i="10"/>
  <c r="AB41" i="10"/>
  <c r="U41" i="10"/>
  <c r="Z41" i="10"/>
  <c r="AB49" i="10"/>
  <c r="U49" i="10"/>
  <c r="Z49" i="10"/>
  <c r="AB57" i="10"/>
  <c r="U57" i="10"/>
  <c r="Z57" i="10"/>
  <c r="AB65" i="10"/>
  <c r="Y65" i="10"/>
  <c r="AB70" i="10"/>
  <c r="U70" i="10"/>
  <c r="Z70" i="10"/>
  <c r="AB74" i="10"/>
  <c r="U74" i="10"/>
  <c r="Z74" i="10"/>
  <c r="AB78" i="10"/>
  <c r="U78" i="10"/>
  <c r="Z78" i="10"/>
  <c r="AB82" i="10"/>
  <c r="U82" i="10"/>
  <c r="Z82" i="10"/>
  <c r="AB86" i="10"/>
  <c r="U86" i="10"/>
  <c r="Z86" i="10"/>
  <c r="AB9" i="10"/>
  <c r="Y9" i="10"/>
  <c r="AB17" i="10"/>
  <c r="Y17" i="10"/>
  <c r="AB28" i="10"/>
  <c r="U28" i="10"/>
  <c r="Z28" i="10"/>
  <c r="AB36" i="10"/>
  <c r="Y36" i="10"/>
  <c r="AB44" i="10"/>
  <c r="Y44" i="10"/>
  <c r="AB52" i="10"/>
  <c r="U52" i="10"/>
  <c r="Z52" i="10"/>
  <c r="AB60" i="10"/>
  <c r="U60" i="10"/>
  <c r="Z60" i="10"/>
  <c r="AB68" i="10"/>
  <c r="U68" i="10"/>
  <c r="Z68" i="10"/>
  <c r="AB94" i="10"/>
  <c r="Y94" i="10"/>
  <c r="AB100" i="10"/>
  <c r="U100" i="10"/>
  <c r="Z100" i="10"/>
  <c r="AB104" i="10"/>
  <c r="Y104" i="10"/>
  <c r="AB108" i="10"/>
  <c r="U108" i="10"/>
  <c r="Z108" i="10"/>
  <c r="AB112" i="10"/>
  <c r="Y112" i="10"/>
  <c r="AB116" i="10"/>
  <c r="U116" i="10"/>
  <c r="Z116" i="10"/>
  <c r="AB120" i="10"/>
  <c r="U120" i="10"/>
  <c r="Z120" i="10"/>
  <c r="AB124" i="10"/>
  <c r="U124" i="10"/>
  <c r="Z124" i="10"/>
  <c r="AB128" i="10"/>
  <c r="Y128" i="10"/>
  <c r="AB132" i="10"/>
  <c r="U132" i="10"/>
  <c r="Z132" i="10"/>
  <c r="AB136" i="10"/>
  <c r="U136" i="10"/>
  <c r="Z136" i="10"/>
  <c r="AB140" i="10"/>
  <c r="Y140" i="10"/>
  <c r="AB144" i="10"/>
  <c r="Y144" i="10"/>
  <c r="AB148" i="10"/>
  <c r="U148" i="10"/>
  <c r="Z148" i="10"/>
  <c r="AB152" i="10"/>
  <c r="U152" i="10"/>
  <c r="Z152" i="10"/>
  <c r="AB156" i="10"/>
  <c r="U156" i="10"/>
  <c r="Z156" i="10"/>
  <c r="AB160" i="10"/>
  <c r="Y160" i="10"/>
  <c r="AB164" i="10"/>
  <c r="U164" i="10"/>
  <c r="Z164" i="10"/>
  <c r="AB168" i="10"/>
  <c r="U168" i="10"/>
  <c r="Z168" i="10"/>
  <c r="AB172" i="10"/>
  <c r="U172" i="10"/>
  <c r="Z172" i="10"/>
  <c r="AB176" i="10"/>
  <c r="Y176" i="10"/>
  <c r="AB180" i="10"/>
  <c r="U180" i="10"/>
  <c r="Z180" i="10"/>
  <c r="AB93" i="10"/>
  <c r="U93" i="10"/>
  <c r="Z93" i="10"/>
  <c r="AB4" i="10"/>
  <c r="U4" i="10"/>
  <c r="Z4" i="10"/>
  <c r="AB7" i="10"/>
  <c r="Y7" i="10"/>
  <c r="AB16" i="10"/>
  <c r="Y16" i="10"/>
  <c r="AB27" i="10"/>
  <c r="Y27" i="10"/>
  <c r="AB35" i="10"/>
  <c r="U35" i="10"/>
  <c r="Z35" i="10"/>
  <c r="AB43" i="10"/>
  <c r="U43" i="10"/>
  <c r="Z43" i="10"/>
  <c r="AB51" i="10"/>
  <c r="Y51" i="10"/>
  <c r="AB59" i="10"/>
  <c r="U59" i="10"/>
  <c r="Z59" i="10"/>
  <c r="AB67" i="10"/>
  <c r="U67" i="10"/>
  <c r="Z67" i="10"/>
  <c r="AB71" i="10"/>
  <c r="Y71" i="10"/>
  <c r="AB75" i="10"/>
  <c r="Y75" i="10"/>
  <c r="AB79" i="10"/>
  <c r="U79" i="10"/>
  <c r="Z79" i="10"/>
  <c r="AB83" i="10"/>
  <c r="U83" i="10"/>
  <c r="Z83" i="10"/>
  <c r="AB87" i="10"/>
  <c r="Y87" i="10"/>
  <c r="AB12" i="10"/>
  <c r="U12" i="10"/>
  <c r="Z12" i="10"/>
  <c r="AB23" i="10"/>
  <c r="U23" i="10"/>
  <c r="Z23" i="10"/>
  <c r="AB30" i="10"/>
  <c r="U30" i="10"/>
  <c r="Z30" i="10"/>
  <c r="AB38" i="10"/>
  <c r="U38" i="10"/>
  <c r="Z38" i="10"/>
  <c r="AB46" i="10"/>
  <c r="U46" i="10"/>
  <c r="Z46" i="10"/>
  <c r="AB54" i="10"/>
  <c r="Y54" i="10"/>
  <c r="AB62" i="10"/>
  <c r="U62" i="10"/>
  <c r="Z62" i="10"/>
  <c r="AB14" i="10"/>
  <c r="U14" i="10"/>
  <c r="Z14" i="10"/>
  <c r="AB96" i="10"/>
  <c r="U96" i="10"/>
  <c r="Z96" i="10"/>
  <c r="AB101" i="10"/>
  <c r="U101" i="10"/>
  <c r="Z101" i="10"/>
  <c r="AB105" i="10"/>
  <c r="U105" i="10"/>
  <c r="Z105" i="10"/>
  <c r="AB109" i="10"/>
  <c r="Y109" i="10"/>
  <c r="AB113" i="10"/>
  <c r="U113" i="10"/>
  <c r="Z113" i="10"/>
  <c r="AB117" i="10"/>
  <c r="Y117" i="10"/>
  <c r="AB121" i="10"/>
  <c r="U121" i="10"/>
  <c r="Z121" i="10"/>
  <c r="AB125" i="10"/>
  <c r="U125" i="10"/>
  <c r="Z125" i="10"/>
  <c r="AB129" i="10"/>
  <c r="U129" i="10"/>
  <c r="Z129" i="10"/>
  <c r="AB133" i="10"/>
  <c r="U133" i="10"/>
  <c r="Z133" i="10"/>
  <c r="AB137" i="10"/>
  <c r="U137" i="10"/>
  <c r="Z137" i="10"/>
  <c r="AB141" i="10"/>
  <c r="U141" i="10"/>
  <c r="Z141" i="10"/>
  <c r="T109" i="10"/>
  <c r="W109" i="10"/>
  <c r="V109" i="10"/>
  <c r="T42" i="10"/>
  <c r="W42" i="10"/>
  <c r="V42" i="10"/>
  <c r="T130" i="10"/>
  <c r="W130" i="10"/>
  <c r="V130" i="10"/>
  <c r="T178" i="10"/>
  <c r="W178" i="10"/>
  <c r="V178" i="10"/>
  <c r="AB97" i="10"/>
  <c r="U97" i="10"/>
  <c r="Z97" i="10"/>
  <c r="AB165" i="10"/>
  <c r="Y165" i="10"/>
  <c r="AB143" i="10"/>
  <c r="U143" i="10"/>
  <c r="Z143" i="10"/>
  <c r="AB111" i="10"/>
  <c r="U111" i="10"/>
  <c r="Z111" i="10"/>
  <c r="AB26" i="10"/>
  <c r="U26" i="10"/>
  <c r="Z26" i="10"/>
  <c r="AB63" i="10"/>
  <c r="Y63" i="10"/>
  <c r="AB8" i="10"/>
  <c r="Y8" i="10"/>
  <c r="V162" i="10"/>
  <c r="V3" i="10"/>
  <c r="AD3" i="10"/>
  <c r="AF12" i="10"/>
  <c r="AG14" i="10"/>
  <c r="T114" i="10"/>
  <c r="W114" i="10"/>
  <c r="V114" i="10"/>
  <c r="T64" i="10"/>
  <c r="W64" i="10"/>
  <c r="V64" i="10"/>
  <c r="T88" i="10"/>
  <c r="W88" i="10"/>
  <c r="V88" i="10"/>
  <c r="T152" i="10"/>
  <c r="W152" i="10"/>
  <c r="V152" i="10"/>
  <c r="T91" i="10"/>
  <c r="W91" i="10"/>
  <c r="V91" i="10"/>
  <c r="V37" i="10"/>
  <c r="V53" i="10"/>
  <c r="AB181" i="10"/>
  <c r="Y181" i="10"/>
  <c r="AB170" i="10"/>
  <c r="Y170" i="10"/>
  <c r="AB154" i="10"/>
  <c r="U154" i="10"/>
  <c r="Z154" i="10"/>
  <c r="AB135" i="10"/>
  <c r="U135" i="10"/>
  <c r="Z135" i="10"/>
  <c r="AB119" i="10"/>
  <c r="U119" i="10"/>
  <c r="Z119" i="10"/>
  <c r="AB92" i="10"/>
  <c r="U92" i="10"/>
  <c r="Z92" i="10"/>
  <c r="AB42" i="10"/>
  <c r="Y42" i="10"/>
  <c r="AB81" i="10"/>
  <c r="U81" i="10"/>
  <c r="Z81" i="10"/>
  <c r="AB47" i="10"/>
  <c r="U47" i="10"/>
  <c r="Z47" i="10"/>
  <c r="AB10" i="10"/>
  <c r="U10" i="10"/>
  <c r="Z10" i="10"/>
  <c r="AB179" i="10"/>
  <c r="Y179" i="10"/>
  <c r="AB169" i="10"/>
  <c r="Y169" i="10"/>
  <c r="AB158" i="10"/>
  <c r="Y158" i="10"/>
  <c r="AB147" i="10"/>
  <c r="U147" i="10"/>
  <c r="Z147" i="10"/>
  <c r="AB134" i="10"/>
  <c r="U134" i="10"/>
  <c r="Z134" i="10"/>
  <c r="AB118" i="10"/>
  <c r="U118" i="10"/>
  <c r="Z118" i="10"/>
  <c r="AB102" i="10"/>
  <c r="U102" i="10"/>
  <c r="Z102" i="10"/>
  <c r="AB56" i="10"/>
  <c r="Y56" i="10"/>
  <c r="AB24" i="10"/>
  <c r="U24" i="10"/>
  <c r="Z24" i="10"/>
  <c r="AB80" i="10"/>
  <c r="U80" i="10"/>
  <c r="Z80" i="10"/>
  <c r="AB61" i="10"/>
  <c r="Y61" i="10"/>
  <c r="AB29" i="10"/>
  <c r="Y29" i="10"/>
  <c r="V82" i="10"/>
  <c r="T77" i="10"/>
  <c r="W77" i="10"/>
  <c r="V77" i="10"/>
  <c r="T125" i="10"/>
  <c r="W125" i="10"/>
  <c r="V125" i="10"/>
  <c r="T141" i="10"/>
  <c r="W141" i="10"/>
  <c r="V141" i="10"/>
  <c r="T26" i="10"/>
  <c r="W26" i="10"/>
  <c r="V26" i="10"/>
  <c r="T58" i="10"/>
  <c r="W58" i="10"/>
  <c r="V58" i="10"/>
  <c r="T32" i="10"/>
  <c r="W32" i="10"/>
  <c r="V32" i="10"/>
  <c r="AB175" i="10"/>
  <c r="U175" i="10"/>
  <c r="Z175" i="10"/>
  <c r="AB159" i="10"/>
  <c r="U159" i="10"/>
  <c r="Z159" i="10"/>
  <c r="AB149" i="10"/>
  <c r="U149" i="10"/>
  <c r="Z149" i="10"/>
  <c r="AB127" i="10"/>
  <c r="U127" i="10"/>
  <c r="Z127" i="10"/>
  <c r="AB103" i="10"/>
  <c r="U103" i="10"/>
  <c r="Z103" i="10"/>
  <c r="AB58" i="10"/>
  <c r="U58" i="10"/>
  <c r="Z58" i="10"/>
  <c r="AB89" i="10"/>
  <c r="U89" i="10"/>
  <c r="Z89" i="10"/>
  <c r="AB73" i="10"/>
  <c r="Y73" i="10"/>
  <c r="AB31" i="10"/>
  <c r="U31" i="10"/>
  <c r="Z31" i="10"/>
  <c r="AB95" i="10"/>
  <c r="U95" i="10"/>
  <c r="Z95" i="10"/>
  <c r="AB174" i="10"/>
  <c r="Y174" i="10"/>
  <c r="AB163" i="10"/>
  <c r="Y163" i="10"/>
  <c r="AB153" i="10"/>
  <c r="Y153" i="10"/>
  <c r="AB142" i="10"/>
  <c r="Y142" i="10"/>
  <c r="AB126" i="10"/>
  <c r="Y126" i="10"/>
  <c r="AB110" i="10"/>
  <c r="Y110" i="10"/>
  <c r="AB19" i="10"/>
  <c r="U19" i="10"/>
  <c r="Z19" i="10"/>
  <c r="AB40" i="10"/>
  <c r="U40" i="10"/>
  <c r="Z40" i="10"/>
  <c r="AB88" i="10"/>
  <c r="U88" i="10"/>
  <c r="Z88" i="10"/>
  <c r="AB72" i="10"/>
  <c r="Y72" i="10"/>
  <c r="AB45" i="10"/>
  <c r="U45" i="10"/>
  <c r="Z45" i="10"/>
  <c r="AB13" i="10"/>
  <c r="Y13" i="10"/>
  <c r="AB5" i="10"/>
  <c r="U5" i="10"/>
  <c r="Z5" i="10"/>
  <c r="V93" i="10"/>
  <c r="V157" i="10"/>
  <c r="AB91" i="10"/>
  <c r="U91" i="10"/>
  <c r="Z91" i="10"/>
  <c r="AB178" i="10"/>
  <c r="U178" i="10"/>
  <c r="Z178" i="10"/>
  <c r="AB173" i="10"/>
  <c r="Y173" i="10"/>
  <c r="AB167" i="10"/>
  <c r="U167" i="10"/>
  <c r="Z167" i="10"/>
  <c r="AB162" i="10"/>
  <c r="U162" i="10"/>
  <c r="Z162" i="10"/>
  <c r="AB157" i="10"/>
  <c r="U157" i="10"/>
  <c r="Z157" i="10"/>
  <c r="AB151" i="10"/>
  <c r="Y151" i="10"/>
  <c r="AB146" i="10"/>
  <c r="Y146" i="10"/>
  <c r="AB139" i="10"/>
  <c r="U139" i="10"/>
  <c r="Z139" i="10"/>
  <c r="AB131" i="10"/>
  <c r="Y131" i="10"/>
  <c r="AB123" i="10"/>
  <c r="U123" i="10"/>
  <c r="Z123" i="10"/>
  <c r="AB115" i="10"/>
  <c r="Y115" i="10"/>
  <c r="AB107" i="10"/>
  <c r="U107" i="10"/>
  <c r="Z107" i="10"/>
  <c r="AB99" i="10"/>
  <c r="U99" i="10"/>
  <c r="Z99" i="10"/>
  <c r="AB66" i="10"/>
  <c r="Y66" i="10"/>
  <c r="AB50" i="10"/>
  <c r="U50" i="10"/>
  <c r="Z50" i="10"/>
  <c r="AB34" i="10"/>
  <c r="U34" i="10"/>
  <c r="Z34" i="10"/>
  <c r="AB15" i="10"/>
  <c r="U15" i="10"/>
  <c r="Z15" i="10"/>
  <c r="AB85" i="10"/>
  <c r="Y85" i="10"/>
  <c r="AB77" i="10"/>
  <c r="U77" i="10"/>
  <c r="Z77" i="10"/>
  <c r="AB69" i="10"/>
  <c r="U69" i="10"/>
  <c r="Z69" i="10"/>
  <c r="AB55" i="10"/>
  <c r="U55" i="10"/>
  <c r="Z55" i="10"/>
  <c r="AB39" i="10"/>
  <c r="Y39" i="10"/>
  <c r="AB20" i="10"/>
  <c r="Y20" i="10"/>
  <c r="AB6" i="10"/>
  <c r="Y6" i="10"/>
  <c r="V146" i="10"/>
  <c r="V123" i="10"/>
  <c r="Y36" i="12"/>
  <c r="AA49" i="12"/>
  <c r="V8" i="10"/>
  <c r="AD8" i="10"/>
  <c r="AF62" i="10"/>
  <c r="AG64" i="10"/>
  <c r="Y192" i="12"/>
  <c r="Y198" i="12"/>
  <c r="AA27" i="12"/>
  <c r="AA20" i="12"/>
  <c r="V12" i="10"/>
  <c r="AD12" i="10"/>
  <c r="AF102" i="10"/>
  <c r="AF104" i="10"/>
  <c r="Y52" i="12"/>
  <c r="Y37" i="12"/>
  <c r="Y29" i="12"/>
  <c r="Y40" i="12"/>
  <c r="Y42" i="12"/>
  <c r="AA30" i="12"/>
  <c r="AA62" i="12"/>
  <c r="Y43" i="12"/>
  <c r="AA23" i="12"/>
  <c r="Y203" i="12"/>
  <c r="AA197" i="12"/>
  <c r="AA195" i="12"/>
  <c r="AA35" i="12"/>
  <c r="V118" i="10"/>
  <c r="V150" i="10"/>
  <c r="V6" i="10"/>
  <c r="AD6" i="10"/>
  <c r="AF42" i="10"/>
  <c r="AG44" i="10"/>
  <c r="V70" i="10"/>
  <c r="V86" i="10"/>
  <c r="V102" i="10"/>
  <c r="V134" i="10"/>
  <c r="V166" i="10"/>
  <c r="V30" i="10"/>
  <c r="V46" i="10"/>
  <c r="V62" i="10"/>
  <c r="V16" i="10"/>
  <c r="AD16" i="10"/>
  <c r="AF142" i="10"/>
  <c r="AF143" i="10"/>
  <c r="AF145" i="10"/>
  <c r="V81" i="10"/>
  <c r="V97" i="10"/>
  <c r="V113" i="10"/>
  <c r="V129" i="10"/>
  <c r="V145" i="10"/>
  <c r="V161" i="10"/>
  <c r="K26" i="7"/>
  <c r="J26" i="7"/>
  <c r="J25" i="7"/>
  <c r="Y27" i="12"/>
  <c r="Y59" i="12"/>
  <c r="AA33" i="12"/>
  <c r="AA17" i="12"/>
  <c r="Y24" i="12"/>
  <c r="Y33" i="12"/>
  <c r="AA34" i="12"/>
  <c r="AA57" i="12"/>
  <c r="Y45" i="12"/>
  <c r="AA194" i="12"/>
  <c r="Y38" i="12"/>
  <c r="Y35" i="12"/>
  <c r="AA207" i="12"/>
  <c r="Y30" i="12"/>
  <c r="AA47" i="12"/>
  <c r="AA201" i="12"/>
  <c r="Y18" i="12"/>
  <c r="AA44" i="12"/>
  <c r="Y53" i="12"/>
  <c r="Y199" i="12"/>
  <c r="Y32" i="12"/>
  <c r="Y205" i="12"/>
  <c r="AA19" i="12"/>
  <c r="AA198" i="12"/>
  <c r="AA59" i="12"/>
  <c r="Y20" i="12"/>
  <c r="Y202" i="12"/>
  <c r="Y63" i="12"/>
  <c r="AA64" i="12"/>
  <c r="AA28" i="12"/>
  <c r="AA54" i="12"/>
  <c r="AA204" i="12"/>
  <c r="Y62" i="12"/>
  <c r="Y197" i="12"/>
  <c r="AA29" i="12"/>
  <c r="Y39" i="12"/>
  <c r="Y54" i="12"/>
  <c r="Y200" i="12"/>
  <c r="Y120" i="12"/>
  <c r="AA37" i="12"/>
  <c r="AA39" i="12"/>
  <c r="AA43" i="12"/>
  <c r="Y57" i="12"/>
  <c r="Y47" i="12"/>
  <c r="Y56" i="12"/>
  <c r="AA56" i="12"/>
  <c r="AA24" i="12"/>
  <c r="AA18" i="12"/>
  <c r="AA196" i="12"/>
  <c r="Y46" i="12"/>
  <c r="Y60" i="12"/>
  <c r="AA120" i="12"/>
  <c r="AA55" i="12"/>
  <c r="AA200" i="12"/>
  <c r="AA45" i="12"/>
  <c r="AA26" i="12"/>
  <c r="Y17" i="12"/>
  <c r="Y26" i="12"/>
  <c r="S17" i="12"/>
  <c r="AA51" i="12"/>
  <c r="Y41" i="12"/>
  <c r="Y58" i="12"/>
  <c r="Y204" i="12"/>
  <c r="Y193" i="12"/>
  <c r="AA48" i="12"/>
  <c r="AA205" i="12"/>
  <c r="AA41" i="12"/>
  <c r="AA46" i="12"/>
  <c r="AA203" i="12"/>
  <c r="Y25" i="12"/>
  <c r="Y206" i="12"/>
  <c r="Y51" i="12"/>
  <c r="Y44" i="12"/>
  <c r="AA31" i="12"/>
  <c r="AA25" i="12"/>
  <c r="AA40" i="12"/>
  <c r="S36" i="12"/>
  <c r="Y194" i="12"/>
  <c r="AA50" i="12"/>
  <c r="AA52" i="12"/>
  <c r="AA199" i="12"/>
  <c r="Y64" i="12"/>
  <c r="S48" i="12"/>
  <c r="Y21" i="12"/>
  <c r="Y61" i="12"/>
  <c r="Y207" i="12"/>
  <c r="Y34" i="12"/>
  <c r="AA21" i="12"/>
  <c r="AA202" i="12"/>
  <c r="AA63" i="12"/>
  <c r="S32" i="12"/>
  <c r="Y22" i="12"/>
  <c r="AA60" i="12"/>
  <c r="S204" i="12"/>
  <c r="Y48" i="12"/>
  <c r="AA42" i="12"/>
  <c r="Y50" i="12"/>
  <c r="AA32" i="12"/>
  <c r="AA53" i="12"/>
  <c r="Y55" i="12"/>
  <c r="AA22" i="12"/>
  <c r="AA192" i="12"/>
  <c r="Y196" i="12"/>
  <c r="AA193" i="12"/>
  <c r="Y19" i="12"/>
  <c r="S196" i="12"/>
  <c r="S42" i="12"/>
  <c r="S39" i="12"/>
  <c r="S206" i="12"/>
  <c r="S35" i="12"/>
  <c r="S33" i="12"/>
  <c r="S193" i="12"/>
  <c r="S58" i="12"/>
  <c r="S21" i="12"/>
  <c r="S43" i="12"/>
  <c r="S27" i="12"/>
  <c r="S25" i="12"/>
  <c r="S61" i="12"/>
  <c r="S59" i="12"/>
  <c r="S52" i="12"/>
  <c r="S47" i="12"/>
  <c r="S37" i="12"/>
  <c r="S55" i="12"/>
  <c r="S19" i="12"/>
  <c r="S53" i="12"/>
  <c r="S203" i="12"/>
  <c r="S64" i="12"/>
  <c r="S29" i="12"/>
  <c r="S50" i="12"/>
  <c r="S197" i="12"/>
  <c r="S200" i="12"/>
  <c r="S63" i="12"/>
  <c r="S56" i="12"/>
  <c r="S31" i="12"/>
  <c r="S23" i="12"/>
  <c r="S198" i="12"/>
  <c r="S201" i="12"/>
  <c r="S45" i="12"/>
  <c r="S195" i="12"/>
  <c r="S49" i="12"/>
  <c r="S20" i="12"/>
  <c r="S192" i="12"/>
  <c r="S194" i="12"/>
  <c r="S34" i="12"/>
  <c r="S120" i="12"/>
  <c r="S51" i="12"/>
  <c r="S199" i="12"/>
  <c r="AA61" i="12"/>
  <c r="S24" i="12"/>
  <c r="S26" i="12"/>
  <c r="S44" i="12"/>
  <c r="S54" i="12"/>
  <c r="S40" i="12"/>
  <c r="S38" i="12"/>
  <c r="S22" i="12"/>
  <c r="S207" i="12"/>
  <c r="AA38" i="12"/>
  <c r="Y195" i="12"/>
  <c r="Y31" i="12"/>
  <c r="AA58" i="12"/>
  <c r="Y49" i="12"/>
  <c r="Y201" i="12"/>
  <c r="U196" i="12"/>
  <c r="S41" i="12"/>
  <c r="S205" i="12"/>
  <c r="S60" i="12"/>
  <c r="S202" i="12"/>
  <c r="U195" i="12"/>
  <c r="S30" i="12"/>
  <c r="S57" i="12"/>
  <c r="S28" i="12"/>
  <c r="U17" i="12"/>
  <c r="U28" i="12"/>
  <c r="S62" i="12"/>
  <c r="S46" i="12"/>
  <c r="S18" i="12"/>
  <c r="V18" i="12"/>
  <c r="R18" i="12"/>
  <c r="U31" i="12"/>
  <c r="U20" i="12"/>
  <c r="U55" i="12"/>
  <c r="U64" i="12"/>
  <c r="U50" i="12"/>
  <c r="U63" i="12"/>
  <c r="U19" i="12"/>
  <c r="U61" i="12"/>
  <c r="U35" i="12"/>
  <c r="U41" i="12"/>
  <c r="U197" i="12"/>
  <c r="U201" i="12"/>
  <c r="U57" i="12"/>
  <c r="U26" i="12"/>
  <c r="U62" i="12"/>
  <c r="U52" i="12"/>
  <c r="U206" i="12"/>
  <c r="U36" i="12"/>
  <c r="U38" i="12"/>
  <c r="U48" i="12"/>
  <c r="U24" i="12"/>
  <c r="U202" i="12"/>
  <c r="U39" i="12"/>
  <c r="U56" i="12"/>
  <c r="U43" i="12"/>
  <c r="U53" i="12"/>
  <c r="U193" i="12"/>
  <c r="U59" i="12"/>
  <c r="U198" i="12"/>
  <c r="U18" i="12"/>
  <c r="U200" i="12"/>
  <c r="U194" i="12"/>
  <c r="U205" i="12"/>
  <c r="U192" i="12"/>
  <c r="U207" i="12"/>
  <c r="U49" i="12"/>
  <c r="U120" i="12"/>
  <c r="U51" i="12"/>
  <c r="U45" i="12"/>
  <c r="U60" i="12"/>
  <c r="U47" i="12"/>
  <c r="U21" i="12"/>
  <c r="U30" i="12"/>
  <c r="U42" i="12"/>
  <c r="U25" i="12"/>
  <c r="U34" i="12"/>
  <c r="U58" i="12"/>
  <c r="U29" i="12"/>
  <c r="U44" i="12"/>
  <c r="U203" i="12"/>
  <c r="U27" i="12"/>
  <c r="U37" i="12"/>
  <c r="U199" i="12"/>
  <c r="U204" i="12"/>
  <c r="U40" i="12"/>
  <c r="U23" i="12"/>
  <c r="U33" i="12"/>
  <c r="U54" i="12"/>
  <c r="U22" i="12"/>
  <c r="U32" i="12"/>
  <c r="AF153" i="10"/>
  <c r="AF155" i="10"/>
  <c r="AF156" i="10"/>
  <c r="AF134" i="10"/>
  <c r="AF202" i="10"/>
  <c r="AF203" i="10"/>
  <c r="AZ30" i="9"/>
  <c r="BA30" i="9"/>
  <c r="BB30" i="9"/>
  <c r="BC30" i="9"/>
  <c r="AE27" i="9"/>
  <c r="AB27" i="9"/>
  <c r="AC27" i="9"/>
  <c r="AD27" i="9"/>
  <c r="BC54" i="9"/>
  <c r="AZ54" i="9"/>
  <c r="BA54" i="9"/>
  <c r="BB54" i="9"/>
  <c r="AZ37" i="9"/>
  <c r="BA37" i="9"/>
  <c r="BB37" i="9"/>
  <c r="BC37" i="9"/>
  <c r="BC69" i="9"/>
  <c r="AZ69" i="9"/>
  <c r="BA69" i="9"/>
  <c r="BB69" i="9"/>
  <c r="AE49" i="9"/>
  <c r="AB49" i="9"/>
  <c r="AC49" i="9"/>
  <c r="AD49" i="9"/>
  <c r="AE30" i="9"/>
  <c r="AB30" i="9"/>
  <c r="AC30" i="9"/>
  <c r="AD30" i="9"/>
  <c r="BC295" i="9"/>
  <c r="AZ295" i="9"/>
  <c r="BA295" i="9"/>
  <c r="BB295" i="9"/>
  <c r="AE184" i="9"/>
  <c r="AB184" i="9"/>
  <c r="AC184" i="9"/>
  <c r="AD184" i="9"/>
  <c r="AE192" i="9"/>
  <c r="AB192" i="9"/>
  <c r="AC192" i="9"/>
  <c r="AD192" i="9"/>
  <c r="AZ305" i="9"/>
  <c r="BA305" i="9"/>
  <c r="BB305" i="9"/>
  <c r="BC305" i="9"/>
  <c r="AE296" i="9"/>
  <c r="AB296" i="9"/>
  <c r="AC296" i="9"/>
  <c r="AD296" i="9"/>
  <c r="AZ31" i="9"/>
  <c r="BA31" i="9"/>
  <c r="BB31" i="9"/>
  <c r="BC31" i="9"/>
  <c r="BC63" i="9"/>
  <c r="AZ63" i="9"/>
  <c r="BA63" i="9"/>
  <c r="BB63" i="9"/>
  <c r="AE32" i="9"/>
  <c r="AB32" i="9"/>
  <c r="AC32" i="9"/>
  <c r="AD32" i="9"/>
  <c r="AE70" i="9"/>
  <c r="AB70" i="9"/>
  <c r="AC70" i="9"/>
  <c r="AD70" i="9"/>
  <c r="BC192" i="9"/>
  <c r="AZ192" i="9"/>
  <c r="BA192" i="9"/>
  <c r="BB192" i="9"/>
  <c r="AE29" i="9"/>
  <c r="AB29" i="9"/>
  <c r="AC29" i="9"/>
  <c r="AD29" i="9"/>
  <c r="AE37" i="9"/>
  <c r="AB37" i="9"/>
  <c r="AC37" i="9"/>
  <c r="AD37" i="9"/>
  <c r="AE183" i="9"/>
  <c r="AB183" i="9"/>
  <c r="AC183" i="9"/>
  <c r="AD183" i="9"/>
  <c r="U181" i="5"/>
  <c r="S313" i="9"/>
  <c r="S13" i="3"/>
  <c r="S19" i="3"/>
  <c r="S22" i="3"/>
  <c r="S23" i="3"/>
  <c r="AE36" i="9"/>
  <c r="AB36" i="9"/>
  <c r="AC36" i="9"/>
  <c r="AD36" i="9"/>
  <c r="AE56" i="9"/>
  <c r="AB56" i="9"/>
  <c r="AC56" i="9"/>
  <c r="AD56" i="9"/>
  <c r="AE187" i="9"/>
  <c r="AB187" i="9"/>
  <c r="AC187" i="9"/>
  <c r="AD187" i="9"/>
  <c r="AE297" i="9"/>
  <c r="AB297" i="9"/>
  <c r="AC297" i="9"/>
  <c r="AD297" i="9"/>
  <c r="S311" i="9"/>
  <c r="BC62" i="9"/>
  <c r="AZ62" i="9"/>
  <c r="BA62" i="9"/>
  <c r="BB62" i="9"/>
  <c r="AE41" i="9"/>
  <c r="AB41" i="9"/>
  <c r="AC41" i="9"/>
  <c r="AD41" i="9"/>
  <c r="AZ299" i="9"/>
  <c r="BA299" i="9"/>
  <c r="BB299" i="9"/>
  <c r="BC299" i="9"/>
  <c r="AE194" i="9"/>
  <c r="AB194" i="9"/>
  <c r="AC194" i="9"/>
  <c r="AD194" i="9"/>
  <c r="K94" i="3"/>
  <c r="K98" i="3"/>
  <c r="C98" i="3"/>
  <c r="AZ32" i="9"/>
  <c r="BA32" i="9"/>
  <c r="BB32" i="9"/>
  <c r="BC32" i="9"/>
  <c r="BC296" i="9"/>
  <c r="AZ296" i="9"/>
  <c r="BA296" i="9"/>
  <c r="BB296" i="9"/>
  <c r="AZ38" i="9"/>
  <c r="BA38" i="9"/>
  <c r="BB38" i="9"/>
  <c r="BC38" i="9"/>
  <c r="BC70" i="9"/>
  <c r="AZ70" i="9"/>
  <c r="BA70" i="9"/>
  <c r="BB70" i="9"/>
  <c r="BC53" i="9"/>
  <c r="AZ53" i="9"/>
  <c r="BA53" i="9"/>
  <c r="BB53" i="9"/>
  <c r="AE35" i="9"/>
  <c r="AB35" i="9"/>
  <c r="AC35" i="9"/>
  <c r="AD35" i="9"/>
  <c r="AE57" i="9"/>
  <c r="AB57" i="9"/>
  <c r="AC57" i="9"/>
  <c r="AD57" i="9"/>
  <c r="AE60" i="9"/>
  <c r="AB60" i="9"/>
  <c r="AC60" i="9"/>
  <c r="AD60" i="9"/>
  <c r="AB182" i="9"/>
  <c r="AC182" i="9"/>
  <c r="AD182" i="9"/>
  <c r="AE182" i="9"/>
  <c r="AE188" i="9"/>
  <c r="AB188" i="9"/>
  <c r="AC188" i="9"/>
  <c r="AD188" i="9"/>
  <c r="AE196" i="9"/>
  <c r="AB196" i="9"/>
  <c r="AC196" i="9"/>
  <c r="AD196" i="9"/>
  <c r="AE302" i="9"/>
  <c r="AB302" i="9"/>
  <c r="AC302" i="9"/>
  <c r="AD302" i="9"/>
  <c r="U53" i="10"/>
  <c r="Z53" i="10"/>
  <c r="Y53" i="10"/>
  <c r="BC56" i="9"/>
  <c r="AZ56" i="9"/>
  <c r="BA56" i="9"/>
  <c r="BB56" i="9"/>
  <c r="BC47" i="9"/>
  <c r="AZ47" i="9"/>
  <c r="BA47" i="9"/>
  <c r="BB47" i="9"/>
  <c r="AE28" i="9"/>
  <c r="AB28" i="9"/>
  <c r="AC28" i="9"/>
  <c r="AD28" i="9"/>
  <c r="AE33" i="9"/>
  <c r="AB33" i="9"/>
  <c r="AC33" i="9"/>
  <c r="AD33" i="9"/>
  <c r="BC184" i="9"/>
  <c r="AZ184" i="9"/>
  <c r="BA184" i="9"/>
  <c r="BB184" i="9"/>
  <c r="AZ306" i="9"/>
  <c r="BA306" i="9"/>
  <c r="BB306" i="9"/>
  <c r="BC306" i="9"/>
  <c r="AF23" i="10"/>
  <c r="AG24" i="10"/>
  <c r="AF24" i="10"/>
  <c r="X16" i="10"/>
  <c r="X14" i="10"/>
  <c r="AE53" i="9"/>
  <c r="AB53" i="9"/>
  <c r="AC53" i="9"/>
  <c r="AD53" i="9"/>
  <c r="AE64" i="9"/>
  <c r="AB64" i="9"/>
  <c r="AC64" i="9"/>
  <c r="AD64" i="9"/>
  <c r="AE191" i="9"/>
  <c r="AB191" i="9"/>
  <c r="AC191" i="9"/>
  <c r="AD191" i="9"/>
  <c r="BC45" i="9"/>
  <c r="AZ45" i="9"/>
  <c r="BA45" i="9"/>
  <c r="BB45" i="9"/>
  <c r="AE52" i="9"/>
  <c r="AB52" i="9"/>
  <c r="AC52" i="9"/>
  <c r="AD52" i="9"/>
  <c r="AE186" i="9"/>
  <c r="AB186" i="9"/>
  <c r="AC186" i="9"/>
  <c r="AD186" i="9"/>
  <c r="AZ309" i="9"/>
  <c r="BA309" i="9"/>
  <c r="BB309" i="9"/>
  <c r="BC309" i="9"/>
  <c r="AZ39" i="9"/>
  <c r="BA39" i="9"/>
  <c r="BB39" i="9"/>
  <c r="BC39" i="9"/>
  <c r="BC71" i="9"/>
  <c r="AZ71" i="9"/>
  <c r="BA71" i="9"/>
  <c r="BB71" i="9"/>
  <c r="AE59" i="9"/>
  <c r="AB59" i="9"/>
  <c r="AC59" i="9"/>
  <c r="AD59" i="9"/>
  <c r="BC196" i="9"/>
  <c r="AZ196" i="9"/>
  <c r="BA196" i="9"/>
  <c r="BB196" i="9"/>
  <c r="BC46" i="9"/>
  <c r="AZ46" i="9"/>
  <c r="BA46" i="9"/>
  <c r="BB46" i="9"/>
  <c r="AZ29" i="9"/>
  <c r="BA29" i="9"/>
  <c r="BB29" i="9"/>
  <c r="BC29" i="9"/>
  <c r="BC61" i="9"/>
  <c r="AZ61" i="9"/>
  <c r="BA61" i="9"/>
  <c r="BB61" i="9"/>
  <c r="AE44" i="9"/>
  <c r="AB44" i="9"/>
  <c r="AC44" i="9"/>
  <c r="AD44" i="9"/>
  <c r="AB65" i="9"/>
  <c r="AC65" i="9"/>
  <c r="AD65" i="9"/>
  <c r="AE65" i="9"/>
  <c r="AE68" i="9"/>
  <c r="AB68" i="9"/>
  <c r="AC68" i="9"/>
  <c r="AD68" i="9"/>
  <c r="AE71" i="9"/>
  <c r="AB71" i="9"/>
  <c r="AC71" i="9"/>
  <c r="AD71" i="9"/>
  <c r="AE190" i="9"/>
  <c r="AB190" i="9"/>
  <c r="AC190" i="9"/>
  <c r="AD190" i="9"/>
  <c r="AZ301" i="9"/>
  <c r="BA301" i="9"/>
  <c r="BB301" i="9"/>
  <c r="BC301" i="9"/>
  <c r="AE306" i="9"/>
  <c r="AB306" i="9"/>
  <c r="AC306" i="9"/>
  <c r="AD306" i="9"/>
  <c r="BC72" i="9"/>
  <c r="AZ72" i="9"/>
  <c r="BA72" i="9"/>
  <c r="BB72" i="9"/>
  <c r="BC55" i="9"/>
  <c r="AZ55" i="9"/>
  <c r="BA55" i="9"/>
  <c r="BB55" i="9"/>
  <c r="AE45" i="9"/>
  <c r="AB45" i="9"/>
  <c r="AC45" i="9"/>
  <c r="AD45" i="9"/>
  <c r="AE54" i="9"/>
  <c r="AB54" i="9"/>
  <c r="AC54" i="9"/>
  <c r="AD54" i="9"/>
  <c r="BC188" i="9"/>
  <c r="AZ188" i="9"/>
  <c r="BA188" i="9"/>
  <c r="BB188" i="9"/>
  <c r="AE300" i="9"/>
  <c r="AB300" i="9"/>
  <c r="AC300" i="9"/>
  <c r="AD300" i="9"/>
  <c r="BC49" i="9"/>
  <c r="AZ49" i="9"/>
  <c r="BA49" i="9"/>
  <c r="BB49" i="9"/>
  <c r="AE61" i="9"/>
  <c r="AB61" i="9"/>
  <c r="AC61" i="9"/>
  <c r="AD61" i="9"/>
  <c r="BC297" i="9"/>
  <c r="AZ297" i="9"/>
  <c r="BA297" i="9"/>
  <c r="BB297" i="9"/>
  <c r="AE195" i="9"/>
  <c r="AB195" i="9"/>
  <c r="AC195" i="9"/>
  <c r="AD195" i="9"/>
  <c r="AE294" i="9"/>
  <c r="AB294" i="9"/>
  <c r="AC294" i="9"/>
  <c r="AD294" i="9"/>
  <c r="Z311" i="9"/>
  <c r="AR25" i="12"/>
  <c r="AU24" i="12"/>
  <c r="AX24" i="12"/>
  <c r="AV24" i="12"/>
  <c r="AW24" i="12"/>
  <c r="AS24" i="12"/>
  <c r="AT24" i="12"/>
  <c r="AL27" i="12"/>
  <c r="W86" i="5"/>
  <c r="U50" i="5"/>
  <c r="U164" i="5"/>
  <c r="U110" i="5"/>
  <c r="U162" i="5"/>
  <c r="U14" i="5"/>
  <c r="U106" i="10"/>
  <c r="Z106" i="10"/>
  <c r="U43" i="5"/>
  <c r="W31" i="5"/>
  <c r="U41" i="5"/>
  <c r="U54" i="5"/>
  <c r="U26" i="5"/>
  <c r="U113" i="5"/>
  <c r="W123" i="5"/>
  <c r="W56" i="5"/>
  <c r="W170" i="5"/>
  <c r="W117" i="5"/>
  <c r="Y122" i="10"/>
  <c r="W73" i="5"/>
  <c r="W67" i="5"/>
  <c r="W168" i="5"/>
  <c r="W58" i="5"/>
  <c r="W171" i="5"/>
  <c r="W72" i="5"/>
  <c r="W120" i="5"/>
  <c r="U32" i="5"/>
  <c r="U155" i="5"/>
  <c r="U161" i="10"/>
  <c r="Z161" i="10"/>
  <c r="U36" i="5"/>
  <c r="U157" i="5"/>
  <c r="U21" i="10"/>
  <c r="Z21" i="10"/>
  <c r="U130" i="10"/>
  <c r="Z130" i="10"/>
  <c r="U103" i="5"/>
  <c r="W11" i="5"/>
  <c r="W82" i="5"/>
  <c r="W130" i="5"/>
  <c r="W12" i="5"/>
  <c r="W76" i="5"/>
  <c r="W124" i="5"/>
  <c r="Y32" i="10"/>
  <c r="Y138" i="10"/>
  <c r="W127" i="5"/>
  <c r="U15" i="5"/>
  <c r="W4" i="5"/>
  <c r="W53" i="5"/>
  <c r="W30" i="5"/>
  <c r="W152" i="5"/>
  <c r="U63" i="5"/>
  <c r="W145" i="5"/>
  <c r="W95" i="5"/>
  <c r="W151" i="5"/>
  <c r="W65" i="5"/>
  <c r="W115" i="5"/>
  <c r="W42" i="5"/>
  <c r="U60" i="5"/>
  <c r="W161" i="5"/>
  <c r="Y37" i="10"/>
  <c r="W101" i="5"/>
  <c r="U112" i="5"/>
  <c r="U6" i="5"/>
  <c r="W118" i="5"/>
  <c r="Y41" i="10"/>
  <c r="AG165" i="10"/>
  <c r="AF93" i="10"/>
  <c r="AG95" i="10"/>
  <c r="U166" i="10"/>
  <c r="Z166" i="10"/>
  <c r="W97" i="5"/>
  <c r="W147" i="5"/>
  <c r="AG74" i="10"/>
  <c r="U7" i="5"/>
  <c r="U27" i="5"/>
  <c r="U51" i="5"/>
  <c r="U91" i="5"/>
  <c r="U52" i="5"/>
  <c r="U24" i="5"/>
  <c r="U102" i="5"/>
  <c r="U141" i="5"/>
  <c r="U108" i="5"/>
  <c r="U148" i="5"/>
  <c r="U167" i="5"/>
  <c r="U84" i="10"/>
  <c r="Z84" i="10"/>
  <c r="U64" i="10"/>
  <c r="Z64" i="10"/>
  <c r="U37" i="5"/>
  <c r="U93" i="5"/>
  <c r="U40" i="5"/>
  <c r="U70" i="5"/>
  <c r="U23" i="5"/>
  <c r="U96" i="5"/>
  <c r="U144" i="5"/>
  <c r="W33" i="5"/>
  <c r="W34" i="5"/>
  <c r="W154" i="5"/>
  <c r="Y90" i="10"/>
  <c r="W158" i="5"/>
  <c r="W179" i="5"/>
  <c r="U87" i="5"/>
  <c r="U137" i="5"/>
  <c r="AF83" i="10"/>
  <c r="AG85" i="10"/>
  <c r="AG174" i="10"/>
  <c r="W9" i="5"/>
  <c r="W74" i="5"/>
  <c r="W122" i="5"/>
  <c r="U55" i="5"/>
  <c r="U105" i="5"/>
  <c r="U173" i="5"/>
  <c r="U111" i="5"/>
  <c r="U142" i="5"/>
  <c r="U57" i="5"/>
  <c r="W61" i="5"/>
  <c r="U175" i="5"/>
  <c r="W98" i="5"/>
  <c r="W174" i="5"/>
  <c r="W180" i="5"/>
  <c r="U69" i="5"/>
  <c r="U8" i="5"/>
  <c r="W20" i="5"/>
  <c r="U81" i="5"/>
  <c r="W48" i="5"/>
  <c r="U66" i="5"/>
  <c r="W131" i="5"/>
  <c r="U145" i="10"/>
  <c r="Z145" i="10"/>
  <c r="W83" i="5"/>
  <c r="W177" i="5"/>
  <c r="Y114" i="10"/>
  <c r="W100" i="5"/>
  <c r="U134" i="5"/>
  <c r="W169" i="5"/>
  <c r="W59" i="5"/>
  <c r="U3" i="5"/>
  <c r="W143" i="5"/>
  <c r="U166" i="5"/>
  <c r="W78" i="5"/>
  <c r="W80" i="5"/>
  <c r="U46" i="5"/>
  <c r="W49" i="5"/>
  <c r="W178" i="5"/>
  <c r="W13" i="5"/>
  <c r="W22" i="5"/>
  <c r="W116" i="5"/>
  <c r="W140" i="5"/>
  <c r="W19" i="5"/>
  <c r="W68" i="5"/>
  <c r="W119" i="5"/>
  <c r="U90" i="5"/>
  <c r="U106" i="5"/>
  <c r="W138" i="5"/>
  <c r="W109" i="5"/>
  <c r="W133" i="5"/>
  <c r="Y48" i="10"/>
  <c r="D25" i="13"/>
  <c r="B23" i="13"/>
  <c r="B24" i="13"/>
  <c r="W126" i="5"/>
  <c r="W17" i="5"/>
  <c r="U39" i="5"/>
  <c r="W128" i="5"/>
  <c r="U160" i="5"/>
  <c r="Y155" i="10"/>
  <c r="W92" i="5"/>
  <c r="U3" i="10"/>
  <c r="Z3" i="10"/>
  <c r="W18" i="5"/>
  <c r="U75" i="5"/>
  <c r="W99" i="5"/>
  <c r="AF194" i="10"/>
  <c r="W146" i="5"/>
  <c r="Y171" i="10"/>
  <c r="U38" i="5"/>
  <c r="W135" i="5"/>
  <c r="U5" i="5"/>
  <c r="U104" i="5"/>
  <c r="W25" i="5"/>
  <c r="U107" i="5"/>
  <c r="W84" i="5"/>
  <c r="U125" i="5"/>
  <c r="W132" i="5"/>
  <c r="U172" i="5"/>
  <c r="U21" i="5"/>
  <c r="W77" i="5"/>
  <c r="U47" i="5"/>
  <c r="W79" i="5"/>
  <c r="U88" i="5"/>
  <c r="U163" i="5"/>
  <c r="W176" i="5"/>
  <c r="W10" i="5"/>
  <c r="W64" i="5"/>
  <c r="W114" i="5"/>
  <c r="W35" i="5"/>
  <c r="W156" i="5"/>
  <c r="W29" i="5"/>
  <c r="W45" i="5"/>
  <c r="W94" i="5"/>
  <c r="W150" i="5"/>
  <c r="W165" i="5"/>
  <c r="W16" i="5"/>
  <c r="W44" i="5"/>
  <c r="W62" i="5"/>
  <c r="W136" i="5"/>
  <c r="W182" i="5"/>
  <c r="AF195" i="10"/>
  <c r="W129" i="5"/>
  <c r="W89" i="5"/>
  <c r="W139" i="5"/>
  <c r="Y177" i="10"/>
  <c r="W149" i="5"/>
  <c r="AE249" i="10"/>
  <c r="Y18" i="10"/>
  <c r="Y76" i="10"/>
  <c r="Y150" i="10"/>
  <c r="W85" i="5"/>
  <c r="AG194" i="10"/>
  <c r="AF133" i="10"/>
  <c r="AG135" i="10"/>
  <c r="W28" i="5"/>
  <c r="W153" i="5"/>
  <c r="W121" i="5"/>
  <c r="W159" i="5"/>
  <c r="W71" i="5"/>
  <c r="Y46" i="10"/>
  <c r="Y83" i="10"/>
  <c r="Y98" i="10"/>
  <c r="AG84" i="10"/>
  <c r="Y124" i="10"/>
  <c r="BO13" i="9"/>
  <c r="BP13" i="9"/>
  <c r="AF74" i="10"/>
  <c r="U140" i="10"/>
  <c r="Z140" i="10"/>
  <c r="Y121" i="10"/>
  <c r="AF173" i="10"/>
  <c r="AF175" i="10"/>
  <c r="AF176" i="10"/>
  <c r="AG4" i="10"/>
  <c r="AF183" i="10"/>
  <c r="AF185" i="10"/>
  <c r="AF186" i="10"/>
  <c r="AF3" i="10"/>
  <c r="AG5" i="10"/>
  <c r="U169" i="10"/>
  <c r="Z169" i="10"/>
  <c r="Y81" i="10"/>
  <c r="U75" i="10"/>
  <c r="Z75" i="10"/>
  <c r="Y12" i="10"/>
  <c r="Y148" i="10"/>
  <c r="AG94" i="10"/>
  <c r="AG164" i="10"/>
  <c r="AF164" i="10"/>
  <c r="AF166" i="10"/>
  <c r="U71" i="10"/>
  <c r="Z71" i="10"/>
  <c r="Y99" i="10"/>
  <c r="Y141" i="10"/>
  <c r="U39" i="10"/>
  <c r="Z39" i="10"/>
  <c r="U72" i="10"/>
  <c r="Z72" i="10"/>
  <c r="U109" i="10"/>
  <c r="Z109" i="10"/>
  <c r="U173" i="10"/>
  <c r="Z173" i="10"/>
  <c r="U66" i="10"/>
  <c r="Z66" i="10"/>
  <c r="Y134" i="10"/>
  <c r="U179" i="10"/>
  <c r="Z179" i="10"/>
  <c r="AF53" i="10"/>
  <c r="AG55" i="10"/>
  <c r="U9" i="10"/>
  <c r="Z9" i="10"/>
  <c r="U7" i="10"/>
  <c r="Z7" i="10"/>
  <c r="U87" i="10"/>
  <c r="Z87" i="10"/>
  <c r="U73" i="10"/>
  <c r="Z73" i="10"/>
  <c r="U11" i="10"/>
  <c r="Z11" i="10"/>
  <c r="Y43" i="10"/>
  <c r="Y14" i="10"/>
  <c r="Y24" i="10"/>
  <c r="U110" i="10"/>
  <c r="Z110" i="10"/>
  <c r="Y125" i="10"/>
  <c r="U85" i="10"/>
  <c r="Z85" i="10"/>
  <c r="Y127" i="10"/>
  <c r="AD248" i="10"/>
  <c r="AE250" i="10"/>
  <c r="Y154" i="10"/>
  <c r="U42" i="10"/>
  <c r="Z42" i="10"/>
  <c r="AF54" i="10"/>
  <c r="Y49" i="10"/>
  <c r="U94" i="10"/>
  <c r="Z94" i="10"/>
  <c r="Y38" i="10"/>
  <c r="Y74" i="10"/>
  <c r="BH15" i="9"/>
  <c r="BI14" i="9"/>
  <c r="BJ14" i="9"/>
  <c r="BM14" i="9"/>
  <c r="BN14" i="9"/>
  <c r="Y159" i="10"/>
  <c r="U51" i="10"/>
  <c r="Z51" i="10"/>
  <c r="Y113" i="10"/>
  <c r="U153" i="10"/>
  <c r="Z153" i="10"/>
  <c r="Y19" i="10"/>
  <c r="U146" i="10"/>
  <c r="Z146" i="10"/>
  <c r="Y100" i="10"/>
  <c r="Y180" i="10"/>
  <c r="U16" i="10"/>
  <c r="Z16" i="10"/>
  <c r="Y96" i="10"/>
  <c r="Y135" i="10"/>
  <c r="Y78" i="10"/>
  <c r="X3" i="10"/>
  <c r="Y80" i="10"/>
  <c r="AG145" i="10"/>
  <c r="U115" i="10"/>
  <c r="Z115" i="10"/>
  <c r="U17" i="10"/>
  <c r="Z17" i="10"/>
  <c r="Y175" i="10"/>
  <c r="Y129" i="10"/>
  <c r="Y77" i="10"/>
  <c r="Y50" i="10"/>
  <c r="Y118" i="10"/>
  <c r="Y97" i="10"/>
  <c r="Y31" i="10"/>
  <c r="Y103" i="10"/>
  <c r="Y167" i="10"/>
  <c r="Y25" i="10"/>
  <c r="Y57" i="10"/>
  <c r="Y52" i="10"/>
  <c r="Y132" i="10"/>
  <c r="AG144" i="10"/>
  <c r="AF14" i="10"/>
  <c r="X5" i="10"/>
  <c r="U20" i="10"/>
  <c r="Z20" i="10"/>
  <c r="Y45" i="10"/>
  <c r="Y26" i="10"/>
  <c r="Y116" i="10"/>
  <c r="Y164" i="10"/>
  <c r="AF144" i="10"/>
  <c r="AF146" i="10"/>
  <c r="AG184" i="10"/>
  <c r="AF13" i="10"/>
  <c r="AF15" i="10"/>
  <c r="X6" i="10"/>
  <c r="U151" i="10"/>
  <c r="Z151" i="10"/>
  <c r="U44" i="10"/>
  <c r="Z44" i="10"/>
  <c r="U176" i="10"/>
  <c r="Z176" i="10"/>
  <c r="U160" i="10"/>
  <c r="Z160" i="10"/>
  <c r="U174" i="10"/>
  <c r="Z174" i="10"/>
  <c r="U163" i="10"/>
  <c r="Z163" i="10"/>
  <c r="U112" i="10"/>
  <c r="Z112" i="10"/>
  <c r="U128" i="10"/>
  <c r="Z128" i="10"/>
  <c r="U144" i="10"/>
  <c r="Z144" i="10"/>
  <c r="Y70" i="10"/>
  <c r="Y4" i="10"/>
  <c r="Y30" i="10"/>
  <c r="Y137" i="10"/>
  <c r="U56" i="10"/>
  <c r="Z56" i="10"/>
  <c r="Y35" i="10"/>
  <c r="Y62" i="10"/>
  <c r="AG114" i="10"/>
  <c r="Y86" i="10"/>
  <c r="U36" i="10"/>
  <c r="Z36" i="10"/>
  <c r="AG154" i="10"/>
  <c r="Y67" i="10"/>
  <c r="Y105" i="10"/>
  <c r="U8" i="10"/>
  <c r="Z8" i="10"/>
  <c r="Y2" i="10"/>
  <c r="Y55" i="10"/>
  <c r="U126" i="10"/>
  <c r="Z126" i="10"/>
  <c r="Y152" i="10"/>
  <c r="AF64" i="10"/>
  <c r="Y15" i="10"/>
  <c r="U131" i="10"/>
  <c r="Z131" i="10"/>
  <c r="U65" i="10"/>
  <c r="Z65" i="10"/>
  <c r="U54" i="10"/>
  <c r="Z54" i="10"/>
  <c r="Y133" i="10"/>
  <c r="U181" i="10"/>
  <c r="Z181" i="10"/>
  <c r="U158" i="10"/>
  <c r="Z158" i="10"/>
  <c r="U13" i="10"/>
  <c r="Z13" i="10"/>
  <c r="Y102" i="10"/>
  <c r="U27" i="10"/>
  <c r="Z27" i="10"/>
  <c r="Y23" i="10"/>
  <c r="U165" i="10"/>
  <c r="Z165" i="10"/>
  <c r="U6" i="10"/>
  <c r="Z6" i="10"/>
  <c r="Y107" i="10"/>
  <c r="Y91" i="10"/>
  <c r="U142" i="10"/>
  <c r="Z142" i="10"/>
  <c r="U63" i="10"/>
  <c r="Z63" i="10"/>
  <c r="Y33" i="10"/>
  <c r="Y28" i="10"/>
  <c r="U104" i="10"/>
  <c r="Z104" i="10"/>
  <c r="Y120" i="10"/>
  <c r="Y139" i="10"/>
  <c r="Y34" i="10"/>
  <c r="Y40" i="10"/>
  <c r="Y162" i="10"/>
  <c r="Y47" i="10"/>
  <c r="Y22" i="10"/>
  <c r="Y168" i="10"/>
  <c r="Y79" i="10"/>
  <c r="Y95" i="10"/>
  <c r="Y58" i="10"/>
  <c r="Y59" i="10"/>
  <c r="Y101" i="10"/>
  <c r="U117" i="10"/>
  <c r="Z117" i="10"/>
  <c r="Y69" i="10"/>
  <c r="Y119" i="10"/>
  <c r="U61" i="10"/>
  <c r="Z61" i="10"/>
  <c r="AF125" i="10"/>
  <c r="Y82" i="10"/>
  <c r="Y60" i="10"/>
  <c r="Y136" i="10"/>
  <c r="Y93" i="10"/>
  <c r="AF124" i="10"/>
  <c r="AG124" i="10"/>
  <c r="Y5" i="10"/>
  <c r="Y88" i="10"/>
  <c r="Y178" i="10"/>
  <c r="Y10" i="10"/>
  <c r="Y89" i="10"/>
  <c r="Y92" i="10"/>
  <c r="Y143" i="10"/>
  <c r="AF114" i="10"/>
  <c r="Y108" i="10"/>
  <c r="Y172" i="10"/>
  <c r="Y149" i="10"/>
  <c r="Y157" i="10"/>
  <c r="Y147" i="10"/>
  <c r="U29" i="10"/>
  <c r="Z29" i="10"/>
  <c r="U170" i="10"/>
  <c r="Z170" i="10"/>
  <c r="Y68" i="10"/>
  <c r="Y156" i="10"/>
  <c r="AF63" i="10"/>
  <c r="AF65" i="10"/>
  <c r="Y123" i="10"/>
  <c r="Y111" i="10"/>
  <c r="AF44" i="10"/>
  <c r="AF103" i="10"/>
  <c r="AG105" i="10"/>
  <c r="AF43" i="10"/>
  <c r="AG45" i="10"/>
  <c r="AG104" i="10"/>
  <c r="K27" i="7"/>
  <c r="J27" i="7"/>
  <c r="J28" i="7"/>
  <c r="W18" i="12"/>
  <c r="AG155" i="10"/>
  <c r="AF204" i="10"/>
  <c r="AG204" i="10"/>
  <c r="D38" i="13"/>
  <c r="AB38" i="13"/>
  <c r="AF115" i="10"/>
  <c r="AG115" i="10"/>
  <c r="AG205" i="10"/>
  <c r="AF205" i="10"/>
  <c r="AG25" i="10"/>
  <c r="AF25" i="10"/>
  <c r="X15" i="10"/>
  <c r="AG75" i="10"/>
  <c r="AF75" i="10"/>
  <c r="AB23" i="13"/>
  <c r="AJ23" i="13"/>
  <c r="T23" i="13"/>
  <c r="AL28" i="12"/>
  <c r="AR26" i="12"/>
  <c r="AU25" i="12"/>
  <c r="AX25" i="12"/>
  <c r="AV25" i="12"/>
  <c r="AW25" i="12"/>
  <c r="AS25" i="12"/>
  <c r="AT25" i="12"/>
  <c r="D40" i="13"/>
  <c r="B38" i="13"/>
  <c r="B39" i="13"/>
  <c r="C41" i="13"/>
  <c r="AF95" i="10"/>
  <c r="AF96" i="10"/>
  <c r="AG96" i="10"/>
  <c r="AG97" i="10"/>
  <c r="AG98" i="10"/>
  <c r="AF5" i="10"/>
  <c r="AF6" i="10"/>
  <c r="AG6" i="10"/>
  <c r="AG7" i="10"/>
  <c r="AG8" i="10"/>
  <c r="AF10" i="10"/>
  <c r="AF85" i="10"/>
  <c r="AF86" i="10"/>
  <c r="AG86" i="10"/>
  <c r="AG87" i="10"/>
  <c r="AG88" i="10"/>
  <c r="AG175" i="10"/>
  <c r="AG176" i="10"/>
  <c r="AG177" i="10"/>
  <c r="AG178" i="10"/>
  <c r="AG180" i="10"/>
  <c r="AF196" i="10"/>
  <c r="AG196" i="10"/>
  <c r="AG197" i="10"/>
  <c r="AG198" i="10"/>
  <c r="AG199" i="10"/>
  <c r="AF135" i="10"/>
  <c r="AF136" i="10"/>
  <c r="AG136" i="10"/>
  <c r="AG137" i="10"/>
  <c r="AG138" i="10"/>
  <c r="AG139" i="10"/>
  <c r="AF55" i="10"/>
  <c r="AF56" i="10"/>
  <c r="AG56" i="10"/>
  <c r="AG57" i="10"/>
  <c r="AG58" i="10"/>
  <c r="AG60" i="10"/>
  <c r="AF76" i="10"/>
  <c r="AG76" i="10"/>
  <c r="AG77" i="10"/>
  <c r="AG78" i="10"/>
  <c r="AG80" i="10"/>
  <c r="AG185" i="10"/>
  <c r="AG186" i="10"/>
  <c r="AG187" i="10"/>
  <c r="AG188" i="10"/>
  <c r="AF190" i="10"/>
  <c r="BO14" i="9"/>
  <c r="BP14" i="9"/>
  <c r="AG166" i="10"/>
  <c r="AG167" i="10"/>
  <c r="AG168" i="10"/>
  <c r="AG170" i="10"/>
  <c r="X4" i="10"/>
  <c r="AD250" i="10"/>
  <c r="AD251" i="10"/>
  <c r="AE251" i="10"/>
  <c r="AE252" i="10"/>
  <c r="AE253" i="10"/>
  <c r="BH16" i="9"/>
  <c r="BI15" i="9"/>
  <c r="BJ15" i="9"/>
  <c r="BM15" i="9"/>
  <c r="BN15" i="9"/>
  <c r="AF16" i="10"/>
  <c r="X7" i="10"/>
  <c r="AG146" i="10"/>
  <c r="AG147" i="10"/>
  <c r="AG148" i="10"/>
  <c r="AG150" i="10"/>
  <c r="AG15" i="10"/>
  <c r="AF116" i="10"/>
  <c r="AG116" i="10"/>
  <c r="AG117" i="10"/>
  <c r="AG118" i="10"/>
  <c r="AG156" i="10"/>
  <c r="AG157" i="10"/>
  <c r="AG158" i="10"/>
  <c r="AG160" i="10"/>
  <c r="AF66" i="10"/>
  <c r="AF45" i="10"/>
  <c r="AF46" i="10"/>
  <c r="AG46" i="10"/>
  <c r="AG47" i="10"/>
  <c r="AG48" i="10"/>
  <c r="AF50" i="10"/>
  <c r="AF126" i="10"/>
  <c r="AG126" i="10"/>
  <c r="AG127" i="10"/>
  <c r="AG128" i="10"/>
  <c r="AG129" i="10"/>
  <c r="AG65" i="10"/>
  <c r="AF105" i="10"/>
  <c r="AF106" i="10"/>
  <c r="AG106" i="10"/>
  <c r="AG107" i="10"/>
  <c r="AG108" i="10"/>
  <c r="AF110" i="10"/>
  <c r="K28" i="7"/>
  <c r="K29" i="7"/>
  <c r="K30" i="7"/>
  <c r="K31" i="7"/>
  <c r="AF206" i="10"/>
  <c r="AG206" i="10"/>
  <c r="AG207" i="10"/>
  <c r="AG208" i="10"/>
  <c r="AJ38" i="13"/>
  <c r="T38" i="13"/>
  <c r="D42" i="13"/>
  <c r="L38" i="13"/>
  <c r="B26" i="13"/>
  <c r="C26" i="13"/>
  <c r="B25" i="13"/>
  <c r="AF26" i="10"/>
  <c r="X18" i="10"/>
  <c r="X17" i="10"/>
  <c r="B41" i="13"/>
  <c r="B40" i="13"/>
  <c r="C42" i="13"/>
  <c r="AL29" i="12"/>
  <c r="AU26" i="12"/>
  <c r="AX26" i="12"/>
  <c r="AV26" i="12"/>
  <c r="AW26" i="12"/>
  <c r="AS26" i="12"/>
  <c r="AT26" i="12"/>
  <c r="AR27" i="12"/>
  <c r="AF180" i="10"/>
  <c r="AF200" i="10"/>
  <c r="AG200" i="10"/>
  <c r="AF140" i="10"/>
  <c r="AG140" i="10"/>
  <c r="AG179" i="10"/>
  <c r="AF181" i="10"/>
  <c r="AG169" i="10"/>
  <c r="AG171" i="10"/>
  <c r="AI18" i="10"/>
  <c r="AF170" i="10"/>
  <c r="BO15" i="9"/>
  <c r="BP15" i="9"/>
  <c r="AG149" i="10"/>
  <c r="AG151" i="10"/>
  <c r="AI16" i="10"/>
  <c r="AG189" i="10"/>
  <c r="AF191" i="10"/>
  <c r="AG110" i="10"/>
  <c r="AG190" i="10"/>
  <c r="AF150" i="10"/>
  <c r="AG16" i="10"/>
  <c r="AG17" i="10"/>
  <c r="AG18" i="10"/>
  <c r="AF20" i="10"/>
  <c r="X11" i="10"/>
  <c r="BH17" i="9"/>
  <c r="BI16" i="9"/>
  <c r="BJ16" i="9"/>
  <c r="BM16" i="9"/>
  <c r="BN16" i="9"/>
  <c r="AG66" i="10"/>
  <c r="AG67" i="10"/>
  <c r="AG68" i="10"/>
  <c r="AG70" i="10"/>
  <c r="AF160" i="10"/>
  <c r="AG159" i="10"/>
  <c r="AG161" i="10"/>
  <c r="AI17" i="10"/>
  <c r="AF130" i="10"/>
  <c r="AG130" i="10"/>
  <c r="AG50" i="10"/>
  <c r="AG49" i="10"/>
  <c r="AF51" i="10"/>
  <c r="AG109" i="10"/>
  <c r="AG111" i="10"/>
  <c r="K32" i="7"/>
  <c r="J32" i="7"/>
  <c r="J33" i="7"/>
  <c r="K33" i="7"/>
  <c r="AG181" i="10"/>
  <c r="AI19" i="10"/>
  <c r="AF60" i="10"/>
  <c r="AG59" i="10"/>
  <c r="AF61" i="10"/>
  <c r="AG10" i="10"/>
  <c r="AG9" i="10"/>
  <c r="AG11" i="10"/>
  <c r="AF80" i="10"/>
  <c r="AG79" i="10"/>
  <c r="AG81" i="10"/>
  <c r="AI9" i="10"/>
  <c r="AG26" i="10"/>
  <c r="AG27" i="10"/>
  <c r="AG28" i="10"/>
  <c r="AG30" i="10"/>
  <c r="AG89" i="10"/>
  <c r="AG90" i="10"/>
  <c r="AF90" i="10"/>
  <c r="AE254" i="10"/>
  <c r="AD255" i="10"/>
  <c r="AE255" i="10"/>
  <c r="AG141" i="10"/>
  <c r="AF141" i="10"/>
  <c r="AG100" i="10"/>
  <c r="AF100" i="10"/>
  <c r="AG99" i="10"/>
  <c r="AF120" i="10"/>
  <c r="AG119" i="10"/>
  <c r="AG120" i="10"/>
  <c r="AG209" i="10"/>
  <c r="AF210" i="10"/>
  <c r="AG210" i="10"/>
  <c r="AF131" i="10"/>
  <c r="AG131" i="10"/>
  <c r="B27" i="13"/>
  <c r="B28" i="13"/>
  <c r="C27" i="13"/>
  <c r="AF201" i="10"/>
  <c r="AG201" i="10"/>
  <c r="B42" i="13"/>
  <c r="B43" i="13"/>
  <c r="C43" i="13"/>
  <c r="C44" i="13"/>
  <c r="C45" i="13"/>
  <c r="AU27" i="12"/>
  <c r="AX27" i="12"/>
  <c r="AV27" i="12"/>
  <c r="AW27" i="12"/>
  <c r="AS27" i="12"/>
  <c r="AT27" i="12"/>
  <c r="AR28" i="12"/>
  <c r="AL30" i="12"/>
  <c r="AH19" i="10"/>
  <c r="AI21" i="10"/>
  <c r="AH21" i="10"/>
  <c r="AI15" i="10"/>
  <c r="AH15" i="10"/>
  <c r="AG191" i="10"/>
  <c r="AI20" i="10"/>
  <c r="AH20" i="10"/>
  <c r="AF171" i="10"/>
  <c r="AH18" i="10"/>
  <c r="BO16" i="9"/>
  <c r="BP16" i="9"/>
  <c r="K34" i="7"/>
  <c r="AF151" i="10"/>
  <c r="AH16" i="10"/>
  <c r="AI12" i="10"/>
  <c r="AG20" i="10"/>
  <c r="AG19" i="10"/>
  <c r="AG21" i="10"/>
  <c r="AG69" i="10"/>
  <c r="AF71" i="10"/>
  <c r="BH18" i="9"/>
  <c r="BI17" i="9"/>
  <c r="BJ17" i="9"/>
  <c r="BM17" i="9"/>
  <c r="BN17" i="9"/>
  <c r="AG51" i="10"/>
  <c r="AI6" i="10"/>
  <c r="AH6" i="10"/>
  <c r="AF70" i="10"/>
  <c r="AF161" i="10"/>
  <c r="AH17" i="10"/>
  <c r="AI14" i="10"/>
  <c r="AH14" i="10"/>
  <c r="AF111" i="10"/>
  <c r="J34" i="7"/>
  <c r="N23" i="7"/>
  <c r="AF81" i="10"/>
  <c r="AH9" i="10"/>
  <c r="AG61" i="10"/>
  <c r="AI7" i="10"/>
  <c r="AH7" i="10"/>
  <c r="AI2" i="10"/>
  <c r="AF11" i="10"/>
  <c r="AF30" i="10"/>
  <c r="X22" i="10"/>
  <c r="AG29" i="10"/>
  <c r="AF31" i="10"/>
  <c r="AG121" i="10"/>
  <c r="AI13" i="10"/>
  <c r="AF121" i="10"/>
  <c r="C28" i="13"/>
  <c r="C29" i="13"/>
  <c r="C30" i="13"/>
  <c r="AG101" i="10"/>
  <c r="AI11" i="10"/>
  <c r="AF101" i="10"/>
  <c r="AF91" i="10"/>
  <c r="AG91" i="10"/>
  <c r="AI10" i="10"/>
  <c r="AF211" i="10"/>
  <c r="AG211" i="10"/>
  <c r="AI192" i="10"/>
  <c r="AD256" i="10"/>
  <c r="AE256" i="10"/>
  <c r="AE257" i="10"/>
  <c r="AU28" i="12"/>
  <c r="AX28" i="12"/>
  <c r="AV28" i="12"/>
  <c r="AW28" i="12"/>
  <c r="AS28" i="12"/>
  <c r="AT28" i="12"/>
  <c r="AL31" i="12"/>
  <c r="AR29" i="12"/>
  <c r="BO17" i="9"/>
  <c r="BP17" i="9"/>
  <c r="AI3" i="10"/>
  <c r="AF21" i="10"/>
  <c r="X12" i="10"/>
  <c r="AH12" i="10"/>
  <c r="AG71" i="10"/>
  <c r="AI8" i="10"/>
  <c r="AH8" i="10"/>
  <c r="BH19" i="9"/>
  <c r="BI18" i="9"/>
  <c r="BJ18" i="9"/>
  <c r="BM18" i="9"/>
  <c r="BN18" i="9"/>
  <c r="R23" i="7"/>
  <c r="M23" i="7"/>
  <c r="AH2" i="10"/>
  <c r="X2" i="10"/>
  <c r="AG31" i="10"/>
  <c r="AI4" i="10"/>
  <c r="AH4" i="10"/>
  <c r="AH192" i="10"/>
  <c r="X23" i="10"/>
  <c r="AH10" i="10"/>
  <c r="C31" i="13"/>
  <c r="B32" i="13"/>
  <c r="C32" i="13"/>
  <c r="AD257" i="10"/>
  <c r="AH11" i="10"/>
  <c r="AH13" i="10"/>
  <c r="B47" i="13"/>
  <c r="C47" i="13"/>
  <c r="C46" i="13"/>
  <c r="AU29" i="12"/>
  <c r="AX29" i="12"/>
  <c r="AV29" i="12"/>
  <c r="AW29" i="12"/>
  <c r="AS29" i="12"/>
  <c r="AT29" i="12"/>
  <c r="AR30" i="12"/>
  <c r="AL32" i="12"/>
  <c r="BO18" i="9"/>
  <c r="BP18" i="9"/>
  <c r="AH3" i="10"/>
  <c r="X13" i="10"/>
  <c r="BH20" i="9"/>
  <c r="BI19" i="9"/>
  <c r="BJ19" i="9"/>
  <c r="BM19" i="9"/>
  <c r="BN19" i="9"/>
  <c r="R24" i="7"/>
  <c r="B48" i="13"/>
  <c r="C48" i="13"/>
  <c r="C49" i="13"/>
  <c r="B33" i="13"/>
  <c r="C33" i="13"/>
  <c r="C34" i="13"/>
  <c r="AR31" i="12"/>
  <c r="AU30" i="12"/>
  <c r="AX30" i="12"/>
  <c r="AV30" i="12"/>
  <c r="AW30" i="12"/>
  <c r="AS30" i="12"/>
  <c r="AT30" i="12"/>
  <c r="AL33" i="12"/>
  <c r="BO19" i="9"/>
  <c r="BP19" i="9"/>
  <c r="BH21" i="9"/>
  <c r="BI20" i="9"/>
  <c r="BJ20" i="9"/>
  <c r="BM20" i="9"/>
  <c r="BN20" i="9"/>
  <c r="S26" i="7"/>
  <c r="R26" i="7"/>
  <c r="R25" i="7"/>
  <c r="B34" i="13"/>
  <c r="F23" i="13"/>
  <c r="B49" i="13"/>
  <c r="F38" i="13"/>
  <c r="AU31" i="12"/>
  <c r="AX31" i="12"/>
  <c r="AV31" i="12"/>
  <c r="AW31" i="12"/>
  <c r="AS31" i="12"/>
  <c r="AT31" i="12"/>
  <c r="AR32" i="12"/>
  <c r="AL34" i="12"/>
  <c r="BO20" i="9"/>
  <c r="BP20" i="9"/>
  <c r="BH22" i="9"/>
  <c r="BI21" i="9"/>
  <c r="BJ21" i="9"/>
  <c r="BM21" i="9"/>
  <c r="BN21" i="9"/>
  <c r="S27" i="7"/>
  <c r="R27" i="7"/>
  <c r="R28" i="7"/>
  <c r="J23" i="13"/>
  <c r="E23" i="13"/>
  <c r="J38" i="13"/>
  <c r="E38" i="13"/>
  <c r="AL35" i="12"/>
  <c r="AR33" i="12"/>
  <c r="AU32" i="12"/>
  <c r="AX32" i="12"/>
  <c r="AS32" i="12"/>
  <c r="AT32" i="12"/>
  <c r="AV32" i="12"/>
  <c r="AW32" i="12"/>
  <c r="BO21" i="9"/>
  <c r="BP21" i="9"/>
  <c r="BH23" i="9"/>
  <c r="BI22" i="9"/>
  <c r="BJ22" i="9"/>
  <c r="BM22" i="9"/>
  <c r="BN22" i="9"/>
  <c r="S28" i="7"/>
  <c r="S29" i="7"/>
  <c r="S30" i="7"/>
  <c r="J39" i="13"/>
  <c r="J24" i="13"/>
  <c r="AU33" i="12"/>
  <c r="AX33" i="12"/>
  <c r="AS33" i="12"/>
  <c r="AT33" i="12"/>
  <c r="AV33" i="12"/>
  <c r="AW33" i="12"/>
  <c r="AL36" i="12"/>
  <c r="AR34" i="12"/>
  <c r="BO22" i="9"/>
  <c r="BP22" i="9"/>
  <c r="BH24" i="9"/>
  <c r="BI23" i="9"/>
  <c r="BJ23" i="9"/>
  <c r="BM23" i="9"/>
  <c r="BN23" i="9"/>
  <c r="S31" i="7"/>
  <c r="R32" i="7"/>
  <c r="S32" i="7"/>
  <c r="J25" i="13"/>
  <c r="J26" i="13"/>
  <c r="K26" i="13"/>
  <c r="J41" i="13"/>
  <c r="J40" i="13"/>
  <c r="K41" i="13"/>
  <c r="AU34" i="12"/>
  <c r="AX34" i="12"/>
  <c r="AV34" i="12"/>
  <c r="AW34" i="12"/>
  <c r="AS34" i="12"/>
  <c r="AT34" i="12"/>
  <c r="AR35" i="12"/>
  <c r="AL37" i="12"/>
  <c r="BO23" i="9"/>
  <c r="BP23" i="9"/>
  <c r="BH25" i="9"/>
  <c r="BI24" i="9"/>
  <c r="BJ24" i="9"/>
  <c r="BM24" i="9"/>
  <c r="BN24" i="9"/>
  <c r="R33" i="7"/>
  <c r="S33" i="7"/>
  <c r="S34" i="7"/>
  <c r="K42" i="13"/>
  <c r="J42" i="13"/>
  <c r="J43" i="13"/>
  <c r="J27" i="13"/>
  <c r="J28" i="13"/>
  <c r="K27" i="13"/>
  <c r="AL38" i="12"/>
  <c r="AR36" i="12"/>
  <c r="AU35" i="12"/>
  <c r="AX35" i="12"/>
  <c r="AV35" i="12"/>
  <c r="AW35" i="12"/>
  <c r="AS35" i="12"/>
  <c r="AT35" i="12"/>
  <c r="BO24" i="9"/>
  <c r="BP24" i="9"/>
  <c r="BH26" i="9"/>
  <c r="BI25" i="9"/>
  <c r="BJ25" i="9"/>
  <c r="BM25" i="9"/>
  <c r="BN25" i="9"/>
  <c r="R34" i="7"/>
  <c r="V23" i="7"/>
  <c r="Z23" i="7"/>
  <c r="K28" i="13"/>
  <c r="K29" i="13"/>
  <c r="K30" i="13"/>
  <c r="K43" i="13"/>
  <c r="K44" i="13"/>
  <c r="K45" i="13"/>
  <c r="AU36" i="12"/>
  <c r="AX36" i="12"/>
  <c r="AV36" i="12"/>
  <c r="AW36" i="12"/>
  <c r="AS36" i="12"/>
  <c r="AT36" i="12"/>
  <c r="AR37" i="12"/>
  <c r="AL39" i="12"/>
  <c r="BO25" i="9"/>
  <c r="BP25" i="9"/>
  <c r="BH27" i="9"/>
  <c r="BI26" i="9"/>
  <c r="BJ26" i="9"/>
  <c r="BM26" i="9"/>
  <c r="BN26" i="9"/>
  <c r="U23" i="7"/>
  <c r="Z24" i="7"/>
  <c r="J47" i="13"/>
  <c r="K47" i="13"/>
  <c r="K46" i="13"/>
  <c r="K32" i="13"/>
  <c r="K31" i="13"/>
  <c r="J32" i="13"/>
  <c r="AY38" i="12"/>
  <c r="AL40" i="12"/>
  <c r="AU37" i="12"/>
  <c r="AX37" i="12"/>
  <c r="AV37" i="12"/>
  <c r="AW37" i="12"/>
  <c r="AS37" i="12"/>
  <c r="AT37" i="12"/>
  <c r="AR38" i="12"/>
  <c r="BO26" i="9"/>
  <c r="BP26" i="9"/>
  <c r="BH28" i="9"/>
  <c r="BI27" i="9"/>
  <c r="BJ27" i="9"/>
  <c r="BM27" i="9"/>
  <c r="BN27" i="9"/>
  <c r="AA26" i="7"/>
  <c r="Z26" i="7"/>
  <c r="Z25" i="7"/>
  <c r="J48" i="13"/>
  <c r="K48" i="13"/>
  <c r="K49" i="13"/>
  <c r="J33" i="13"/>
  <c r="K33" i="13"/>
  <c r="K34" i="13"/>
  <c r="AZ38" i="12"/>
  <c r="AU38" i="12"/>
  <c r="AX38" i="12"/>
  <c r="AV38" i="12"/>
  <c r="AW38" i="12"/>
  <c r="AS38" i="12"/>
  <c r="AT38" i="12"/>
  <c r="AL41" i="12"/>
  <c r="BB38" i="12"/>
  <c r="AY39" i="12"/>
  <c r="AY18" i="12"/>
  <c r="AR39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36" i="12"/>
  <c r="AY37" i="12"/>
  <c r="BO27" i="9"/>
  <c r="BP27" i="9"/>
  <c r="BH29" i="9"/>
  <c r="BI28" i="9"/>
  <c r="BJ28" i="9"/>
  <c r="BM28" i="9"/>
  <c r="BN28" i="9"/>
  <c r="AA27" i="7"/>
  <c r="Z27" i="7"/>
  <c r="Z28" i="7"/>
  <c r="J34" i="13"/>
  <c r="N23" i="13"/>
  <c r="J49" i="13"/>
  <c r="N38" i="13"/>
  <c r="BA38" i="12"/>
  <c r="BC38" i="12"/>
  <c r="BD38" i="12"/>
  <c r="BE38" i="12"/>
  <c r="AZ39" i="12"/>
  <c r="BB39" i="12"/>
  <c r="AZ31" i="12"/>
  <c r="BA31" i="12"/>
  <c r="BB31" i="12"/>
  <c r="AZ27" i="12"/>
  <c r="BA27" i="12"/>
  <c r="BC27" i="12"/>
  <c r="BD27" i="12"/>
  <c r="BE27" i="12"/>
  <c r="BB27" i="12"/>
  <c r="AZ23" i="12"/>
  <c r="BA23" i="12"/>
  <c r="BB23" i="12"/>
  <c r="AZ19" i="12"/>
  <c r="BA19" i="12"/>
  <c r="BC19" i="12"/>
  <c r="BD19" i="12"/>
  <c r="BE19" i="12"/>
  <c r="BB19" i="12"/>
  <c r="AZ35" i="12"/>
  <c r="BA35" i="12"/>
  <c r="BB35" i="12"/>
  <c r="AZ34" i="12"/>
  <c r="BA34" i="12"/>
  <c r="BB34" i="12"/>
  <c r="AZ30" i="12"/>
  <c r="BA30" i="12"/>
  <c r="BB30" i="12"/>
  <c r="AZ26" i="12"/>
  <c r="BA26" i="12"/>
  <c r="BB26" i="12"/>
  <c r="AZ22" i="12"/>
  <c r="BA22" i="12"/>
  <c r="BB22" i="12"/>
  <c r="AR40" i="12"/>
  <c r="AZ33" i="12"/>
  <c r="BA33" i="12"/>
  <c r="BB33" i="12"/>
  <c r="AZ29" i="12"/>
  <c r="BA29" i="12"/>
  <c r="BB29" i="12"/>
  <c r="AZ25" i="12"/>
  <c r="BA25" i="12"/>
  <c r="BB25" i="12"/>
  <c r="AZ21" i="12"/>
  <c r="BA21" i="12"/>
  <c r="BB21" i="12"/>
  <c r="AU39" i="12"/>
  <c r="AX39" i="12"/>
  <c r="AV39" i="12"/>
  <c r="AW39" i="12"/>
  <c r="AS39" i="12"/>
  <c r="AT39" i="12"/>
  <c r="BA39" i="12"/>
  <c r="BC39" i="12"/>
  <c r="BD39" i="12"/>
  <c r="BE39" i="12"/>
  <c r="AL42" i="12"/>
  <c r="AZ37" i="12"/>
  <c r="BA37" i="12"/>
  <c r="BB37" i="12"/>
  <c r="AZ36" i="12"/>
  <c r="BA36" i="12"/>
  <c r="BC36" i="12"/>
  <c r="BD36" i="12"/>
  <c r="BE36" i="12"/>
  <c r="BB36" i="12"/>
  <c r="AZ32" i="12"/>
  <c r="BA32" i="12"/>
  <c r="BB32" i="12"/>
  <c r="AZ28" i="12"/>
  <c r="BA28" i="12"/>
  <c r="BC28" i="12"/>
  <c r="BD28" i="12"/>
  <c r="BE28" i="12"/>
  <c r="BB28" i="12"/>
  <c r="AZ24" i="12"/>
  <c r="BA24" i="12"/>
  <c r="BB24" i="12"/>
  <c r="AZ20" i="12"/>
  <c r="BA20" i="12"/>
  <c r="BC20" i="12"/>
  <c r="BD20" i="12"/>
  <c r="BE20" i="12"/>
  <c r="BB20" i="12"/>
  <c r="BB18" i="12"/>
  <c r="AZ18" i="12"/>
  <c r="BA18" i="12"/>
  <c r="AY40" i="12"/>
  <c r="BO28" i="9"/>
  <c r="BP28" i="9"/>
  <c r="BH30" i="9"/>
  <c r="BI29" i="9"/>
  <c r="BJ29" i="9"/>
  <c r="BM29" i="9"/>
  <c r="BN29" i="9"/>
  <c r="AA28" i="7"/>
  <c r="AA29" i="7"/>
  <c r="AA30" i="7"/>
  <c r="R38" i="13"/>
  <c r="R39" i="13"/>
  <c r="M38" i="13"/>
  <c r="R23" i="13"/>
  <c r="R24" i="13"/>
  <c r="M23" i="13"/>
  <c r="BC32" i="12"/>
  <c r="BD32" i="12"/>
  <c r="BE32" i="12"/>
  <c r="BC37" i="12"/>
  <c r="BD37" i="12"/>
  <c r="BE37" i="12"/>
  <c r="BC23" i="12"/>
  <c r="BD23" i="12"/>
  <c r="BE23" i="12"/>
  <c r="BC24" i="12"/>
  <c r="BD24" i="12"/>
  <c r="BE24" i="12"/>
  <c r="AZ40" i="12"/>
  <c r="BC25" i="12"/>
  <c r="BD25" i="12"/>
  <c r="BE25" i="12"/>
  <c r="BC21" i="12"/>
  <c r="BD21" i="12"/>
  <c r="BE21" i="12"/>
  <c r="BC29" i="12"/>
  <c r="BD29" i="12"/>
  <c r="BE29" i="12"/>
  <c r="BC26" i="12"/>
  <c r="BD26" i="12"/>
  <c r="BE26" i="12"/>
  <c r="BC34" i="12"/>
  <c r="BD34" i="12"/>
  <c r="BE34" i="12"/>
  <c r="BB40" i="12"/>
  <c r="AL43" i="12"/>
  <c r="AR41" i="12"/>
  <c r="BC33" i="12"/>
  <c r="BD33" i="12"/>
  <c r="BE33" i="12"/>
  <c r="BC22" i="12"/>
  <c r="BD22" i="12"/>
  <c r="BE22" i="12"/>
  <c r="BC30" i="12"/>
  <c r="BD30" i="12"/>
  <c r="BE30" i="12"/>
  <c r="BC35" i="12"/>
  <c r="BD35" i="12"/>
  <c r="BE35" i="12"/>
  <c r="BC18" i="12"/>
  <c r="BD18" i="12"/>
  <c r="BE18" i="12"/>
  <c r="AY41" i="12"/>
  <c r="BB41" i="12"/>
  <c r="AV40" i="12"/>
  <c r="AW40" i="12"/>
  <c r="AS40" i="12"/>
  <c r="AT40" i="12"/>
  <c r="BA40" i="12"/>
  <c r="BC40" i="12"/>
  <c r="BD40" i="12"/>
  <c r="BE40" i="12"/>
  <c r="AU40" i="12"/>
  <c r="AX40" i="12"/>
  <c r="BC31" i="12"/>
  <c r="BD31" i="12"/>
  <c r="BE31" i="12"/>
  <c r="BO29" i="9"/>
  <c r="BP29" i="9"/>
  <c r="BH31" i="9"/>
  <c r="BI30" i="9"/>
  <c r="BJ30" i="9"/>
  <c r="BM30" i="9"/>
  <c r="BN30" i="9"/>
  <c r="AA31" i="7"/>
  <c r="Z32" i="7"/>
  <c r="AA32" i="7"/>
  <c r="R26" i="13"/>
  <c r="R25" i="13"/>
  <c r="S26" i="13"/>
  <c r="R41" i="13"/>
  <c r="R40" i="13"/>
  <c r="S41" i="13"/>
  <c r="AL44" i="12"/>
  <c r="AS41" i="12"/>
  <c r="AT41" i="12"/>
  <c r="AU41" i="12"/>
  <c r="AX41" i="12"/>
  <c r="AV41" i="12"/>
  <c r="AW41" i="12"/>
  <c r="AR42" i="12"/>
  <c r="AZ41" i="12"/>
  <c r="AY42" i="12"/>
  <c r="AZ42" i="12"/>
  <c r="BO30" i="9"/>
  <c r="BP30" i="9"/>
  <c r="BH32" i="9"/>
  <c r="BI31" i="9"/>
  <c r="BJ31" i="9"/>
  <c r="BM31" i="9"/>
  <c r="BN31" i="9"/>
  <c r="Z33" i="7"/>
  <c r="AA33" i="7"/>
  <c r="AA34" i="7"/>
  <c r="S27" i="13"/>
  <c r="R27" i="13"/>
  <c r="R28" i="13"/>
  <c r="S42" i="13"/>
  <c r="R42" i="13"/>
  <c r="R43" i="13"/>
  <c r="BA41" i="12"/>
  <c r="BC41" i="12"/>
  <c r="BD41" i="12"/>
  <c r="BE41" i="12"/>
  <c r="AV42" i="12"/>
  <c r="AW42" i="12"/>
  <c r="AS42" i="12"/>
  <c r="AT42" i="12"/>
  <c r="BA42" i="12"/>
  <c r="AU42" i="12"/>
  <c r="AX42" i="12"/>
  <c r="BB42" i="12"/>
  <c r="AY43" i="12"/>
  <c r="BB43" i="12"/>
  <c r="AL45" i="12"/>
  <c r="AR43" i="12"/>
  <c r="BO31" i="9"/>
  <c r="BP31" i="9"/>
  <c r="BH33" i="9"/>
  <c r="BI32" i="9"/>
  <c r="BJ32" i="9"/>
  <c r="BM32" i="9"/>
  <c r="BN32" i="9"/>
  <c r="Z34" i="7"/>
  <c r="AD23" i="7"/>
  <c r="S43" i="13"/>
  <c r="S44" i="13"/>
  <c r="S28" i="13"/>
  <c r="S29" i="13"/>
  <c r="BC42" i="12"/>
  <c r="BD42" i="12"/>
  <c r="BE42" i="12"/>
  <c r="AL46" i="12"/>
  <c r="AR44" i="12"/>
  <c r="AY44" i="12"/>
  <c r="AU43" i="12"/>
  <c r="AX43" i="12"/>
  <c r="AV43" i="12"/>
  <c r="AW43" i="12"/>
  <c r="AS43" i="12"/>
  <c r="AT43" i="12"/>
  <c r="AZ43" i="12"/>
  <c r="BO32" i="9"/>
  <c r="BP32" i="9"/>
  <c r="BH34" i="9"/>
  <c r="BI33" i="9"/>
  <c r="BJ33" i="9"/>
  <c r="BM33" i="9"/>
  <c r="BN33" i="9"/>
  <c r="AH23" i="7"/>
  <c r="AC23" i="7"/>
  <c r="S30" i="13"/>
  <c r="V23" i="13"/>
  <c r="Z23" i="13"/>
  <c r="U23" i="13"/>
  <c r="S45" i="13"/>
  <c r="AZ44" i="12"/>
  <c r="BA43" i="12"/>
  <c r="BC43" i="12"/>
  <c r="BD43" i="12"/>
  <c r="BE43" i="12"/>
  <c r="AU44" i="12"/>
  <c r="AX44" i="12"/>
  <c r="AV44" i="12"/>
  <c r="AW44" i="12"/>
  <c r="AS44" i="12"/>
  <c r="AT44" i="12"/>
  <c r="BA44" i="12"/>
  <c r="BB44" i="12"/>
  <c r="AL47" i="12"/>
  <c r="AR45" i="12"/>
  <c r="AY45" i="12"/>
  <c r="AZ45" i="12"/>
  <c r="BO33" i="9"/>
  <c r="BP33" i="9"/>
  <c r="BH35" i="9"/>
  <c r="BI34" i="9"/>
  <c r="BJ34" i="9"/>
  <c r="BM34" i="9"/>
  <c r="BN34" i="9"/>
  <c r="AH24" i="7"/>
  <c r="F27" i="13"/>
  <c r="R47" i="13"/>
  <c r="S47" i="13"/>
  <c r="S46" i="13"/>
  <c r="Z24" i="13"/>
  <c r="AD23" i="13"/>
  <c r="AH23" i="13"/>
  <c r="F26" i="13"/>
  <c r="AC23" i="13"/>
  <c r="S32" i="13"/>
  <c r="S31" i="13"/>
  <c r="R32" i="13"/>
  <c r="BC44" i="12"/>
  <c r="BD44" i="12"/>
  <c r="BE44" i="12"/>
  <c r="AS45" i="12"/>
  <c r="AT45" i="12"/>
  <c r="BA45" i="12"/>
  <c r="AU45" i="12"/>
  <c r="AX45" i="12"/>
  <c r="AV45" i="12"/>
  <c r="AW45" i="12"/>
  <c r="BB45" i="12"/>
  <c r="AL48" i="12"/>
  <c r="AR46" i="12"/>
  <c r="AY46" i="12"/>
  <c r="BO34" i="9"/>
  <c r="BP34" i="9"/>
  <c r="BH36" i="9"/>
  <c r="BI35" i="9"/>
  <c r="BJ35" i="9"/>
  <c r="BM35" i="9"/>
  <c r="BN35" i="9"/>
  <c r="AI26" i="7"/>
  <c r="AH26" i="7"/>
  <c r="AH25" i="7"/>
  <c r="S33" i="13"/>
  <c r="S34" i="13"/>
  <c r="R33" i="13"/>
  <c r="Z26" i="13"/>
  <c r="Z25" i="13"/>
  <c r="AA26" i="13"/>
  <c r="R48" i="13"/>
  <c r="S48" i="13"/>
  <c r="S49" i="13"/>
  <c r="AK23" i="13"/>
  <c r="F28" i="13"/>
  <c r="G26" i="13"/>
  <c r="AH24" i="13"/>
  <c r="AZ46" i="12"/>
  <c r="BC45" i="12"/>
  <c r="BD45" i="12"/>
  <c r="BE45" i="12"/>
  <c r="BB46" i="12"/>
  <c r="AR47" i="12"/>
  <c r="AL49" i="12"/>
  <c r="AV46" i="12"/>
  <c r="AW46" i="12"/>
  <c r="AS46" i="12"/>
  <c r="AT46" i="12"/>
  <c r="AU46" i="12"/>
  <c r="AX46" i="12"/>
  <c r="AY47" i="12"/>
  <c r="BO35" i="9"/>
  <c r="BP35" i="9"/>
  <c r="BH37" i="9"/>
  <c r="BI36" i="9"/>
  <c r="BJ36" i="9"/>
  <c r="BM36" i="9"/>
  <c r="BN36" i="9"/>
  <c r="AI27" i="7"/>
  <c r="AH27" i="7"/>
  <c r="AH28" i="7"/>
  <c r="R49" i="13"/>
  <c r="V38" i="13"/>
  <c r="AI26" i="13"/>
  <c r="AH26" i="13"/>
  <c r="AH25" i="13"/>
  <c r="Z27" i="13"/>
  <c r="Z28" i="13"/>
  <c r="AA27" i="13"/>
  <c r="R34" i="13"/>
  <c r="U38" i="13"/>
  <c r="F42" i="13"/>
  <c r="Z38" i="13"/>
  <c r="BA46" i="12"/>
  <c r="BC46" i="12"/>
  <c r="BD46" i="12"/>
  <c r="BE46" i="12"/>
  <c r="AZ47" i="12"/>
  <c r="AR48" i="12"/>
  <c r="AL50" i="12"/>
  <c r="BB47" i="12"/>
  <c r="AY48" i="12"/>
  <c r="AU47" i="12"/>
  <c r="AX47" i="12"/>
  <c r="AV47" i="12"/>
  <c r="AW47" i="12"/>
  <c r="AS47" i="12"/>
  <c r="AT47" i="12"/>
  <c r="BA47" i="12"/>
  <c r="BC47" i="12"/>
  <c r="BD47" i="12"/>
  <c r="BE47" i="12"/>
  <c r="BO36" i="9"/>
  <c r="BP36" i="9"/>
  <c r="BH38" i="9"/>
  <c r="BI37" i="9"/>
  <c r="BJ37" i="9"/>
  <c r="BM37" i="9"/>
  <c r="BN37" i="9"/>
  <c r="AI28" i="7"/>
  <c r="AI29" i="7"/>
  <c r="AI30" i="7"/>
  <c r="AI27" i="13"/>
  <c r="AH27" i="13"/>
  <c r="AH28" i="13"/>
  <c r="AA28" i="13"/>
  <c r="AA29" i="13"/>
  <c r="AA30" i="13"/>
  <c r="Z39" i="13"/>
  <c r="AZ48" i="12"/>
  <c r="AY49" i="12"/>
  <c r="AL51" i="12"/>
  <c r="AU48" i="12"/>
  <c r="AX48" i="12"/>
  <c r="AV48" i="12"/>
  <c r="AW48" i="12"/>
  <c r="AS48" i="12"/>
  <c r="AT48" i="12"/>
  <c r="BB48" i="12"/>
  <c r="AR49" i="12"/>
  <c r="BO37" i="9"/>
  <c r="BP37" i="9"/>
  <c r="BH39" i="9"/>
  <c r="BI38" i="9"/>
  <c r="BJ38" i="9"/>
  <c r="BM38" i="9"/>
  <c r="BN38" i="9"/>
  <c r="AI31" i="7"/>
  <c r="AH32" i="7"/>
  <c r="AI32" i="7"/>
  <c r="Z32" i="13"/>
  <c r="AA32" i="13"/>
  <c r="AA31" i="13"/>
  <c r="AI28" i="13"/>
  <c r="AI29" i="13"/>
  <c r="AA41" i="13"/>
  <c r="Z41" i="13"/>
  <c r="Z40" i="13"/>
  <c r="BA48" i="12"/>
  <c r="BC48" i="12"/>
  <c r="BD48" i="12"/>
  <c r="BE48" i="12"/>
  <c r="AZ49" i="12"/>
  <c r="AY50" i="12"/>
  <c r="AS49" i="12"/>
  <c r="AT49" i="12"/>
  <c r="AU49" i="12"/>
  <c r="AX49" i="12"/>
  <c r="AV49" i="12"/>
  <c r="AW49" i="12"/>
  <c r="AL52" i="12"/>
  <c r="BB49" i="12"/>
  <c r="AR50" i="12"/>
  <c r="BO38" i="9"/>
  <c r="BP38" i="9"/>
  <c r="BH40" i="9"/>
  <c r="BI39" i="9"/>
  <c r="BJ39" i="9"/>
  <c r="BM39" i="9"/>
  <c r="BN39" i="9"/>
  <c r="AH33" i="7"/>
  <c r="AI33" i="7"/>
  <c r="AI34" i="7"/>
  <c r="AI30" i="13"/>
  <c r="AL23" i="13"/>
  <c r="Z33" i="13"/>
  <c r="AA33" i="13"/>
  <c r="AA34" i="13"/>
  <c r="AA42" i="13"/>
  <c r="Z42" i="13"/>
  <c r="Z43" i="13"/>
  <c r="BA49" i="12"/>
  <c r="BC49" i="12"/>
  <c r="BD49" i="12"/>
  <c r="BE49" i="12"/>
  <c r="AL53" i="12"/>
  <c r="AR51" i="12"/>
  <c r="AZ50" i="12"/>
  <c r="AV50" i="12"/>
  <c r="AW50" i="12"/>
  <c r="AS50" i="12"/>
  <c r="AT50" i="12"/>
  <c r="AU50" i="12"/>
  <c r="AX50" i="12"/>
  <c r="BB50" i="12"/>
  <c r="AY51" i="12"/>
  <c r="BO39" i="9"/>
  <c r="BP39" i="9"/>
  <c r="BH41" i="9"/>
  <c r="BI40" i="9"/>
  <c r="BJ40" i="9"/>
  <c r="BM40" i="9"/>
  <c r="BN40" i="9"/>
  <c r="AH34" i="7"/>
  <c r="AL23" i="7"/>
  <c r="AK23" i="7"/>
  <c r="Z34" i="13"/>
  <c r="AI31" i="13"/>
  <c r="AH32" i="13"/>
  <c r="AI32" i="13"/>
  <c r="AA43" i="13"/>
  <c r="AA44" i="13"/>
  <c r="BA50" i="12"/>
  <c r="BC50" i="12"/>
  <c r="BD50" i="12"/>
  <c r="BE50" i="12"/>
  <c r="AU51" i="12"/>
  <c r="AX51" i="12"/>
  <c r="AV51" i="12"/>
  <c r="AW51" i="12"/>
  <c r="AS51" i="12"/>
  <c r="AT51" i="12"/>
  <c r="AZ51" i="12"/>
  <c r="AY52" i="12"/>
  <c r="AL54" i="12"/>
  <c r="BB51" i="12"/>
  <c r="AR52" i="12"/>
  <c r="BO40" i="9"/>
  <c r="BP40" i="9"/>
  <c r="BH42" i="9"/>
  <c r="BI41" i="9"/>
  <c r="BJ41" i="9"/>
  <c r="BM41" i="9"/>
  <c r="BN41" i="9"/>
  <c r="AH33" i="13"/>
  <c r="AI33" i="13"/>
  <c r="AI34" i="13"/>
  <c r="AA45" i="13"/>
  <c r="AZ52" i="12"/>
  <c r="BA51" i="12"/>
  <c r="BC51" i="12"/>
  <c r="BD51" i="12"/>
  <c r="BE51" i="12"/>
  <c r="AL55" i="12"/>
  <c r="BB52" i="12"/>
  <c r="AU52" i="12"/>
  <c r="AX52" i="12"/>
  <c r="AV52" i="12"/>
  <c r="AW52" i="12"/>
  <c r="AS52" i="12"/>
  <c r="AT52" i="12"/>
  <c r="BA52" i="12"/>
  <c r="BC52" i="12"/>
  <c r="BD52" i="12"/>
  <c r="BE52" i="12"/>
  <c r="AR53" i="12"/>
  <c r="AY53" i="12"/>
  <c r="BO41" i="9"/>
  <c r="BP41" i="9"/>
  <c r="BH43" i="9"/>
  <c r="BI42" i="9"/>
  <c r="BJ42" i="9"/>
  <c r="BM42" i="9"/>
  <c r="BN42" i="9"/>
  <c r="AH34" i="13"/>
  <c r="Z47" i="13"/>
  <c r="AA47" i="13"/>
  <c r="AA46" i="13"/>
  <c r="AZ53" i="12"/>
  <c r="AS53" i="12"/>
  <c r="AT53" i="12"/>
  <c r="AU53" i="12"/>
  <c r="AX53" i="12"/>
  <c r="AV53" i="12"/>
  <c r="AW53" i="12"/>
  <c r="AL56" i="12"/>
  <c r="BB53" i="12"/>
  <c r="AR54" i="12"/>
  <c r="AY54" i="12"/>
  <c r="BO42" i="9"/>
  <c r="BP42" i="9"/>
  <c r="BH44" i="9"/>
  <c r="BI43" i="9"/>
  <c r="BJ43" i="9"/>
  <c r="BM43" i="9"/>
  <c r="BN43" i="9"/>
  <c r="Z48" i="13"/>
  <c r="AA48" i="13"/>
  <c r="AA49" i="13"/>
  <c r="BA53" i="12"/>
  <c r="BC53" i="12"/>
  <c r="BD53" i="12"/>
  <c r="BE53" i="12"/>
  <c r="AZ54" i="12"/>
  <c r="AL57" i="12"/>
  <c r="AV54" i="12"/>
  <c r="AW54" i="12"/>
  <c r="AS54" i="12"/>
  <c r="AT54" i="12"/>
  <c r="AU54" i="12"/>
  <c r="AX54" i="12"/>
  <c r="AR55" i="12"/>
  <c r="AY55" i="12"/>
  <c r="BB55" i="12"/>
  <c r="BB54" i="12"/>
  <c r="BO43" i="9"/>
  <c r="BP43" i="9"/>
  <c r="BH45" i="9"/>
  <c r="BI44" i="9"/>
  <c r="BJ44" i="9"/>
  <c r="BM44" i="9"/>
  <c r="BN44" i="9"/>
  <c r="Z49" i="13"/>
  <c r="AD38" i="13"/>
  <c r="BA54" i="12"/>
  <c r="BC54" i="12"/>
  <c r="BD54" i="12"/>
  <c r="BE54" i="12"/>
  <c r="AU55" i="12"/>
  <c r="AX55" i="12"/>
  <c r="AV55" i="12"/>
  <c r="AW55" i="12"/>
  <c r="AS55" i="12"/>
  <c r="AT55" i="12"/>
  <c r="AZ55" i="12"/>
  <c r="AR56" i="12"/>
  <c r="AY56" i="12"/>
  <c r="AZ56" i="12"/>
  <c r="AL58" i="12"/>
  <c r="BO44" i="9"/>
  <c r="BP44" i="9"/>
  <c r="BH46" i="9"/>
  <c r="BI45" i="9"/>
  <c r="BJ45" i="9"/>
  <c r="BM45" i="9"/>
  <c r="BN45" i="9"/>
  <c r="AH38" i="13"/>
  <c r="AC38" i="13"/>
  <c r="BA55" i="12"/>
  <c r="BC55" i="12"/>
  <c r="BD55" i="12"/>
  <c r="BE55" i="12"/>
  <c r="BB56" i="12"/>
  <c r="AR57" i="12"/>
  <c r="AY57" i="12"/>
  <c r="BB57" i="12"/>
  <c r="AV56" i="12"/>
  <c r="AW56" i="12"/>
  <c r="AS56" i="12"/>
  <c r="AT56" i="12"/>
  <c r="BA56" i="12"/>
  <c r="BC56" i="12"/>
  <c r="BD56" i="12"/>
  <c r="BE56" i="12"/>
  <c r="AU56" i="12"/>
  <c r="AX56" i="12"/>
  <c r="AL59" i="12"/>
  <c r="BO45" i="9"/>
  <c r="BP45" i="9"/>
  <c r="BH47" i="9"/>
  <c r="BI46" i="9"/>
  <c r="BJ46" i="9"/>
  <c r="BM46" i="9"/>
  <c r="BN46" i="9"/>
  <c r="AH39" i="13"/>
  <c r="AR58" i="12"/>
  <c r="AY58" i="12"/>
  <c r="AL60" i="12"/>
  <c r="AZ57" i="12"/>
  <c r="AU57" i="12"/>
  <c r="AX57" i="12"/>
  <c r="AV57" i="12"/>
  <c r="AW57" i="12"/>
  <c r="AS57" i="12"/>
  <c r="AT57" i="12"/>
  <c r="BO46" i="9"/>
  <c r="BP46" i="9"/>
  <c r="BH48" i="9"/>
  <c r="BI47" i="9"/>
  <c r="BJ47" i="9"/>
  <c r="BM47" i="9"/>
  <c r="BN47" i="9"/>
  <c r="AH40" i="13"/>
  <c r="AI41" i="13"/>
  <c r="AH41" i="13"/>
  <c r="BA57" i="12"/>
  <c r="BC57" i="12"/>
  <c r="BD57" i="12"/>
  <c r="BE57" i="12"/>
  <c r="AZ58" i="12"/>
  <c r="AR59" i="12"/>
  <c r="AY59" i="12"/>
  <c r="AZ59" i="12"/>
  <c r="AL61" i="12"/>
  <c r="BB58" i="12"/>
  <c r="AU58" i="12"/>
  <c r="AX58" i="12"/>
  <c r="AV58" i="12"/>
  <c r="AW58" i="12"/>
  <c r="AS58" i="12"/>
  <c r="AT58" i="12"/>
  <c r="BO47" i="9"/>
  <c r="BP47" i="9"/>
  <c r="BH49" i="9"/>
  <c r="BI48" i="9"/>
  <c r="BJ48" i="9"/>
  <c r="BM48" i="9"/>
  <c r="BN48" i="9"/>
  <c r="AH42" i="13"/>
  <c r="AH43" i="13"/>
  <c r="AI42" i="13"/>
  <c r="BA58" i="12"/>
  <c r="BC58" i="12"/>
  <c r="BD58" i="12"/>
  <c r="BE58" i="12"/>
  <c r="AR60" i="12"/>
  <c r="AY60" i="12"/>
  <c r="BB60" i="12"/>
  <c r="AL62" i="12"/>
  <c r="AS59" i="12"/>
  <c r="AT59" i="12"/>
  <c r="BA59" i="12"/>
  <c r="AV59" i="12"/>
  <c r="AW59" i="12"/>
  <c r="AU59" i="12"/>
  <c r="AX59" i="12"/>
  <c r="BB59" i="12"/>
  <c r="BO48" i="9"/>
  <c r="BP48" i="9"/>
  <c r="BH50" i="9"/>
  <c r="BI49" i="9"/>
  <c r="BJ49" i="9"/>
  <c r="BM49" i="9"/>
  <c r="BN49" i="9"/>
  <c r="AI43" i="13"/>
  <c r="AI44" i="13"/>
  <c r="AI45" i="13"/>
  <c r="BC59" i="12"/>
  <c r="BD59" i="12"/>
  <c r="BE59" i="12"/>
  <c r="AR61" i="12"/>
  <c r="AY61" i="12"/>
  <c r="BB61" i="12"/>
  <c r="AZ60" i="12"/>
  <c r="AV60" i="12"/>
  <c r="AW60" i="12"/>
  <c r="AS60" i="12"/>
  <c r="AT60" i="12"/>
  <c r="AU60" i="12"/>
  <c r="AX60" i="12"/>
  <c r="AL63" i="12"/>
  <c r="BO49" i="9"/>
  <c r="BP49" i="9"/>
  <c r="BH51" i="9"/>
  <c r="BI50" i="9"/>
  <c r="BJ50" i="9"/>
  <c r="BM50" i="9"/>
  <c r="BN50" i="9"/>
  <c r="AH47" i="13"/>
  <c r="AI46" i="13"/>
  <c r="AI47" i="13"/>
  <c r="BA60" i="12"/>
  <c r="BC60" i="12"/>
  <c r="BD60" i="12"/>
  <c r="BE60" i="12"/>
  <c r="AL64" i="12"/>
  <c r="AR62" i="12"/>
  <c r="AY62" i="12"/>
  <c r="AZ61" i="12"/>
  <c r="AU61" i="12"/>
  <c r="AX61" i="12"/>
  <c r="AV61" i="12"/>
  <c r="AW61" i="12"/>
  <c r="AS61" i="12"/>
  <c r="AT61" i="12"/>
  <c r="BO50" i="9"/>
  <c r="BP50" i="9"/>
  <c r="BH52" i="9"/>
  <c r="BI51" i="9"/>
  <c r="BJ51" i="9"/>
  <c r="BM51" i="9"/>
  <c r="BN51" i="9"/>
  <c r="AI48" i="13"/>
  <c r="AI49" i="13"/>
  <c r="AH48" i="13"/>
  <c r="BA61" i="12"/>
  <c r="BC61" i="12"/>
  <c r="BD61" i="12"/>
  <c r="BE61" i="12"/>
  <c r="AZ62" i="12"/>
  <c r="AR63" i="12"/>
  <c r="AY63" i="12"/>
  <c r="AZ63" i="12"/>
  <c r="AU62" i="12"/>
  <c r="AX62" i="12"/>
  <c r="AV62" i="12"/>
  <c r="AW62" i="12"/>
  <c r="AS62" i="12"/>
  <c r="AT62" i="12"/>
  <c r="BA62" i="12"/>
  <c r="BC62" i="12"/>
  <c r="BD62" i="12"/>
  <c r="BE62" i="12"/>
  <c r="BB62" i="12"/>
  <c r="BO51" i="9"/>
  <c r="BP51" i="9"/>
  <c r="BH53" i="9"/>
  <c r="BI52" i="9"/>
  <c r="BJ52" i="9"/>
  <c r="BM52" i="9"/>
  <c r="BN52" i="9"/>
  <c r="AH49" i="13"/>
  <c r="AL38" i="13"/>
  <c r="AK38" i="13"/>
  <c r="F43" i="13"/>
  <c r="G41" i="13"/>
  <c r="AS63" i="12"/>
  <c r="AT63" i="12"/>
  <c r="BA63" i="12"/>
  <c r="AV63" i="12"/>
  <c r="AW63" i="12"/>
  <c r="AU63" i="12"/>
  <c r="AX63" i="12"/>
  <c r="AR64" i="12"/>
  <c r="AY64" i="12"/>
  <c r="BB63" i="12"/>
  <c r="BO52" i="9"/>
  <c r="BP52" i="9"/>
  <c r="BH54" i="9"/>
  <c r="BI53" i="9"/>
  <c r="BJ53" i="9"/>
  <c r="BM53" i="9"/>
  <c r="BN53" i="9"/>
  <c r="F41" i="13"/>
  <c r="F30" i="13"/>
  <c r="AK42" i="13"/>
  <c r="AZ64" i="12"/>
  <c r="BC63" i="12"/>
  <c r="BD63" i="12"/>
  <c r="BE63" i="12"/>
  <c r="BB64" i="12"/>
  <c r="BB65" i="12"/>
  <c r="AV64" i="12"/>
  <c r="AW64" i="12"/>
  <c r="AS64" i="12"/>
  <c r="AT64" i="12"/>
  <c r="BA64" i="12"/>
  <c r="AU64" i="12"/>
  <c r="AX64" i="12"/>
  <c r="BO53" i="9"/>
  <c r="BP53" i="9"/>
  <c r="BH55" i="9"/>
  <c r="BI54" i="9"/>
  <c r="BJ54" i="9"/>
  <c r="BM54" i="9"/>
  <c r="BN54" i="9"/>
  <c r="BC64" i="12"/>
  <c r="BD64" i="12"/>
  <c r="BE64" i="12"/>
  <c r="BO54" i="9"/>
  <c r="BP54" i="9"/>
  <c r="BH56" i="9"/>
  <c r="BI55" i="9"/>
  <c r="BJ55" i="9"/>
  <c r="BM55" i="9"/>
  <c r="BN55" i="9"/>
  <c r="BO55" i="9"/>
  <c r="BP55" i="9"/>
  <c r="BH57" i="9"/>
  <c r="BI56" i="9"/>
  <c r="BJ56" i="9"/>
  <c r="BM56" i="9"/>
  <c r="BN56" i="9"/>
  <c r="BO56" i="9"/>
  <c r="BP56" i="9"/>
  <c r="BH58" i="9"/>
  <c r="BI57" i="9"/>
  <c r="BJ57" i="9"/>
  <c r="BM57" i="9"/>
  <c r="BN57" i="9"/>
  <c r="BO57" i="9"/>
  <c r="BP57" i="9"/>
  <c r="BH59" i="9"/>
  <c r="BI58" i="9"/>
  <c r="BJ58" i="9"/>
  <c r="BM58" i="9"/>
  <c r="BN58" i="9"/>
  <c r="BO58" i="9"/>
  <c r="BP58" i="9"/>
  <c r="BH60" i="9"/>
  <c r="BI59" i="9"/>
  <c r="BJ59" i="9"/>
  <c r="BM59" i="9"/>
  <c r="BN59" i="9"/>
  <c r="BO59" i="9"/>
  <c r="BP59" i="9"/>
  <c r="BH61" i="9"/>
  <c r="BI60" i="9"/>
  <c r="BJ60" i="9"/>
  <c r="BM60" i="9"/>
  <c r="BN60" i="9"/>
  <c r="BO60" i="9"/>
  <c r="BP60" i="9"/>
  <c r="BH62" i="9"/>
  <c r="BI61" i="9"/>
  <c r="BJ61" i="9"/>
  <c r="BM61" i="9"/>
  <c r="BN61" i="9"/>
  <c r="BO61" i="9"/>
  <c r="BP61" i="9"/>
  <c r="BH63" i="9"/>
  <c r="BI62" i="9"/>
  <c r="BJ62" i="9"/>
  <c r="BM62" i="9"/>
  <c r="BN62" i="9"/>
  <c r="BO62" i="9"/>
  <c r="BP62" i="9"/>
  <c r="BH64" i="9"/>
  <c r="BI63" i="9"/>
  <c r="BJ63" i="9"/>
  <c r="BM63" i="9"/>
  <c r="BN63" i="9"/>
  <c r="BO63" i="9"/>
  <c r="BP63" i="9"/>
  <c r="BH65" i="9"/>
  <c r="BI64" i="9"/>
  <c r="BJ64" i="9"/>
  <c r="BM64" i="9"/>
  <c r="BN64" i="9"/>
  <c r="BO64" i="9"/>
  <c r="BP64" i="9"/>
  <c r="BH66" i="9"/>
  <c r="BI65" i="9"/>
  <c r="BJ65" i="9"/>
  <c r="BM65" i="9"/>
  <c r="BN65" i="9"/>
  <c r="BO65" i="9"/>
  <c r="BP65" i="9"/>
  <c r="BH67" i="9"/>
  <c r="BI66" i="9"/>
  <c r="BJ66" i="9"/>
  <c r="BM66" i="9"/>
  <c r="BN66" i="9"/>
  <c r="BO66" i="9"/>
  <c r="BP66" i="9"/>
  <c r="BH68" i="9"/>
  <c r="BI67" i="9"/>
  <c r="BJ67" i="9"/>
  <c r="BM67" i="9"/>
  <c r="BN67" i="9"/>
  <c r="BO67" i="9"/>
  <c r="BP67" i="9"/>
  <c r="BH69" i="9"/>
  <c r="BI68" i="9"/>
  <c r="BJ68" i="9"/>
  <c r="BM68" i="9"/>
  <c r="BN68" i="9"/>
  <c r="BO68" i="9"/>
  <c r="BP68" i="9"/>
  <c r="BH70" i="9"/>
  <c r="BI69" i="9"/>
  <c r="BJ69" i="9"/>
  <c r="BM69" i="9"/>
  <c r="BN69" i="9"/>
  <c r="BO69" i="9"/>
  <c r="BP69" i="9"/>
  <c r="BH71" i="9"/>
  <c r="BI70" i="9"/>
  <c r="BJ70" i="9"/>
  <c r="BM70" i="9"/>
  <c r="BN70" i="9"/>
  <c r="BO70" i="9"/>
  <c r="BP70" i="9"/>
  <c r="BH72" i="9"/>
  <c r="BI71" i="9"/>
  <c r="BJ71" i="9"/>
  <c r="BM71" i="9"/>
  <c r="BN71" i="9"/>
  <c r="BO71" i="9"/>
  <c r="BP71" i="9"/>
  <c r="BH73" i="9"/>
  <c r="BI72" i="9"/>
  <c r="BJ72" i="9"/>
  <c r="BM72" i="9"/>
  <c r="BN72" i="9"/>
  <c r="BO72" i="9"/>
  <c r="BP72" i="9"/>
  <c r="BH74" i="9"/>
  <c r="BI73" i="9"/>
  <c r="BJ73" i="9"/>
  <c r="BM73" i="9"/>
  <c r="BN73" i="9"/>
  <c r="BO73" i="9"/>
  <c r="BP73" i="9"/>
  <c r="BH75" i="9"/>
  <c r="BI74" i="9"/>
  <c r="BJ74" i="9"/>
  <c r="BM74" i="9"/>
  <c r="BN74" i="9"/>
  <c r="BO74" i="9"/>
  <c r="BP74" i="9"/>
  <c r="BH76" i="9"/>
  <c r="BI75" i="9"/>
  <c r="BJ75" i="9"/>
  <c r="BM75" i="9"/>
  <c r="BN75" i="9"/>
  <c r="BO75" i="9"/>
  <c r="BP75" i="9"/>
  <c r="BH77" i="9"/>
  <c r="BI76" i="9"/>
  <c r="BJ76" i="9"/>
  <c r="BM76" i="9"/>
  <c r="BN76" i="9"/>
  <c r="BO76" i="9"/>
  <c r="BP76" i="9"/>
  <c r="BH78" i="9"/>
  <c r="BI77" i="9"/>
  <c r="BJ77" i="9"/>
  <c r="BM77" i="9"/>
  <c r="BN77" i="9"/>
  <c r="BO77" i="9"/>
  <c r="BP77" i="9"/>
  <c r="BH79" i="9"/>
  <c r="BI78" i="9"/>
  <c r="BJ78" i="9"/>
  <c r="BM78" i="9"/>
  <c r="BN78" i="9"/>
  <c r="BO78" i="9"/>
  <c r="BP78" i="9"/>
  <c r="BH80" i="9"/>
  <c r="BI79" i="9"/>
  <c r="BJ79" i="9"/>
  <c r="BM79" i="9"/>
  <c r="BN79" i="9"/>
  <c r="BO79" i="9"/>
  <c r="BP79" i="9"/>
  <c r="BH81" i="9"/>
  <c r="BI80" i="9"/>
  <c r="BJ80" i="9"/>
  <c r="BM80" i="9"/>
  <c r="BN80" i="9"/>
  <c r="BO80" i="9"/>
  <c r="BP80" i="9"/>
  <c r="BH82" i="9"/>
  <c r="BI81" i="9"/>
  <c r="BJ81" i="9"/>
  <c r="BM81" i="9"/>
  <c r="BN81" i="9"/>
  <c r="BO81" i="9"/>
  <c r="BP81" i="9"/>
  <c r="BH83" i="9"/>
  <c r="BI82" i="9"/>
  <c r="BJ82" i="9"/>
  <c r="BM82" i="9"/>
  <c r="BN82" i="9"/>
  <c r="BO82" i="9"/>
  <c r="BP82" i="9"/>
  <c r="BH84" i="9"/>
  <c r="BI83" i="9"/>
  <c r="BJ83" i="9"/>
  <c r="BM83" i="9"/>
  <c r="BN83" i="9"/>
  <c r="BO83" i="9"/>
  <c r="BP83" i="9"/>
  <c r="BH85" i="9"/>
  <c r="BI84" i="9"/>
  <c r="BJ84" i="9"/>
  <c r="BM84" i="9"/>
  <c r="BN84" i="9"/>
  <c r="BO84" i="9"/>
  <c r="BP84" i="9"/>
  <c r="BH86" i="9"/>
  <c r="BI85" i="9"/>
  <c r="BJ85" i="9"/>
  <c r="BM85" i="9"/>
  <c r="BN85" i="9"/>
  <c r="BO85" i="9"/>
  <c r="BP85" i="9"/>
  <c r="BH87" i="9"/>
  <c r="BI86" i="9"/>
  <c r="BJ86" i="9"/>
  <c r="BM86" i="9"/>
  <c r="BN86" i="9"/>
  <c r="BO86" i="9"/>
  <c r="BP86" i="9"/>
  <c r="BH88" i="9"/>
  <c r="BI87" i="9"/>
  <c r="BJ87" i="9"/>
  <c r="BM87" i="9"/>
  <c r="BN87" i="9"/>
  <c r="BO87" i="9"/>
  <c r="BP87" i="9"/>
  <c r="BH89" i="9"/>
  <c r="BI88" i="9"/>
  <c r="BJ88" i="9"/>
  <c r="BM88" i="9"/>
  <c r="BN88" i="9"/>
  <c r="BO88" i="9"/>
  <c r="BP88" i="9"/>
  <c r="BH90" i="9"/>
  <c r="BI89" i="9"/>
  <c r="BJ89" i="9"/>
  <c r="BM89" i="9"/>
  <c r="BN89" i="9"/>
  <c r="BO89" i="9"/>
  <c r="BP89" i="9"/>
  <c r="BH91" i="9"/>
  <c r="BI90" i="9"/>
  <c r="BJ90" i="9"/>
  <c r="BM90" i="9"/>
  <c r="BN90" i="9"/>
  <c r="BO90" i="9"/>
  <c r="BP90" i="9"/>
  <c r="BH92" i="9"/>
  <c r="BI91" i="9"/>
  <c r="BJ91" i="9"/>
  <c r="BM91" i="9"/>
  <c r="BN91" i="9"/>
  <c r="BO91" i="9"/>
  <c r="BP91" i="9"/>
  <c r="BH93" i="9"/>
  <c r="BI92" i="9"/>
  <c r="BJ92" i="9"/>
  <c r="BM92" i="9"/>
  <c r="BN92" i="9"/>
  <c r="BO92" i="9"/>
  <c r="BP92" i="9"/>
  <c r="BH94" i="9"/>
  <c r="BI93" i="9"/>
  <c r="BJ93" i="9"/>
  <c r="BM93" i="9"/>
  <c r="BN93" i="9"/>
  <c r="BO93" i="9"/>
  <c r="BP93" i="9"/>
  <c r="BH95" i="9"/>
  <c r="BI94" i="9"/>
  <c r="BJ94" i="9"/>
  <c r="BM94" i="9"/>
  <c r="BN94" i="9"/>
  <c r="BO94" i="9"/>
  <c r="BP94" i="9"/>
  <c r="BI95" i="9"/>
  <c r="BJ95" i="9"/>
  <c r="BM95" i="9"/>
  <c r="BN95" i="9"/>
  <c r="BO95" i="9"/>
  <c r="BP95" i="9"/>
</calcChain>
</file>

<file path=xl/connections.xml><?xml version="1.0" encoding="utf-8"?>
<connections xmlns="http://schemas.openxmlformats.org/spreadsheetml/2006/main">
  <connection id="1" name="Beryllium in  H- C" type="6" refreshedVersion="6" background="1" saveData="1">
    <textPr fileType="dos" firstRow="22" sourceFile="C:\Users\Thomas\Documents\SRIM-2013\SRIM Outputs\Beryllium in  H- C.txt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<sst xmlns="http://schemas.openxmlformats.org/spreadsheetml/2006/main" count="17015" uniqueCount="1819">
  <si>
    <r>
      <t>[</t>
    </r>
    <r>
      <rPr>
        <sz val="10"/>
        <rFont val="Arial"/>
        <family val="2"/>
      </rPr>
      <t>m</t>
    </r>
    <r>
      <rPr>
        <sz val="10"/>
        <rFont val="Arial"/>
        <family val="2"/>
      </rPr>
      <t>b]</t>
    </r>
  </si>
  <si>
    <t xml:space="preserve">stats </t>
  </si>
  <si>
    <t>shifts</t>
  </si>
  <si>
    <t>[12h]</t>
  </si>
  <si>
    <t>beam intensity</t>
  </si>
  <si>
    <t>[pps]</t>
  </si>
  <si>
    <t>Elab</t>
  </si>
  <si>
    <t>37K in CH2</t>
  </si>
  <si>
    <t>37K in Si</t>
  </si>
  <si>
    <t>fission</t>
  </si>
  <si>
    <t>part/cm2</t>
  </si>
  <si>
    <t>alphas</t>
  </si>
  <si>
    <t>protons</t>
  </si>
  <si>
    <t>electrons</t>
  </si>
  <si>
    <t>Element = 0, Compound = 1</t>
  </si>
  <si>
    <t>use a negative distance for upstream of target</t>
  </si>
  <si>
    <t>Detector Type: QQQ/2 (CD)</t>
  </si>
  <si>
    <t>particles/cm2</t>
  </si>
  <si>
    <t>θmin =</t>
  </si>
  <si>
    <t>θmax =</t>
  </si>
  <si>
    <t>CD_near</t>
  </si>
  <si>
    <t>Detector Type: W1</t>
  </si>
  <si>
    <t>W1</t>
  </si>
  <si>
    <t>side =</t>
  </si>
  <si>
    <t>outer edge=</t>
  </si>
  <si>
    <t>pitch =</t>
  </si>
  <si>
    <t>CD_far</t>
  </si>
  <si>
    <t>Projectile Angle (deg)</t>
  </si>
  <si>
    <t>solid angle detection η =</t>
  </si>
  <si>
    <t>intrinsic Si detection efficiency (commonly 100% for charged particles)</t>
  </si>
  <si>
    <t>12C in CH2</t>
  </si>
  <si>
    <t>12C in Si</t>
  </si>
  <si>
    <t>A1</t>
  </si>
  <si>
    <t>E1</t>
  </si>
  <si>
    <t>T9</t>
    <phoneticPr fontId="6" type="noConversion"/>
  </si>
  <si>
    <t>E0</t>
    <phoneticPr fontId="6" type="noConversion"/>
  </si>
  <si>
    <t>MeV</t>
    <phoneticPr fontId="6" type="noConversion"/>
  </si>
  <si>
    <t xml:space="preserve">DE0 </t>
    <phoneticPr fontId="6" type="noConversion"/>
  </si>
  <si>
    <t>total width</t>
    <phoneticPr fontId="6" type="noConversion"/>
  </si>
  <si>
    <t>DE0/2</t>
    <phoneticPr fontId="6" type="noConversion"/>
  </si>
  <si>
    <t>E0-DE0/2</t>
    <phoneticPr fontId="6" type="noConversion"/>
  </si>
  <si>
    <t>E0+DE0/2</t>
    <phoneticPr fontId="6" type="noConversion"/>
  </si>
  <si>
    <t>full width</t>
    <phoneticPr fontId="6" type="noConversion"/>
  </si>
  <si>
    <r>
      <t>WARNING</t>
    </r>
    <r>
      <rPr>
        <sz val="10"/>
        <rFont val="Arial"/>
        <family val="2"/>
      </rPr>
      <t xml:space="preserve">: if using inverse kinematics make sure the </t>
    </r>
    <r>
      <rPr>
        <b/>
        <sz val="10"/>
        <color indexed="10"/>
        <rFont val="Arial"/>
        <family val="2"/>
      </rPr>
      <t>ejectile</t>
    </r>
    <r>
      <rPr>
        <sz val="10"/>
        <rFont val="Arial"/>
        <family val="2"/>
      </rPr>
      <t xml:space="preserve"> is </t>
    </r>
    <r>
      <rPr>
        <b/>
        <sz val="10"/>
        <color indexed="10"/>
        <rFont val="Arial"/>
        <family val="2"/>
      </rPr>
      <t xml:space="preserve">the heavier </t>
    </r>
    <r>
      <rPr>
        <sz val="10"/>
        <rFont val="Arial"/>
        <family val="2"/>
      </rPr>
      <t>of the two outgoing particles to obtain correct kinematics curves</t>
    </r>
  </si>
  <si>
    <t>seconds</t>
  </si>
  <si>
    <t>hours</t>
  </si>
  <si>
    <t>[MeV]</t>
  </si>
  <si>
    <t>[mb]</t>
  </si>
  <si>
    <t>DE</t>
  </si>
  <si>
    <t>live time fraction =</t>
  </si>
  <si>
    <t>from proposal</t>
  </si>
  <si>
    <t>Ecm dir</t>
  </si>
  <si>
    <t>[barn]</t>
  </si>
  <si>
    <t>sigma gs-gs</t>
  </si>
  <si>
    <r>
      <t>E</t>
    </r>
    <r>
      <rPr>
        <b/>
        <vertAlign val="subscript"/>
        <sz val="10"/>
        <rFont val="Arial"/>
        <family val="2"/>
      </rPr>
      <t>cm</t>
    </r>
  </si>
  <si>
    <r>
      <t>∆E</t>
    </r>
    <r>
      <rPr>
        <b/>
        <vertAlign val="subscript"/>
        <sz val="10"/>
        <rFont val="Arial"/>
        <family val="2"/>
      </rPr>
      <t>0</t>
    </r>
  </si>
  <si>
    <r>
      <t>E</t>
    </r>
    <r>
      <rPr>
        <b/>
        <vertAlign val="subscript"/>
        <sz val="10"/>
        <rFont val="Arial"/>
        <family val="2"/>
      </rPr>
      <t>0</t>
    </r>
  </si>
  <si>
    <t>E</t>
  </si>
  <si>
    <t>LEVEL DIAGRAMS</t>
  </si>
  <si>
    <t>a(X,X)a</t>
  </si>
  <si>
    <t>Scattered: a</t>
  </si>
  <si>
    <t>Recoil: X</t>
  </si>
  <si>
    <t>Rutherford Scattering:</t>
  </si>
  <si>
    <r>
      <t>N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(dσ/dΩ)(∆Ω)η</t>
    </r>
  </si>
  <si>
    <t>∆Ω =</t>
  </si>
  <si>
    <r>
      <t>N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</si>
  <si>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t>number of detected scattered projectiles</t>
  </si>
  <si>
    <t>number of projectiles in beam</t>
  </si>
  <si>
    <t>number of target nuclei</t>
  </si>
  <si>
    <t>differential cross-section</t>
  </si>
  <si>
    <t>solid angle from target</t>
  </si>
  <si>
    <t>ug/cm2</t>
  </si>
  <si>
    <t>s dir</t>
  </si>
  <si>
    <t>E inv</t>
  </si>
  <si>
    <t>s inv</t>
  </si>
  <si>
    <t>E dir</t>
  </si>
  <si>
    <t>sdir/sinv</t>
  </si>
  <si>
    <t>Einv/Edir</t>
  </si>
  <si>
    <t>Two body reaction:</t>
  </si>
  <si>
    <t>MeV.fm</t>
  </si>
  <si>
    <t>total</t>
  </si>
  <si>
    <t>Beam intensity ESTIMATE from measured elastic yield of scattered beam</t>
  </si>
  <si>
    <t>integrated Rutherford cross section</t>
  </si>
  <si>
    <t>Yb =</t>
  </si>
  <si>
    <t xml:space="preserve">live time = </t>
  </si>
  <si>
    <t>scattered yield</t>
  </si>
  <si>
    <t>Np =</t>
  </si>
  <si>
    <t>quadrants</t>
  </si>
  <si>
    <t>ppq</t>
  </si>
  <si>
    <t>s</t>
  </si>
  <si>
    <t>angle integrated s</t>
  </si>
  <si>
    <r>
      <t>s</t>
    </r>
    <r>
      <rPr>
        <b/>
        <sz val="10"/>
        <rFont val="Arial"/>
        <family val="2"/>
      </rPr>
      <t xml:space="preserve"> =</t>
    </r>
  </si>
  <si>
    <t>target</t>
  </si>
  <si>
    <t xml:space="preserve">Elab </t>
  </si>
  <si>
    <t>start</t>
  </si>
  <si>
    <t>stop</t>
  </si>
  <si>
    <t>run</t>
  </si>
  <si>
    <t>accepted</t>
  </si>
  <si>
    <t>live time %</t>
  </si>
  <si>
    <t>rate [kHz]</t>
  </si>
  <si>
    <t>runtime[s]</t>
  </si>
  <si>
    <t>epA</t>
  </si>
  <si>
    <t>dΩ (Sr)</t>
  </si>
  <si>
    <t>Mean ø (deg)</t>
  </si>
  <si>
    <r>
      <t>Strip Area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</si>
  <si>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Lab d</t>
    </r>
    <r>
      <rPr>
        <sz val="10"/>
        <rFont val="Arial"/>
        <family val="2"/>
      </rPr>
      <t>σ/d</t>
    </r>
    <r>
      <rPr>
        <sz val="10"/>
        <rFont val="Arial"/>
        <family val="2"/>
      </rPr>
      <t>Ω at centre</t>
    </r>
    <r>
      <rPr>
        <sz val="10"/>
        <rFont val="Arial"/>
        <family val="2"/>
      </rPr>
      <t xml:space="preserve"> (mb/sr)</t>
    </r>
  </si>
  <si>
    <t>S2_near</t>
  </si>
  <si>
    <t>S2_far</t>
  </si>
  <si>
    <t>Run time before damage (days)</t>
  </si>
  <si>
    <t>Gap between strips =</t>
  </si>
  <si>
    <t>Strip Width =</t>
  </si>
  <si>
    <t>Total area =</t>
  </si>
  <si>
    <t>Detector Type: LEDA</t>
  </si>
  <si>
    <t>Active Outer radius =</t>
  </si>
  <si>
    <t>Active Inner radius =</t>
  </si>
  <si>
    <t>Pitch =</t>
  </si>
  <si>
    <t>Strip #</t>
  </si>
  <si>
    <r>
      <t>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(mm)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</si>
  <si>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(mm)</t>
    </r>
  </si>
  <si>
    <r>
      <t>cm</t>
    </r>
    <r>
      <rPr>
        <b/>
        <vertAlign val="superscript"/>
        <sz val="10"/>
        <rFont val="Arial"/>
        <family val="2"/>
      </rPr>
      <t>2</t>
    </r>
  </si>
  <si>
    <t>.</t>
  </si>
  <si>
    <t>Elastic Scattering for S2 and LEDA Detectors</t>
  </si>
  <si>
    <t>CM projectile energy</t>
  </si>
  <si>
    <r>
      <t>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(lab) =</t>
    </r>
  </si>
  <si>
    <r>
      <t>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(CM) =</t>
    </r>
  </si>
  <si>
    <r>
      <t>dE/dx Elec. (keV/</t>
    </r>
    <r>
      <rPr>
        <sz val="10"/>
        <rFont val="Arial"/>
        <family val="2"/>
      </rPr>
      <t>μ</t>
    </r>
    <r>
      <rPr>
        <sz val="10"/>
        <rFont val="Arial"/>
        <family val="2"/>
      </rPr>
      <t>m)</t>
    </r>
  </si>
  <si>
    <t>dE/dx Nucl. (keV/μm)</t>
  </si>
  <si>
    <t>sigma tot</t>
  </si>
  <si>
    <t>(21na+p)</t>
  </si>
  <si>
    <t>conversion factor barn -&gt; mb</t>
  </si>
  <si>
    <t>ratio</t>
  </si>
  <si>
    <t>37K(p,a)34Ar</t>
  </si>
  <si>
    <t>sigma</t>
  </si>
  <si>
    <t>yield</t>
  </si>
  <si>
    <t>Rate calculation</t>
  </si>
  <si>
    <t>Ecm_inv</t>
  </si>
  <si>
    <t>Ecm_dir</t>
  </si>
  <si>
    <t>Q-value [MeV]</t>
  </si>
  <si>
    <t>total counts</t>
  </si>
  <si>
    <t>Ebeam</t>
  </si>
  <si>
    <t>[MeV/u]</t>
  </si>
  <si>
    <t>Recoil Excitation Energy (MeV) =</t>
  </si>
  <si>
    <t>Target =</t>
  </si>
  <si>
    <t>p in Si</t>
  </si>
  <si>
    <t>m</t>
  </si>
  <si>
    <r>
      <t>dx3 (</t>
    </r>
    <r>
      <rPr>
        <sz val="10"/>
        <rFont val="Arial"/>
        <family val="2"/>
      </rPr>
      <t>μ</t>
    </r>
    <r>
      <rPr>
        <sz val="10"/>
        <rFont val="Arial"/>
        <family val="2"/>
      </rPr>
      <t>m)</t>
    </r>
  </si>
  <si>
    <r>
      <t>dx4 (</t>
    </r>
    <r>
      <rPr>
        <sz val="10"/>
        <rFont val="Arial"/>
        <family val="2"/>
      </rPr>
      <t>μ</t>
    </r>
    <r>
      <rPr>
        <sz val="10"/>
        <rFont val="Arial"/>
        <family val="2"/>
      </rPr>
      <t>m)</t>
    </r>
  </si>
  <si>
    <t>Particle trajectory thickness =</t>
  </si>
  <si>
    <t>Particle θ =</t>
  </si>
  <si>
    <r>
      <t>θ</t>
    </r>
    <r>
      <rPr>
        <vertAlign val="subscript"/>
        <sz val="10"/>
        <rFont val="Arial"/>
        <family val="2"/>
      </rPr>
      <t>lab</t>
    </r>
    <r>
      <rPr>
        <sz val="10"/>
        <rFont val="Arial"/>
        <family val="2"/>
      </rPr>
      <t xml:space="preserve"> (deg)</t>
    </r>
  </si>
  <si>
    <r>
      <t>θ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(deg)</t>
    </r>
  </si>
  <si>
    <r>
      <t>2</t>
    </r>
    <r>
      <rPr>
        <sz val="10"/>
        <rFont val="Arial"/>
        <family val="2"/>
      </rPr>
      <t>πħ</t>
    </r>
    <r>
      <rPr>
        <sz val="10"/>
        <rFont val="Arial"/>
        <family val="2"/>
      </rPr>
      <t>c/</t>
    </r>
    <r>
      <rPr>
        <sz val="10"/>
        <rFont val="Arial"/>
        <family val="2"/>
      </rPr>
      <t>√</t>
    </r>
    <r>
      <rPr>
        <sz val="10"/>
        <rFont val="Arial"/>
        <family val="2"/>
      </rPr>
      <t>(2</t>
    </r>
    <r>
      <rPr>
        <sz val="10"/>
        <rFont val="Arial"/>
        <family val="2"/>
      </rPr>
      <t>μ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>)</t>
    </r>
  </si>
  <si>
    <r>
      <t>ħ</t>
    </r>
    <r>
      <rPr>
        <b/>
        <sz val="10"/>
        <rFont val="Arial"/>
        <family val="2"/>
      </rPr>
      <t>c =</t>
    </r>
  </si>
  <si>
    <t>MeV fm</t>
  </si>
  <si>
    <t>fm</t>
  </si>
  <si>
    <t>Infinitely Thick Target</t>
  </si>
  <si>
    <t>Finite Thick Target</t>
  </si>
  <si>
    <t>Maximum yield for a finitely thick target:</t>
  </si>
  <si>
    <t>∆ =</t>
  </si>
  <si>
    <t>Γ =</t>
  </si>
  <si>
    <t>Energy loss of projectile across target</t>
  </si>
  <si>
    <t>Resonance width</t>
  </si>
  <si>
    <t>keV</t>
  </si>
  <si>
    <r>
      <t>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(∞) =</t>
    </r>
  </si>
  <si>
    <r>
      <t>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(∆) =</t>
    </r>
  </si>
  <si>
    <r>
      <t>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(∆) / 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(∞) =</t>
    </r>
  </si>
  <si>
    <r>
      <t>Total Rate: 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(∞) = 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(∞)N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η</t>
    </r>
  </si>
  <si>
    <t>18F in CH2</t>
  </si>
  <si>
    <t>18F in Si</t>
  </si>
  <si>
    <t>densities</t>
  </si>
  <si>
    <t>g/cm3</t>
  </si>
  <si>
    <t>CH2</t>
  </si>
  <si>
    <t>Eloss_cm</t>
  </si>
  <si>
    <t>21Ne in CH2</t>
  </si>
  <si>
    <t>21Ne in Si</t>
  </si>
  <si>
    <t xml:space="preserve"> </t>
  </si>
  <si>
    <t>live time =</t>
  </si>
  <si>
    <t>corrected for live time</t>
  </si>
  <si>
    <t>Detection Efficiency</t>
  </si>
  <si>
    <t>detailed balance theorem</t>
  </si>
  <si>
    <t>mass ratio</t>
  </si>
  <si>
    <t>spin factor</t>
  </si>
  <si>
    <t>18Ne+a</t>
  </si>
  <si>
    <t>22Mg states</t>
  </si>
  <si>
    <t>21Na+p</t>
  </si>
  <si>
    <t>s_dir/s_inv</t>
  </si>
  <si>
    <t>Ecm [MeV]</t>
  </si>
  <si>
    <t>Q-value (22Mg) =</t>
  </si>
  <si>
    <t xml:space="preserve">Q-value (18Ne) = </t>
  </si>
  <si>
    <t xml:space="preserve">Ecm to Elab = </t>
  </si>
  <si>
    <t>σ_inv =</t>
  </si>
  <si>
    <t>σ_dir =</t>
  </si>
  <si>
    <t>% stat</t>
  </si>
  <si>
    <t>expected rate</t>
  </si>
  <si>
    <t>counts/h</t>
  </si>
  <si>
    <t>run time</t>
  </si>
  <si>
    <t xml:space="preserve">hours </t>
  </si>
  <si>
    <t>s_dir</t>
  </si>
  <si>
    <t>(Additional target nuclei)</t>
  </si>
  <si>
    <t>nuclei</t>
  </si>
  <si>
    <t>Two body capture:</t>
  </si>
  <si>
    <t>A3 lab</t>
  </si>
  <si>
    <t>A4 lab</t>
  </si>
  <si>
    <t>Projectile Energy loss through a target of a given thickness</t>
  </si>
  <si>
    <r>
      <t>Projectile E</t>
    </r>
    <r>
      <rPr>
        <vertAlign val="subscript"/>
        <sz val="10"/>
        <rFont val="Arial"/>
        <family val="2"/>
      </rPr>
      <t>lab</t>
    </r>
    <r>
      <rPr>
        <sz val="10"/>
        <rFont val="Arial"/>
        <family val="2"/>
      </rPr>
      <t xml:space="preserve"> (MeV)</t>
    </r>
  </si>
  <si>
    <r>
      <t>Target Thickness (</t>
    </r>
    <r>
      <rPr>
        <sz val="10"/>
        <rFont val="Arial"/>
        <family val="2"/>
      </rPr>
      <t>μ</t>
    </r>
    <r>
      <rPr>
        <sz val="10"/>
        <rFont val="Arial"/>
        <family val="2"/>
      </rPr>
      <t>m)</t>
    </r>
  </si>
  <si>
    <t>Resultant Projectile Energy (MeV)</t>
  </si>
  <si>
    <t>Energy loss (MeV)</t>
  </si>
  <si>
    <t>Enter SRIM Stopping/Range Tables data here:</t>
  </si>
  <si>
    <t>a + X</t>
  </si>
  <si>
    <t>Direct:</t>
  </si>
  <si>
    <t>Time reversed:</t>
  </si>
  <si>
    <t>b + Y</t>
  </si>
  <si>
    <t>Time reverse reaction - cross section calculator</t>
  </si>
  <si>
    <t>Reciprocity theorem:</t>
  </si>
  <si>
    <r>
      <t>σ</t>
    </r>
    <r>
      <rPr>
        <b/>
        <u/>
        <vertAlign val="subscript"/>
        <sz val="11"/>
        <rFont val="Arial"/>
        <family val="2"/>
      </rPr>
      <t>aX</t>
    </r>
  </si>
  <si>
    <r>
      <t xml:space="preserve">= </t>
    </r>
    <r>
      <rPr>
        <b/>
        <u/>
        <sz val="11"/>
        <rFont val="Arial"/>
        <family val="2"/>
      </rPr>
      <t>m</t>
    </r>
    <r>
      <rPr>
        <b/>
        <u/>
        <vertAlign val="subscript"/>
        <sz val="11"/>
        <rFont val="Arial"/>
        <family val="2"/>
      </rPr>
      <t>b</t>
    </r>
    <r>
      <rPr>
        <b/>
        <u/>
        <sz val="11"/>
        <rFont val="Arial"/>
        <family val="2"/>
      </rPr>
      <t>m</t>
    </r>
    <r>
      <rPr>
        <b/>
        <u/>
        <vertAlign val="subscript"/>
        <sz val="11"/>
        <rFont val="Arial"/>
        <family val="2"/>
      </rPr>
      <t>Y</t>
    </r>
    <r>
      <rPr>
        <b/>
        <u/>
        <sz val="11"/>
        <rFont val="Arial"/>
        <family val="2"/>
      </rPr>
      <t>E</t>
    </r>
    <r>
      <rPr>
        <b/>
        <u/>
        <vertAlign val="subscript"/>
        <sz val="11"/>
        <rFont val="Arial"/>
        <family val="2"/>
      </rPr>
      <t>bY</t>
    </r>
    <r>
      <rPr>
        <b/>
        <u/>
        <sz val="11"/>
        <rFont val="Arial"/>
        <family val="2"/>
      </rPr>
      <t>(2J</t>
    </r>
    <r>
      <rPr>
        <b/>
        <u/>
        <vertAlign val="subscript"/>
        <sz val="11"/>
        <rFont val="Arial"/>
        <family val="2"/>
      </rPr>
      <t>b</t>
    </r>
    <r>
      <rPr>
        <b/>
        <u/>
        <sz val="11"/>
        <rFont val="Arial"/>
        <family val="2"/>
      </rPr>
      <t>+1)(2J</t>
    </r>
    <r>
      <rPr>
        <b/>
        <u/>
        <vertAlign val="subscript"/>
        <sz val="11"/>
        <rFont val="Arial"/>
        <family val="2"/>
      </rPr>
      <t>Y</t>
    </r>
    <r>
      <rPr>
        <b/>
        <u/>
        <sz val="11"/>
        <rFont val="Arial"/>
        <family val="2"/>
      </rPr>
      <t>+1)</t>
    </r>
  </si>
  <si>
    <r>
      <t>σ</t>
    </r>
    <r>
      <rPr>
        <b/>
        <vertAlign val="subscript"/>
        <sz val="11"/>
        <rFont val="Arial"/>
        <family val="2"/>
      </rPr>
      <t>bY</t>
    </r>
  </si>
  <si>
    <t>charge state =</t>
  </si>
  <si>
    <t xml:space="preserve">effective time = </t>
  </si>
  <si>
    <t xml:space="preserve">beam current = </t>
  </si>
  <si>
    <t>excited state</t>
  </si>
  <si>
    <t>dE1</t>
  </si>
  <si>
    <t>CD</t>
  </si>
  <si>
    <t>de2</t>
  </si>
  <si>
    <t>PAD</t>
  </si>
  <si>
    <t>Etot_det</t>
  </si>
  <si>
    <t>S2E</t>
  </si>
  <si>
    <t>S2DE</t>
  </si>
  <si>
    <t>E_tot</t>
  </si>
  <si>
    <t xml:space="preserve">Esum_ch </t>
  </si>
  <si>
    <r>
      <t>m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</si>
  <si>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</si>
  <si>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</si>
  <si>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aX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</si>
  <si>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bY</t>
    </r>
    <r>
      <rPr>
        <b/>
        <sz val="10"/>
        <rFont val="Arial"/>
        <family val="2"/>
      </rPr>
      <t xml:space="preserve"> =</t>
    </r>
  </si>
  <si>
    <r>
      <t>J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</si>
  <si>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>J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</t>
    </r>
  </si>
  <si>
    <r>
      <t>J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</si>
  <si>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r>
      <t>J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</si>
  <si>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t>a =</t>
  </si>
  <si>
    <t>X =</t>
  </si>
  <si>
    <t>b =</t>
  </si>
  <si>
    <r>
      <t>σ</t>
    </r>
    <r>
      <rPr>
        <b/>
        <vertAlign val="subscript"/>
        <sz val="10"/>
        <rFont val="Arial"/>
        <family val="2"/>
      </rPr>
      <t>bY</t>
    </r>
    <r>
      <rPr>
        <b/>
        <sz val="10"/>
        <rFont val="Arial"/>
        <family val="2"/>
      </rPr>
      <t xml:space="preserve"> =</t>
    </r>
  </si>
  <si>
    <t>+</t>
  </si>
  <si>
    <t>Q</t>
  </si>
  <si>
    <t>=</t>
  </si>
  <si>
    <t>184985#</t>
  </si>
  <si>
    <t>844#</t>
  </si>
  <si>
    <t>181068#</t>
  </si>
  <si>
    <t>886#</t>
  </si>
  <si>
    <t>186309#</t>
  </si>
  <si>
    <t>846#</t>
  </si>
  <si>
    <t>Eh</t>
  </si>
  <si>
    <t>192413#</t>
  </si>
  <si>
    <t>186100#</t>
  </si>
  <si>
    <t>852#</t>
  </si>
  <si>
    <t>193330#</t>
  </si>
  <si>
    <t>943#</t>
  </si>
  <si>
    <t>Ei</t>
  </si>
  <si>
    <t>199964#</t>
  </si>
  <si>
    <t>1197#</t>
  </si>
  <si>
    <r>
      <t>D</t>
    </r>
    <r>
      <rPr>
        <sz val="10"/>
        <rFont val="Arial"/>
        <family val="2"/>
      </rPr>
      <t xml:space="preserve"> as read</t>
    </r>
  </si>
  <si>
    <r>
      <t>D</t>
    </r>
    <r>
      <rPr>
        <sz val="10"/>
        <rFont val="Arial"/>
        <family val="2"/>
      </rPr>
      <t xml:space="preserve"> to use</t>
    </r>
  </si>
  <si>
    <r>
      <t>D (</t>
    </r>
    <r>
      <rPr>
        <sz val="10"/>
        <rFont val="Arial"/>
        <family val="2"/>
      </rPr>
      <t>MeV</t>
    </r>
    <r>
      <rPr>
        <sz val="10"/>
        <rFont val="Symbol"/>
        <family val="1"/>
      </rPr>
      <t>)</t>
    </r>
  </si>
  <si>
    <t>Mass (MeV)</t>
  </si>
  <si>
    <t>Mass Excess</t>
  </si>
  <si>
    <t>Ground State</t>
  </si>
  <si>
    <t>Q - Value (MeV)</t>
  </si>
  <si>
    <t>∆ (MeV)</t>
  </si>
  <si>
    <r>
      <t>E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 0.9781Z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Z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μ (keV)</t>
    </r>
  </si>
  <si>
    <r>
      <t>E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(keV) =</t>
    </r>
  </si>
  <si>
    <t>z =</t>
  </si>
  <si>
    <t>Z =</t>
  </si>
  <si>
    <t>θ =</t>
  </si>
  <si>
    <t>target Z</t>
  </si>
  <si>
    <t>projectile Z</t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</si>
  <si>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</si>
  <si>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t>projectile scattering angle</t>
  </si>
  <si>
    <r>
      <t>θ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</si>
  <si>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r>
      <t>θ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</si>
  <si>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/4πε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</si>
  <si>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(pps)</t>
    </r>
  </si>
  <si>
    <t>Lab Energy (MeV)</t>
  </si>
  <si>
    <t>Scattered</t>
  </si>
  <si>
    <t>hrs</t>
  </si>
  <si>
    <t>Detector Type: S2</t>
  </si>
  <si>
    <t>Separation:</t>
  </si>
  <si>
    <t>deg</t>
  </si>
  <si>
    <t>Detector properties:</t>
  </si>
  <si>
    <t>Front rings =</t>
  </si>
  <si>
    <t>Inner</t>
  </si>
  <si>
    <t>Outer</t>
  </si>
  <si>
    <t>Max irradiation =</t>
  </si>
  <si>
    <r>
      <t>particles/cm</t>
    </r>
    <r>
      <rPr>
        <vertAlign val="superscript"/>
        <sz val="10"/>
        <rFont val="Arial"/>
        <family val="2"/>
      </rPr>
      <t>2</t>
    </r>
  </si>
  <si>
    <t>Run time before damage (hrs)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</si>
  <si>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cm</t>
    </r>
    <r>
      <rPr>
        <vertAlign val="superscript"/>
        <sz val="10"/>
        <rFont val="Arial"/>
        <family val="2"/>
      </rPr>
      <t>-2</t>
    </r>
  </si>
  <si>
    <r>
      <t>θ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(deg)</t>
    </r>
  </si>
  <si>
    <r>
      <t>θ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(deg)</t>
    </r>
  </si>
  <si>
    <t>Experimental Reaction</t>
  </si>
  <si>
    <t>Kinematic Calculations</t>
  </si>
  <si>
    <t>M2(M1,M3)M4</t>
  </si>
  <si>
    <t>M1 =</t>
  </si>
  <si>
    <t>M2 =</t>
  </si>
  <si>
    <t>M3 =</t>
  </si>
  <si>
    <t>M4 =</t>
  </si>
  <si>
    <t>Z1 =</t>
  </si>
  <si>
    <t>Z2 =</t>
  </si>
  <si>
    <t>Z3 =</t>
  </si>
  <si>
    <t>Z4 =</t>
  </si>
  <si>
    <t>Beam Energy: E[lab] (MeV) =</t>
  </si>
  <si>
    <t>E [cm] (MeV) =</t>
  </si>
  <si>
    <t>Astrophysical Reaction of Interest</t>
  </si>
  <si>
    <t>E [lab] (MeV)=</t>
  </si>
  <si>
    <t>Q value (MeV)=</t>
  </si>
  <si>
    <t>Graph scale may have to be manually adjusted</t>
  </si>
  <si>
    <t>EJECTILE =</t>
  </si>
  <si>
    <t>RECOIL =</t>
  </si>
  <si>
    <r>
      <t>E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(keV) =</t>
    </r>
  </si>
  <si>
    <t>Thin Target</t>
  </si>
  <si>
    <t>λ =</t>
  </si>
  <si>
    <t>M =</t>
  </si>
  <si>
    <t>m =</t>
  </si>
  <si>
    <t>ωγ =</t>
  </si>
  <si>
    <t>ε =</t>
  </si>
  <si>
    <t>h =</t>
  </si>
  <si>
    <t>c =</t>
  </si>
  <si>
    <r>
      <t xml:space="preserve">μ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</si>
  <si>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=</t>
    </r>
  </si>
  <si>
    <t>CM interaction energy</t>
  </si>
  <si>
    <t>Reduced mass</t>
  </si>
  <si>
    <t>21Na in CH2</t>
  </si>
  <si>
    <r>
      <t>CM d</t>
    </r>
    <r>
      <rPr>
        <sz val="10"/>
        <rFont val="Arial"/>
        <family val="2"/>
      </rPr>
      <t>σ/d</t>
    </r>
    <r>
      <rPr>
        <sz val="10"/>
        <rFont val="Arial"/>
        <family val="2"/>
      </rPr>
      <t>Ω at centre</t>
    </r>
    <r>
      <rPr>
        <sz val="10"/>
        <rFont val="Arial"/>
        <family val="2"/>
      </rPr>
      <t xml:space="preserve"> (mb/sr)</t>
    </r>
  </si>
  <si>
    <r>
      <t>θ</t>
    </r>
    <r>
      <rPr>
        <vertAlign val="subscript"/>
        <sz val="10"/>
        <rFont val="Arial"/>
        <family val="2"/>
      </rPr>
      <t>lab</t>
    </r>
    <r>
      <rPr>
        <sz val="10"/>
        <rFont val="Arial"/>
        <family val="2"/>
      </rPr>
      <t xml:space="preserve"> at ring centre (deg)</t>
    </r>
  </si>
  <si>
    <r>
      <t>θ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at ring centre (deg)</t>
    </r>
  </si>
  <si>
    <t>Scattered Particles</t>
  </si>
  <si>
    <t>Recoiled Particles</t>
  </si>
  <si>
    <r>
      <t>Max θ</t>
    </r>
    <r>
      <rPr>
        <vertAlign val="subscript"/>
        <sz val="10"/>
        <rFont val="Arial"/>
        <family val="2"/>
      </rPr>
      <t>lab</t>
    </r>
    <r>
      <rPr>
        <sz val="10"/>
        <rFont val="Arial"/>
        <family val="2"/>
      </rPr>
      <t xml:space="preserve"> (deg) =</t>
    </r>
  </si>
  <si>
    <r>
      <t>Min θ</t>
    </r>
    <r>
      <rPr>
        <vertAlign val="subscript"/>
        <sz val="10"/>
        <rFont val="Arial"/>
        <family val="2"/>
      </rPr>
      <t>lab</t>
    </r>
    <r>
      <rPr>
        <sz val="10"/>
        <rFont val="Arial"/>
        <family val="2"/>
      </rPr>
      <t xml:space="preserve"> (deg) =</t>
    </r>
  </si>
  <si>
    <t>Ejectile Excitation Energy (MeV) =</t>
  </si>
  <si>
    <t>counts/projectile</t>
  </si>
  <si>
    <t>C/s</t>
  </si>
  <si>
    <t>counts/C</t>
  </si>
  <si>
    <t>counts/s</t>
  </si>
  <si>
    <t>counts/hr</t>
  </si>
  <si>
    <t>events/s</t>
  </si>
  <si>
    <t>events/hr</t>
  </si>
  <si>
    <t>Run time =</t>
  </si>
  <si>
    <t>Total Counts =</t>
  </si>
  <si>
    <t>counts</t>
  </si>
  <si>
    <t>Maximum yield for an infinitely thick target:</t>
  </si>
  <si>
    <t>120866#</t>
  </si>
  <si>
    <t>378#</t>
  </si>
  <si>
    <t>123108#</t>
  </si>
  <si>
    <t>412#</t>
  </si>
  <si>
    <t>129224#</t>
  </si>
  <si>
    <t>133944#</t>
  </si>
  <si>
    <t>502#</t>
  </si>
  <si>
    <t>118728#</t>
  </si>
  <si>
    <t>774#</t>
  </si>
  <si>
    <t>119934#</t>
  </si>
  <si>
    <t>656#</t>
  </si>
  <si>
    <t>121741#</t>
  </si>
  <si>
    <t>124872#</t>
  </si>
  <si>
    <t>117#</t>
  </si>
  <si>
    <t>129529#</t>
  </si>
  <si>
    <t>551#</t>
  </si>
  <si>
    <t>135183#</t>
  </si>
  <si>
    <t>137#</t>
  </si>
  <si>
    <t>121757#</t>
  </si>
  <si>
    <t>720#</t>
  </si>
  <si>
    <t>121400#</t>
  </si>
  <si>
    <t>617#</t>
  </si>
  <si>
    <t>124463#</t>
  </si>
  <si>
    <t>125426#</t>
  </si>
  <si>
    <t>286#</t>
  </si>
  <si>
    <t>131021#</t>
  </si>
  <si>
    <t>134806#</t>
  </si>
  <si>
    <t>289#</t>
  </si>
  <si>
    <t>124329#</t>
  </si>
  <si>
    <t>125919#</t>
  </si>
  <si>
    <t>557#</t>
  </si>
  <si>
    <r>
      <t>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(∞) =</t>
    </r>
  </si>
  <si>
    <r>
      <t>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(∆) =</t>
    </r>
  </si>
  <si>
    <r>
      <t>Finite Thick Target Rate: 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(∆) = 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(∞) * (Y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(∆) / Y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(∞))</t>
    </r>
  </si>
  <si>
    <t>Target density =</t>
  </si>
  <si>
    <t>Target thickness =</t>
  </si>
  <si>
    <r>
      <t>μ</t>
    </r>
    <r>
      <rPr>
        <sz val="10"/>
        <rFont val="Arial"/>
        <family val="2"/>
      </rPr>
      <t>g/cm</t>
    </r>
    <r>
      <rPr>
        <vertAlign val="superscript"/>
        <sz val="10"/>
        <rFont val="Arial"/>
        <family val="2"/>
      </rPr>
      <t>2</t>
    </r>
  </si>
  <si>
    <r>
      <t>μ</t>
    </r>
    <r>
      <rPr>
        <sz val="10"/>
        <rFont val="Arial"/>
        <family val="2"/>
      </rPr>
      <t>m</t>
    </r>
  </si>
  <si>
    <t>Number of target nuclei calculator</t>
  </si>
  <si>
    <t>Solid Target</t>
  </si>
  <si>
    <t># nuclei in target molecule</t>
  </si>
  <si>
    <t>Mass #</t>
  </si>
  <si>
    <t>Gaseous Target</t>
  </si>
  <si>
    <t>Target pressure =</t>
  </si>
  <si>
    <t>mbar</t>
  </si>
  <si>
    <t>Target temperature =</t>
  </si>
  <si>
    <t>Target volume =</t>
  </si>
  <si>
    <r>
      <t>m</t>
    </r>
    <r>
      <rPr>
        <vertAlign val="superscript"/>
        <sz val="10"/>
        <rFont val="Arial"/>
        <family val="2"/>
      </rPr>
      <t>3</t>
    </r>
  </si>
  <si>
    <t>Projectile</t>
  </si>
  <si>
    <t>μ (amu) =</t>
  </si>
  <si>
    <t>Energy is:</t>
  </si>
  <si>
    <t>threshold</t>
  </si>
  <si>
    <t>Target Composition</t>
  </si>
  <si>
    <t>(Nuclei of interest first)</t>
  </si>
  <si>
    <t>824#</t>
  </si>
  <si>
    <t>140801#</t>
  </si>
  <si>
    <t>678#</t>
  </si>
  <si>
    <t>142551#</t>
  </si>
  <si>
    <t>147636#</t>
  </si>
  <si>
    <t>627#</t>
  </si>
  <si>
    <t>139576#</t>
  </si>
  <si>
    <t>726#</t>
  </si>
  <si>
    <t>141978#</t>
  </si>
  <si>
    <t>883#</t>
  </si>
  <si>
    <t>144984#</t>
  </si>
  <si>
    <t>964#</t>
  </si>
  <si>
    <t>148591#</t>
  </si>
  <si>
    <t>618#</t>
  </si>
  <si>
    <t>Ec</t>
  </si>
  <si>
    <t>152712#</t>
  </si>
  <si>
    <t>144207#</t>
  </si>
  <si>
    <t>836#</t>
  </si>
  <si>
    <t>145750#</t>
  </si>
  <si>
    <t>150533#</t>
  </si>
  <si>
    <t>632#</t>
  </si>
  <si>
    <t>153056#</t>
  </si>
  <si>
    <t>531#</t>
  </si>
  <si>
    <t>145493#</t>
  </si>
  <si>
    <t>718#</t>
  </si>
  <si>
    <t>147978#</t>
  </si>
  <si>
    <t>742#</t>
  </si>
  <si>
    <t>151338#</t>
  </si>
  <si>
    <t>663#</t>
  </si>
  <si>
    <t>155136#</t>
  </si>
  <si>
    <t>493#</t>
  </si>
  <si>
    <t>148848#</t>
  </si>
  <si>
    <t>848#</t>
  </si>
  <si>
    <t>153206#</t>
  </si>
  <si>
    <t>155596#</t>
  </si>
  <si>
    <t>640#</t>
  </si>
  <si>
    <t>150959#</t>
  </si>
  <si>
    <t>728#</t>
  </si>
  <si>
    <t>154043#</t>
  </si>
  <si>
    <t>932#</t>
  </si>
  <si>
    <t>157689#</t>
  </si>
  <si>
    <t>985#</t>
  </si>
  <si>
    <t>156012#</t>
  </si>
  <si>
    <t>888#</t>
  </si>
  <si>
    <t>158135#</t>
  </si>
  <si>
    <t>707#</t>
  </si>
  <si>
    <r>
      <t xml:space="preserve">   m</t>
    </r>
    <r>
      <rPr>
        <b/>
        <vertAlign val="subscript"/>
        <sz val="11"/>
        <rFont val="Arial"/>
        <family val="2"/>
      </rPr>
      <t>a</t>
    </r>
    <r>
      <rPr>
        <b/>
        <sz val="11"/>
        <rFont val="Arial"/>
        <family val="2"/>
      </rPr>
      <t>m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>E</t>
    </r>
    <r>
      <rPr>
        <b/>
        <vertAlign val="subscript"/>
        <sz val="11"/>
        <rFont val="Arial"/>
        <family val="2"/>
      </rPr>
      <t>aX</t>
    </r>
    <r>
      <rPr>
        <b/>
        <sz val="11"/>
        <rFont val="Arial"/>
        <family val="2"/>
      </rPr>
      <t>(2J</t>
    </r>
    <r>
      <rPr>
        <b/>
        <vertAlign val="subscript"/>
        <sz val="11"/>
        <rFont val="Arial"/>
        <family val="2"/>
      </rPr>
      <t>a</t>
    </r>
    <r>
      <rPr>
        <b/>
        <sz val="11"/>
        <rFont val="Arial"/>
        <family val="2"/>
      </rPr>
      <t>+1)(2J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>+1)</t>
    </r>
  </si>
  <si>
    <r>
      <t>Y = N</t>
    </r>
    <r>
      <rPr>
        <b/>
        <vertAlign val="subscript"/>
        <sz val="11"/>
        <rFont val="Arial"/>
        <family val="2"/>
      </rPr>
      <t>P</t>
    </r>
    <r>
      <rPr>
        <b/>
        <sz val="11"/>
        <rFont val="Arial"/>
        <family val="2"/>
      </rPr>
      <t>N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>ση</t>
    </r>
  </si>
  <si>
    <r>
      <t>Y = N</t>
    </r>
    <r>
      <rPr>
        <b/>
        <vertAlign val="subscript"/>
        <sz val="11"/>
        <rFont val="Arial"/>
        <family val="2"/>
      </rPr>
      <t>P</t>
    </r>
    <r>
      <rPr>
        <b/>
        <sz val="11"/>
        <rFont val="Arial"/>
        <family val="2"/>
      </rPr>
      <t>N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>(dσ/dΩ)Ωη</t>
    </r>
  </si>
  <si>
    <r>
      <t>Y</t>
    </r>
    <r>
      <rPr>
        <b/>
        <vertAlign val="subscript"/>
        <sz val="11"/>
        <rFont val="Arial"/>
        <family val="2"/>
      </rPr>
      <t>max</t>
    </r>
    <r>
      <rPr>
        <b/>
        <sz val="11"/>
        <rFont val="Arial"/>
        <family val="2"/>
      </rPr>
      <t>(∞) = λ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(M+m)ωγ/(2εM)</t>
    </r>
  </si>
  <si>
    <r>
      <t>Y</t>
    </r>
    <r>
      <rPr>
        <b/>
        <vertAlign val="subscript"/>
        <sz val="11"/>
        <rFont val="Arial"/>
        <family val="2"/>
      </rPr>
      <t>max</t>
    </r>
    <r>
      <rPr>
        <b/>
        <sz val="11"/>
        <rFont val="Arial"/>
        <family val="2"/>
      </rPr>
      <t>(∆) = λ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(M+m)ωγ*arctan(∆/Γ)/(πεM) </t>
    </r>
  </si>
  <si>
    <r>
      <t>Y</t>
    </r>
    <r>
      <rPr>
        <b/>
        <vertAlign val="subscript"/>
        <sz val="11"/>
        <rFont val="Arial"/>
        <family val="2"/>
      </rPr>
      <t>max</t>
    </r>
    <r>
      <rPr>
        <b/>
        <sz val="11"/>
        <rFont val="Arial"/>
        <family val="2"/>
      </rPr>
      <t>(∆) / Y</t>
    </r>
    <r>
      <rPr>
        <b/>
        <vertAlign val="subscript"/>
        <sz val="11"/>
        <rFont val="Arial"/>
        <family val="2"/>
      </rPr>
      <t>max</t>
    </r>
    <r>
      <rPr>
        <b/>
        <sz val="11"/>
        <rFont val="Arial"/>
        <family val="2"/>
      </rPr>
      <t>(∞) = (2/π)arctan(∆/Γ)</t>
    </r>
  </si>
  <si>
    <r>
      <t>σ</t>
    </r>
    <r>
      <rPr>
        <b/>
        <vertAlign val="subscript"/>
        <sz val="10"/>
        <rFont val="Arial"/>
        <family val="2"/>
      </rPr>
      <t>aX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</si>
  <si>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</si>
  <si>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t>770#</t>
  </si>
  <si>
    <t>Ef</t>
  </si>
  <si>
    <t>178088#</t>
  </si>
  <si>
    <t>787#</t>
  </si>
  <si>
    <t>172968#</t>
  </si>
  <si>
    <t>851#</t>
  </si>
  <si>
    <t>179305#</t>
  </si>
  <si>
    <t>854#</t>
  </si>
  <si>
    <t>174449#</t>
  </si>
  <si>
    <t>731#</t>
  </si>
  <si>
    <t>179513#</t>
  </si>
  <si>
    <t>1024#</t>
  </si>
  <si>
    <t>Eg</t>
  </si>
  <si>
    <t>185239#</t>
  </si>
  <si>
    <t>1087#</t>
  </si>
  <si>
    <t>180842#</t>
  </si>
  <si>
    <t>984#</t>
  </si>
  <si>
    <t>70221#</t>
  </si>
  <si>
    <t>275#</t>
  </si>
  <si>
    <t>75292#</t>
  </si>
  <si>
    <t>323#</t>
  </si>
  <si>
    <t>67902#</t>
  </si>
  <si>
    <t>76276#</t>
  </si>
  <si>
    <t>329#</t>
  </si>
  <si>
    <t>67154#</t>
  </si>
  <si>
    <t>68610#</t>
  </si>
  <si>
    <t>30#</t>
  </si>
  <si>
    <t>71583#</t>
  </si>
  <si>
    <t>76043#</t>
  </si>
  <si>
    <t>324#</t>
  </si>
  <si>
    <t>70562#</t>
  </si>
  <si>
    <t>68080#</t>
  </si>
  <si>
    <t>70301#</t>
  </si>
  <si>
    <t>77149#</t>
  </si>
  <si>
    <t>237#</t>
  </si>
  <si>
    <t>80664#</t>
  </si>
  <si>
    <t>71176#</t>
  </si>
  <si>
    <t>73619#</t>
  </si>
  <si>
    <t>77326#</t>
  </si>
  <si>
    <t>81816#</t>
  </si>
  <si>
    <t>340#</t>
  </si>
  <si>
    <t>73227#</t>
  </si>
  <si>
    <t>78636#</t>
  </si>
  <si>
    <t>81516#</t>
  </si>
  <si>
    <t>204#</t>
  </si>
  <si>
    <t>79027#</t>
  </si>
  <si>
    <t>82914#</t>
  </si>
  <si>
    <t>78534#</t>
  </si>
  <si>
    <t>Enter Reaction Information First</t>
  </si>
  <si>
    <t>INPUT =</t>
  </si>
  <si>
    <t>REACTION YIELD</t>
  </si>
  <si>
    <t>σ =</t>
  </si>
  <si>
    <t>η =</t>
  </si>
  <si>
    <r>
      <t>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</t>
    </r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</si>
  <si>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</si>
  <si>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t>Number of projectiles</t>
  </si>
  <si>
    <t>Number of target nuclei</t>
  </si>
  <si>
    <t>Reaction cross-section</t>
  </si>
  <si>
    <t>Detector Efficiency</t>
  </si>
  <si>
    <t>pps</t>
  </si>
  <si>
    <r>
      <t>cm</t>
    </r>
    <r>
      <rPr>
        <vertAlign val="superscript"/>
        <sz val="10"/>
        <rFont val="Arial"/>
        <family val="2"/>
      </rPr>
      <t>-2</t>
    </r>
  </si>
  <si>
    <t>%</t>
  </si>
  <si>
    <t>Y =</t>
  </si>
  <si>
    <t>dσ/dΩ =</t>
  </si>
  <si>
    <t>Differential cross-section</t>
  </si>
  <si>
    <t>Ω =</t>
  </si>
  <si>
    <t>Solid angle</t>
  </si>
  <si>
    <t>mb</t>
  </si>
  <si>
    <t>mb/sr</t>
  </si>
  <si>
    <t>sr</t>
  </si>
  <si>
    <t>aa=</t>
  </si>
  <si>
    <t>bb=</t>
  </si>
  <si>
    <t>cc=</t>
  </si>
  <si>
    <t>bb/aa=</t>
  </si>
  <si>
    <t>bb/cc=</t>
  </si>
  <si>
    <t>A3</t>
  </si>
  <si>
    <t>A4</t>
  </si>
  <si>
    <t>aa/cc=</t>
  </si>
  <si>
    <r>
      <rPr>
        <sz val="9.85"/>
        <color indexed="8"/>
        <rFont val="Symbol"/>
        <family val="1"/>
      </rPr>
      <t>q</t>
    </r>
    <r>
      <rPr>
        <sz val="9.85"/>
        <color indexed="8"/>
        <rFont val="Arial"/>
        <family val="2"/>
      </rPr>
      <t xml:space="preserve"> cm</t>
    </r>
  </si>
  <si>
    <t>Temperature of Astrophysical Object of Interest</t>
  </si>
  <si>
    <r>
      <t>Temperature [T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] (K) =</t>
    </r>
  </si>
  <si>
    <t>95611#</t>
  </si>
  <si>
    <t>98276#</t>
  </si>
  <si>
    <t>115#</t>
  </si>
  <si>
    <t>99149#</t>
  </si>
  <si>
    <t>103676#</t>
  </si>
  <si>
    <t>231#</t>
  </si>
  <si>
    <t>113614#</t>
  </si>
  <si>
    <t>98478#</t>
  </si>
  <si>
    <t>647#</t>
  </si>
  <si>
    <t>98504#</t>
  </si>
  <si>
    <t>99561#</t>
  </si>
  <si>
    <t>104379#</t>
  </si>
  <si>
    <t>108162#</t>
  </si>
  <si>
    <t>125#</t>
  </si>
  <si>
    <t>113329#</t>
  </si>
  <si>
    <t>101407#</t>
  </si>
  <si>
    <t>582#</t>
  </si>
  <si>
    <t>99951#</t>
  </si>
  <si>
    <t>102123#</t>
  </si>
  <si>
    <t>102394#</t>
  </si>
  <si>
    <t>106269#</t>
  </si>
  <si>
    <t>182#</t>
  </si>
  <si>
    <t>108424#</t>
  </si>
  <si>
    <t>114473#</t>
  </si>
  <si>
    <t>345#</t>
  </si>
  <si>
    <t>102979#</t>
  </si>
  <si>
    <t>103669#</t>
  </si>
  <si>
    <t>104837#</t>
  </si>
  <si>
    <t>183#</t>
  </si>
  <si>
    <t>107111#</t>
  </si>
  <si>
    <t>110216#</t>
  </si>
  <si>
    <t>124#</t>
  </si>
  <si>
    <t>114606#</t>
  </si>
  <si>
    <t>367#</t>
  </si>
  <si>
    <t>Hs</t>
  </si>
  <si>
    <t>119751#</t>
  </si>
  <si>
    <t>349#</t>
  </si>
  <si>
    <t>104649#</t>
  </si>
  <si>
    <t>106226#</t>
  </si>
  <si>
    <t>436#</t>
  </si>
  <si>
    <t>106176#</t>
  </si>
  <si>
    <t>109361#</t>
  </si>
  <si>
    <t>110784#</t>
  </si>
  <si>
    <t>116068#</t>
  </si>
  <si>
    <t>276#</t>
  </si>
  <si>
    <t>Target mass</t>
  </si>
  <si>
    <t>Projectile mass</t>
  </si>
  <si>
    <t>Planck's constant (4.1356E-21 Mev/s)</t>
  </si>
  <si>
    <t>Speed of light (2.9979E8 m/s)</t>
  </si>
  <si>
    <t>Resonance strength</t>
  </si>
  <si>
    <t>Effective stopping cross-section</t>
  </si>
  <si>
    <t>μ =</t>
  </si>
  <si>
    <r>
      <t>E</t>
    </r>
    <r>
      <rPr>
        <b/>
        <vertAlign val="subscript"/>
        <sz val="10"/>
        <rFont val="Arial"/>
        <family val="2"/>
      </rPr>
      <t>cm</t>
    </r>
    <r>
      <rPr>
        <b/>
        <sz val="10"/>
        <rFont val="Arial"/>
        <family val="2"/>
      </rPr>
      <t xml:space="preserve"> =</t>
    </r>
  </si>
  <si>
    <t>MeV</t>
  </si>
  <si>
    <t>amu</t>
  </si>
  <si>
    <t>eV</t>
  </si>
  <si>
    <r>
      <t>eV/(10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2"/>
      </rPr>
      <t xml:space="preserve"> atoms/cm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</si>
  <si>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469#</t>
  </si>
  <si>
    <t>115901#</t>
  </si>
  <si>
    <t>271#</t>
  </si>
  <si>
    <t>118906#</t>
  </si>
  <si>
    <t>263#</t>
  </si>
  <si>
    <t>122761#</t>
  </si>
  <si>
    <t>127901#</t>
  </si>
  <si>
    <t>543#</t>
  </si>
  <si>
    <t>Ea</t>
  </si>
  <si>
    <t>134453#</t>
  </si>
  <si>
    <t>366#</t>
  </si>
  <si>
    <t>115174#</t>
  </si>
  <si>
    <t>706#</t>
  </si>
  <si>
    <t>116851#</t>
  </si>
  <si>
    <t>529#</t>
  </si>
  <si>
    <t>117001#</t>
  </si>
  <si>
    <t>-38754#</t>
  </si>
  <si>
    <t>-44730#</t>
  </si>
  <si>
    <t>-31019#</t>
  </si>
  <si>
    <t>-23695#</t>
  </si>
  <si>
    <t>-56849#</t>
  </si>
  <si>
    <t>-25227#</t>
  </si>
  <si>
    <t>-47422#</t>
  </si>
  <si>
    <t>-63369#</t>
  </si>
  <si>
    <t>-16660#</t>
  </si>
  <si>
    <t>-42961#</t>
  </si>
  <si>
    <t>-38734#</t>
  </si>
  <si>
    <t>55#</t>
  </si>
  <si>
    <t>-30407#</t>
  </si>
  <si>
    <t>-22354#</t>
  </si>
  <si>
    <t>-43147#</t>
  </si>
  <si>
    <t>-16124#</t>
  </si>
  <si>
    <t>404#</t>
  </si>
  <si>
    <t>-27644#</t>
  </si>
  <si>
    <t>159#</t>
  </si>
  <si>
    <t>-7265#</t>
  </si>
  <si>
    <t>413#</t>
  </si>
  <si>
    <t>-21646#</t>
  </si>
  <si>
    <t>-11625#</t>
  </si>
  <si>
    <t>215#</t>
  </si>
  <si>
    <t>-31850#</t>
  </si>
  <si>
    <t>88#</t>
  </si>
  <si>
    <t>-13205#</t>
  </si>
  <si>
    <t>-4792#</t>
  </si>
  <si>
    <t>-43585#</t>
  </si>
  <si>
    <t>-34837#</t>
  </si>
  <si>
    <t>128226#</t>
  </si>
  <si>
    <t>337#</t>
  </si>
  <si>
    <t>131470#</t>
  </si>
  <si>
    <t>565#</t>
  </si>
  <si>
    <t>136056#</t>
  </si>
  <si>
    <t>125898#</t>
  </si>
  <si>
    <t>767#</t>
  </si>
  <si>
    <t>128576#</t>
  </si>
  <si>
    <t>608#</t>
  </si>
  <si>
    <t>129526#</t>
  </si>
  <si>
    <t>133891#</t>
  </si>
  <si>
    <t>136293#</t>
  </si>
  <si>
    <t>Eb</t>
  </si>
  <si>
    <t>143091#</t>
  </si>
  <si>
    <t>331#</t>
  </si>
  <si>
    <t>128751#</t>
  </si>
  <si>
    <t>661#</t>
  </si>
  <si>
    <t>130053#</t>
  </si>
  <si>
    <t>830#</t>
  </si>
  <si>
    <t>132259#</t>
  </si>
  <si>
    <t>825#</t>
  </si>
  <si>
    <t>134986#</t>
  </si>
  <si>
    <t>510#</t>
  </si>
  <si>
    <t>138665#</t>
  </si>
  <si>
    <t>127#</t>
  </si>
  <si>
    <t>143154#</t>
  </si>
  <si>
    <t>605#</t>
  </si>
  <si>
    <t>132682#</t>
  </si>
  <si>
    <t>780#</t>
  </si>
  <si>
    <t>133325#</t>
  </si>
  <si>
    <t>137388#</t>
  </si>
  <si>
    <t>139251#</t>
  </si>
  <si>
    <t>492#</t>
  </si>
  <si>
    <t>145046#</t>
  </si>
  <si>
    <t>134368#</t>
  </si>
  <si>
    <t>652#</t>
  </si>
  <si>
    <t>135953#</t>
  </si>
  <si>
    <t>714#</t>
  </si>
  <si>
    <t>138463#</t>
  </si>
  <si>
    <t>592#</t>
  </si>
  <si>
    <t>141751#</t>
  </si>
  <si>
    <t>451#</t>
  </si>
  <si>
    <t>145445#</t>
  </si>
  <si>
    <t>692#</t>
  </si>
  <si>
    <t>137123#</t>
  </si>
  <si>
    <t>-29649#</t>
  </si>
  <si>
    <t>-30302#</t>
  </si>
  <si>
    <t>-27554#</t>
  </si>
  <si>
    <t>-20750#</t>
  </si>
  <si>
    <t>-18751#</t>
  </si>
  <si>
    <t>-8346#</t>
  </si>
  <si>
    <t>-6076#</t>
  </si>
  <si>
    <t>-1651#</t>
  </si>
  <si>
    <t>4477#</t>
  </si>
  <si>
    <t>411#</t>
  </si>
  <si>
    <t>8821#</t>
  </si>
  <si>
    <t>13335#</t>
  </si>
  <si>
    <t>12802#</t>
  </si>
  <si>
    <t>15465#</t>
  </si>
  <si>
    <t>23029#</t>
  </si>
  <si>
    <t>16813#</t>
  </si>
  <si>
    <t>24591#</t>
  </si>
  <si>
    <t>22116#</t>
  </si>
  <si>
    <t>73#</t>
  </si>
  <si>
    <t>24299#</t>
  </si>
  <si>
    <t>23464#</t>
  </si>
  <si>
    <t>32738#</t>
  </si>
  <si>
    <t>423#</t>
  </si>
  <si>
    <t>35384#</t>
  </si>
  <si>
    <t>410#</t>
  </si>
  <si>
    <t>33282#</t>
  </si>
  <si>
    <t>42328#</t>
  </si>
  <si>
    <t>467#</t>
  </si>
  <si>
    <t>46363#</t>
  </si>
  <si>
    <t>639#</t>
  </si>
  <si>
    <t>40649#</t>
  </si>
  <si>
    <t>37361#</t>
  </si>
  <si>
    <t>44767#</t>
  </si>
  <si>
    <t>468#</t>
  </si>
  <si>
    <t>43173#</t>
  </si>
  <si>
    <t>47230#</t>
  </si>
  <si>
    <t>490#</t>
  </si>
  <si>
    <t>44534#</t>
  </si>
  <si>
    <t>47722#</t>
  </si>
  <si>
    <t>44662#</t>
  </si>
  <si>
    <t>120#</t>
  </si>
  <si>
    <t>47910#</t>
  </si>
  <si>
    <t>51508#</t>
  </si>
  <si>
    <t>499#</t>
  </si>
  <si>
    <t>46454#</t>
  </si>
  <si>
    <t>46183#</t>
  </si>
  <si>
    <t>156878#</t>
  </si>
  <si>
    <t>778#</t>
  </si>
  <si>
    <t>160023#</t>
  </si>
  <si>
    <t>768#</t>
  </si>
  <si>
    <t>Ed</t>
  </si>
  <si>
    <t>164363#</t>
  </si>
  <si>
    <t>160574#</t>
  </si>
  <si>
    <t>849#</t>
  </si>
  <si>
    <t>165881#</t>
  </si>
  <si>
    <t>800#</t>
  </si>
  <si>
    <t>162177#</t>
  </si>
  <si>
    <t>730#</t>
  </si>
  <si>
    <t>166488#</t>
  </si>
  <si>
    <t>979#</t>
  </si>
  <si>
    <t>Ee</t>
  </si>
  <si>
    <t>171114#</t>
  </si>
  <si>
    <t>1030#</t>
  </si>
  <si>
    <t>168117#</t>
  </si>
  <si>
    <t>937#</t>
  </si>
  <si>
    <t>171260#</t>
  </si>
  <si>
    <t>168643#</t>
  </si>
  <si>
    <t>834#</t>
  </si>
  <si>
    <t>172884#</t>
  </si>
  <si>
    <t>58620#</t>
  </si>
  <si>
    <t>57735#</t>
  </si>
  <si>
    <t>64967#</t>
  </si>
  <si>
    <t>326#</t>
  </si>
  <si>
    <t>59875#</t>
  </si>
  <si>
    <t>32#</t>
  </si>
  <si>
    <t>60945#</t>
  </si>
  <si>
    <t>142#</t>
  </si>
  <si>
    <t>64783#</t>
  </si>
  <si>
    <t>234#</t>
  </si>
  <si>
    <t>69259#</t>
  </si>
  <si>
    <t>66027#</t>
  </si>
  <si>
    <t>181#</t>
  </si>
  <si>
    <t>69009#</t>
  </si>
  <si>
    <t>284#</t>
  </si>
  <si>
    <t>66438#</t>
  </si>
  <si>
    <t>-63724#</t>
  </si>
  <si>
    <t>-51307#</t>
  </si>
  <si>
    <t>-70532#</t>
  </si>
  <si>
    <t>230#</t>
  </si>
  <si>
    <t>-57110#</t>
  </si>
  <si>
    <t>-49025#</t>
  </si>
  <si>
    <t>-52751#</t>
  </si>
  <si>
    <t>-64450#</t>
  </si>
  <si>
    <t>-62068#</t>
  </si>
  <si>
    <t>101#</t>
  </si>
  <si>
    <t>-54604#</t>
  </si>
  <si>
    <t>-60007#</t>
  </si>
  <si>
    <t>-68949#</t>
  </si>
  <si>
    <t>-57288#</t>
  </si>
  <si>
    <t>-46512#</t>
  </si>
  <si>
    <t>-45196#</t>
  </si>
  <si>
    <t>-57920#</t>
  </si>
  <si>
    <t>-65139#</t>
  </si>
  <si>
    <t>-62373#</t>
  </si>
  <si>
    <t>-49621#</t>
  </si>
  <si>
    <t>-53244#</t>
  </si>
  <si>
    <t>-63239#</t>
  </si>
  <si>
    <t>-71623#</t>
  </si>
  <si>
    <t>-50943#</t>
  </si>
  <si>
    <t>-59234#</t>
  </si>
  <si>
    <t>-57082#</t>
  </si>
  <si>
    <t>-66257#</t>
  </si>
  <si>
    <t>-52704#</t>
  </si>
  <si>
    <t>700#</t>
  </si>
  <si>
    <t>80630#</t>
  </si>
  <si>
    <t>88837#</t>
  </si>
  <si>
    <t>248#</t>
  </si>
  <si>
    <t>84466#</t>
  </si>
  <si>
    <t>88687#</t>
  </si>
  <si>
    <t>93791#</t>
  </si>
  <si>
    <t>453#</t>
  </si>
  <si>
    <t>83514#</t>
  </si>
  <si>
    <t>89847#</t>
  </si>
  <si>
    <t>336#</t>
  </si>
  <si>
    <t>93320#</t>
  </si>
  <si>
    <t>285#</t>
  </si>
  <si>
    <t>84809#</t>
  </si>
  <si>
    <t>90057#</t>
  </si>
  <si>
    <t>94397#</t>
  </si>
  <si>
    <t>87186#</t>
  </si>
  <si>
    <t>91872#</t>
  </si>
  <si>
    <t>220#</t>
  </si>
  <si>
    <t>100720#</t>
  </si>
  <si>
    <t>291#</t>
  </si>
  <si>
    <t>92735#</t>
  </si>
  <si>
    <t>95934#</t>
  </si>
  <si>
    <t>100342#</t>
  </si>
  <si>
    <t>92702#</t>
  </si>
  <si>
    <t>90426#</t>
  </si>
  <si>
    <t>91479#</t>
  </si>
  <si>
    <t>94839#</t>
  </si>
  <si>
    <t>96399#</t>
  </si>
  <si>
    <t>101748#</t>
  </si>
  <si>
    <t>344#</t>
  </si>
  <si>
    <t>Sg</t>
  </si>
  <si>
    <t>105415#</t>
  </si>
  <si>
    <t>414#</t>
  </si>
  <si>
    <t>93704#</t>
  </si>
  <si>
    <t>93624#</t>
  </si>
  <si>
    <t>94109#</t>
  </si>
  <si>
    <t>95852#</t>
  </si>
  <si>
    <t>98400#</t>
  </si>
  <si>
    <t>72#</t>
  </si>
  <si>
    <t>102101#</t>
  </si>
  <si>
    <t>212#</t>
  </si>
  <si>
    <t>106656#</t>
  </si>
  <si>
    <t>177#</t>
  </si>
  <si>
    <t>95644#</t>
  </si>
  <si>
    <t>96551#</t>
  </si>
  <si>
    <t>316#</t>
  </si>
  <si>
    <t>-56262#</t>
  </si>
  <si>
    <t>-49052#</t>
  </si>
  <si>
    <t>-35974#</t>
  </si>
  <si>
    <t>-60016#</t>
  </si>
  <si>
    <t>-51214#</t>
  </si>
  <si>
    <t>-41004#</t>
  </si>
  <si>
    <t>-55154#</t>
  </si>
  <si>
    <t>-43631#</t>
  </si>
  <si>
    <t>-34940#</t>
  </si>
  <si>
    <t>-50319#</t>
  </si>
  <si>
    <t>-57529#</t>
  </si>
  <si>
    <t>-48168#</t>
  </si>
  <si>
    <t>-37688#</t>
  </si>
  <si>
    <t>-56961#</t>
  </si>
  <si>
    <t>-64273#</t>
  </si>
  <si>
    <t>-42839#</t>
  </si>
  <si>
    <t>-29305#</t>
  </si>
  <si>
    <t>-60519#</t>
  </si>
  <si>
    <t>-45317#</t>
  </si>
  <si>
    <t>-34374#</t>
  </si>
  <si>
    <t>-47432#</t>
  </si>
  <si>
    <t>-57060#</t>
  </si>
  <si>
    <t>-49960#</t>
  </si>
  <si>
    <t>-37474#</t>
  </si>
  <si>
    <t>-60445#</t>
  </si>
  <si>
    <t>-42281#</t>
  </si>
  <si>
    <t>-31354#</t>
  </si>
  <si>
    <t>-46584#</t>
  </si>
  <si>
    <t>-57278#</t>
  </si>
  <si>
    <t>-36906#</t>
  </si>
  <si>
    <t>-49183#</t>
  </si>
  <si>
    <t>-39691#</t>
  </si>
  <si>
    <t>-27877#</t>
  </si>
  <si>
    <t>-48671#</t>
  </si>
  <si>
    <t>-51568#</t>
  </si>
  <si>
    <t>-44712#</t>
  </si>
  <si>
    <t>-31275#</t>
  </si>
  <si>
    <t>-43259#</t>
  </si>
  <si>
    <t>-60598#</t>
  </si>
  <si>
    <t>-47050#</t>
  </si>
  <si>
    <t>-36365#</t>
  </si>
  <si>
    <t>107903#</t>
  </si>
  <si>
    <t>713#</t>
  </si>
  <si>
    <t>108709#</t>
  </si>
  <si>
    <t>424#</t>
  </si>
  <si>
    <t>110476#</t>
  </si>
  <si>
    <t>116574#</t>
  </si>
  <si>
    <t>379#</t>
  </si>
  <si>
    <t>121173#</t>
  </si>
  <si>
    <t>135#</t>
  </si>
  <si>
    <t>126824#</t>
  </si>
  <si>
    <t>462#</t>
  </si>
  <si>
    <t>111132#</t>
  </si>
  <si>
    <t>655#</t>
  </si>
  <si>
    <t>109876#</t>
  </si>
  <si>
    <t>112738#</t>
  </si>
  <si>
    <t>113703#</t>
  </si>
  <si>
    <t>118246#</t>
  </si>
  <si>
    <t>121185#</t>
  </si>
  <si>
    <t>127893#</t>
  </si>
  <si>
    <t>113204#</t>
  </si>
  <si>
    <t>575#</t>
  </si>
  <si>
    <t>113994#</t>
  </si>
  <si>
    <t>-33422#</t>
  </si>
  <si>
    <t>-27302#</t>
  </si>
  <si>
    <t>-42383#</t>
  </si>
  <si>
    <t>-39568#</t>
  </si>
  <si>
    <t>-32733#</t>
  </si>
  <si>
    <t>-38797#</t>
  </si>
  <si>
    <t>-62473#</t>
  </si>
  <si>
    <t>153#</t>
  </si>
  <si>
    <t>-34102#</t>
  </si>
  <si>
    <t>-23668#</t>
  </si>
  <si>
    <t>-51912#</t>
  </si>
  <si>
    <t>-25799#</t>
  </si>
  <si>
    <t>-48969#</t>
  </si>
  <si>
    <t>-56793#</t>
  </si>
  <si>
    <t>18397#</t>
  </si>
  <si>
    <t>22001#</t>
  </si>
  <si>
    <t>-18146#</t>
  </si>
  <si>
    <t>8998#</t>
  </si>
  <si>
    <t>7303#</t>
  </si>
  <si>
    <t>-14503#</t>
  </si>
  <si>
    <t>13497#</t>
  </si>
  <si>
    <t>-7797#</t>
  </si>
  <si>
    <t>-2999#</t>
  </si>
  <si>
    <t>-29370#</t>
  </si>
  <si>
    <t>-5403#</t>
  </si>
  <si>
    <t>-23893#</t>
  </si>
  <si>
    <t>-270#</t>
  </si>
  <si>
    <t>-13441#</t>
  </si>
  <si>
    <t>-25271#</t>
  </si>
  <si>
    <t>-20688#</t>
  </si>
  <si>
    <t>-32800#</t>
  </si>
  <si>
    <t>-15174#</t>
  </si>
  <si>
    <t>-30767#</t>
  </si>
  <si>
    <t>-10042#</t>
  </si>
  <si>
    <t>-25216#</t>
  </si>
  <si>
    <t>-3996#</t>
  </si>
  <si>
    <t>-21648#</t>
  </si>
  <si>
    <t>-15649#</t>
  </si>
  <si>
    <t>-29361#</t>
  </si>
  <si>
    <t>-11653#</t>
  </si>
  <si>
    <t>-24424#</t>
  </si>
  <si>
    <t>-5198#</t>
  </si>
  <si>
    <t>-20912#</t>
  </si>
  <si>
    <t>-15398#</t>
  </si>
  <si>
    <t>52#</t>
  </si>
  <si>
    <t>-6540#</t>
  </si>
  <si>
    <t>407#</t>
  </si>
  <si>
    <t>-18741#</t>
  </si>
  <si>
    <t>151#</t>
  </si>
  <si>
    <t>-12375#</t>
  </si>
  <si>
    <t>-1788#</t>
  </si>
  <si>
    <t>-53663#</t>
  </si>
  <si>
    <t>-23320#</t>
  </si>
  <si>
    <t>-3612#</t>
  </si>
  <si>
    <t>-50114#</t>
  </si>
  <si>
    <t>3502#</t>
  </si>
  <si>
    <t>-47730#</t>
  </si>
  <si>
    <t>-27520#</t>
  </si>
  <si>
    <t>-9282#</t>
  </si>
  <si>
    <t>-43780#</t>
  </si>
  <si>
    <t>-2569#</t>
  </si>
  <si>
    <t>208#</t>
  </si>
  <si>
    <t>-51949#</t>
  </si>
  <si>
    <t>-14195#</t>
  </si>
  <si>
    <t>-48652#</t>
  </si>
  <si>
    <t>-46500#</t>
  </si>
  <si>
    <t>-18537#</t>
  </si>
  <si>
    <t>550#</t>
  </si>
  <si>
    <t>-4754#</t>
  </si>
  <si>
    <t>114#</t>
  </si>
  <si>
    <t>2003#</t>
  </si>
  <si>
    <t>-9403#</t>
  </si>
  <si>
    <t>116#</t>
  </si>
  <si>
    <t>-41880#</t>
  </si>
  <si>
    <t>-36412#</t>
  </si>
  <si>
    <t>1047#</t>
  </si>
  <si>
    <t>126#</t>
  </si>
  <si>
    <t>-38359#</t>
  </si>
  <si>
    <t>-2213#</t>
  </si>
  <si>
    <t>53#</t>
  </si>
  <si>
    <t>-36431#</t>
  </si>
  <si>
    <t>-32984#</t>
  </si>
  <si>
    <t>-36766#</t>
  </si>
  <si>
    <t>-30879#</t>
  </si>
  <si>
    <t>-33813#</t>
  </si>
  <si>
    <t>-31829#</t>
  </si>
  <si>
    <t>-28662#</t>
  </si>
  <si>
    <t>-31112#</t>
  </si>
  <si>
    <t>225#</t>
  </si>
  <si>
    <t>-36300#</t>
  </si>
  <si>
    <t>-49388#</t>
  </si>
  <si>
    <t>-60901#</t>
  </si>
  <si>
    <t>-58246#</t>
  </si>
  <si>
    <t>-66082#</t>
  </si>
  <si>
    <t>-40054#</t>
  </si>
  <si>
    <t>-53067#</t>
  </si>
  <si>
    <t>-63323#</t>
  </si>
  <si>
    <t>280#</t>
  </si>
  <si>
    <t>-47665#</t>
  </si>
  <si>
    <t>-34353#</t>
  </si>
  <si>
    <t>-49844#</t>
  </si>
  <si>
    <t>-59150#</t>
  </si>
  <si>
    <t>-55983#</t>
  </si>
  <si>
    <t>-40138#</t>
  </si>
  <si>
    <t>-51288#</t>
  </si>
  <si>
    <t>-62710#</t>
  </si>
  <si>
    <t>-55647#</t>
  </si>
  <si>
    <t>-33692#</t>
  </si>
  <si>
    <t>-59196#</t>
  </si>
  <si>
    <t>-67844#</t>
  </si>
  <si>
    <t>-47658#</t>
  </si>
  <si>
    <t>-41451#</t>
  </si>
  <si>
    <t>-55927#</t>
  </si>
  <si>
    <t>-65307#</t>
  </si>
  <si>
    <t>-36859#</t>
  </si>
  <si>
    <t>-68658#</t>
  </si>
  <si>
    <t>583#</t>
  </si>
  <si>
    <t>-47403#</t>
  </si>
  <si>
    <t>566#</t>
  </si>
  <si>
    <t>-30926#</t>
  </si>
  <si>
    <t>-40716#</t>
  </si>
  <si>
    <t>-53049#</t>
  </si>
  <si>
    <t>-46780#</t>
  </si>
  <si>
    <t>-36803#</t>
  </si>
  <si>
    <t>-61143#</t>
  </si>
  <si>
    <t>-38629#</t>
  </si>
  <si>
    <t>-34652#</t>
  </si>
  <si>
    <t>-47003#</t>
  </si>
  <si>
    <t>-44796#</t>
  </si>
  <si>
    <t>-53896#</t>
  </si>
  <si>
    <t>47890#</t>
  </si>
  <si>
    <t>46571#</t>
  </si>
  <si>
    <t>59#</t>
  </si>
  <si>
    <t>49277#</t>
  </si>
  <si>
    <t>53098#</t>
  </si>
  <si>
    <t>224#</t>
  </si>
  <si>
    <t>52625#</t>
  </si>
  <si>
    <t>283#</t>
  </si>
  <si>
    <t>54288#</t>
  </si>
  <si>
    <t>288#</t>
  </si>
  <si>
    <t>53337#</t>
  </si>
  <si>
    <t>51192#</t>
  </si>
  <si>
    <t>54287#</t>
  </si>
  <si>
    <t>58145#</t>
  </si>
  <si>
    <t>209#</t>
  </si>
  <si>
    <t>56803#</t>
  </si>
  <si>
    <t>55665#</t>
  </si>
  <si>
    <t>58034#</t>
  </si>
  <si>
    <t>56103#</t>
  </si>
  <si>
    <t>59361#</t>
  </si>
  <si>
    <t>255#</t>
  </si>
  <si>
    <t>63843#</t>
  </si>
  <si>
    <t>227#</t>
  </si>
  <si>
    <t>-71303#</t>
  </si>
  <si>
    <t>-52652#</t>
  </si>
  <si>
    <t>-47283#</t>
  </si>
  <si>
    <t>-53617#</t>
  </si>
  <si>
    <t>-77544#</t>
  </si>
  <si>
    <t>-60321#</t>
  </si>
  <si>
    <t>-50627#</t>
  </si>
  <si>
    <t>-61097#</t>
  </si>
  <si>
    <t>-54397#</t>
  </si>
  <si>
    <t>-45802#</t>
  </si>
  <si>
    <t>-46294#</t>
  </si>
  <si>
    <t>-42197#</t>
  </si>
  <si>
    <t>-54138#</t>
  </si>
  <si>
    <t>-50431#</t>
  </si>
  <si>
    <t>-56979#</t>
  </si>
  <si>
    <t>-61777#</t>
  </si>
  <si>
    <t>-46305#</t>
  </si>
  <si>
    <t>-54753#</t>
  </si>
  <si>
    <t>-58647#</t>
  </si>
  <si>
    <t>-50897#</t>
  </si>
  <si>
    <t>-56626#</t>
  </si>
  <si>
    <t>-61488#</t>
  </si>
  <si>
    <t>-48177#</t>
  </si>
  <si>
    <t>-59746#</t>
  </si>
  <si>
    <t>-43799#</t>
  </si>
  <si>
    <t>-50561#</t>
  </si>
  <si>
    <t>-56467#</t>
  </si>
  <si>
    <t>-60659#</t>
  </si>
  <si>
    <t>-46603#</t>
  </si>
  <si>
    <t>-54399#</t>
  </si>
  <si>
    <t>-50701#</t>
  </si>
  <si>
    <t>-55843#</t>
  </si>
  <si>
    <t>-48102#</t>
  </si>
  <si>
    <t>-52499#</t>
  </si>
  <si>
    <t>-50096#</t>
  </si>
  <si>
    <t>-46342#</t>
  </si>
  <si>
    <t>-50217#</t>
  </si>
  <si>
    <t>-43501#</t>
  </si>
  <si>
    <t>-49854#</t>
  </si>
  <si>
    <t>-51400#</t>
  </si>
  <si>
    <t>-49099#</t>
  </si>
  <si>
    <t>-53654#</t>
  </si>
  <si>
    <t>-45503#</t>
  </si>
  <si>
    <t>-52900#</t>
  </si>
  <si>
    <t>-64692#</t>
  </si>
  <si>
    <t>-71231#</t>
  </si>
  <si>
    <t>-57836#</t>
  </si>
  <si>
    <t>-44889#</t>
  </si>
  <si>
    <t>-60612#</t>
  </si>
  <si>
    <t>-60175#</t>
  </si>
  <si>
    <t>-66471#</t>
  </si>
  <si>
    <t>-64823#</t>
  </si>
  <si>
    <t>-44497#</t>
  </si>
  <si>
    <t>-64804#</t>
  </si>
  <si>
    <t>-66658#</t>
  </si>
  <si>
    <t>-47618#</t>
  </si>
  <si>
    <t>-52890#</t>
  </si>
  <si>
    <t>-39570#</t>
  </si>
  <si>
    <t>-58898#</t>
  </si>
  <si>
    <t>-45056#</t>
  </si>
  <si>
    <t>-54800#</t>
  </si>
  <si>
    <t>-48046#</t>
  </si>
  <si>
    <t>-39048#</t>
  </si>
  <si>
    <t>-52452#</t>
  </si>
  <si>
    <t>-63202#</t>
  </si>
  <si>
    <t>-62235#</t>
  </si>
  <si>
    <t>-42253#</t>
  </si>
  <si>
    <t>-46157#</t>
  </si>
  <si>
    <t>334#</t>
  </si>
  <si>
    <t>-47581#</t>
  </si>
  <si>
    <t>-33936#</t>
  </si>
  <si>
    <t>-55266#</t>
  </si>
  <si>
    <t>-59737#</t>
  </si>
  <si>
    <t>-39353#</t>
  </si>
  <si>
    <t>-50720#</t>
  </si>
  <si>
    <t>-55247#</t>
  </si>
  <si>
    <t>-57930#</t>
  </si>
  <si>
    <t>-57129#</t>
  </si>
  <si>
    <t>-52024#</t>
  </si>
  <si>
    <t>-61507#</t>
  </si>
  <si>
    <t>-49826#</t>
  </si>
  <si>
    <t>-41573#</t>
  </si>
  <si>
    <t>-54194#</t>
  </si>
  <si>
    <t>-44181#</t>
  </si>
  <si>
    <t>-64879#</t>
  </si>
  <si>
    <t>68996#</t>
  </si>
  <si>
    <t>73104#</t>
  </si>
  <si>
    <t>No</t>
  </si>
  <si>
    <t>Lr</t>
  </si>
  <si>
    <t>87896#</t>
  </si>
  <si>
    <t>79056#</t>
  </si>
  <si>
    <t>80929#</t>
  </si>
  <si>
    <t>81301#</t>
  </si>
  <si>
    <t>Db</t>
  </si>
  <si>
    <t>84393#</t>
  </si>
  <si>
    <t>100041#</t>
  </si>
  <si>
    <t>87039#</t>
  </si>
  <si>
    <t>89403#</t>
  </si>
  <si>
    <t>Rf</t>
  </si>
  <si>
    <t>Bh</t>
  </si>
  <si>
    <t>Mt</t>
  </si>
  <si>
    <t>dD</t>
  </si>
  <si>
    <t>28667#</t>
  </si>
  <si>
    <t>2000#</t>
  </si>
  <si>
    <t>43603#</t>
  </si>
  <si>
    <t>49135#</t>
  </si>
  <si>
    <t>1005#</t>
  </si>
  <si>
    <t>32658#</t>
  </si>
  <si>
    <t>49798#</t>
  </si>
  <si>
    <t>57678#</t>
  </si>
  <si>
    <t>53281#</t>
  </si>
  <si>
    <t>47543#</t>
  </si>
  <si>
    <t>56504#</t>
  </si>
  <si>
    <t>27442#</t>
  </si>
  <si>
    <t>257#</t>
  </si>
  <si>
    <t>35713#</t>
  </si>
  <si>
    <t>44954#</t>
  </si>
  <si>
    <t>17543#</t>
  </si>
  <si>
    <t>53850#</t>
  </si>
  <si>
    <t>48903#</t>
  </si>
  <si>
    <t>56289#</t>
  </si>
  <si>
    <t>597#</t>
  </si>
  <si>
    <t>11293#</t>
  </si>
  <si>
    <t>37278#</t>
  </si>
  <si>
    <t>45997#</t>
  </si>
  <si>
    <t>53121#</t>
  </si>
  <si>
    <t>807#</t>
  </si>
  <si>
    <t>32761#</t>
  </si>
  <si>
    <t>898#</t>
  </si>
  <si>
    <t>39582#</t>
  </si>
  <si>
    <t>946#</t>
  </si>
  <si>
    <t>16152#</t>
  </si>
  <si>
    <t>-51651#</t>
  </si>
  <si>
    <t>-39272#</t>
  </si>
  <si>
    <t>-30348#</t>
  </si>
  <si>
    <t>-43845#</t>
  </si>
  <si>
    <t>-53486#</t>
  </si>
  <si>
    <t>-60795#</t>
  </si>
  <si>
    <t>315#</t>
  </si>
  <si>
    <t>-33497#</t>
  </si>
  <si>
    <t>-38964#</t>
  </si>
  <si>
    <t>-50599#</t>
  </si>
  <si>
    <t>-57035#</t>
  </si>
  <si>
    <t>-46612#</t>
  </si>
  <si>
    <t>-38732#</t>
  </si>
  <si>
    <t>-24938#</t>
  </si>
  <si>
    <t>-35220#</t>
  </si>
  <si>
    <t>-45820#</t>
  </si>
  <si>
    <t>-30202#</t>
  </si>
  <si>
    <t>-42597#</t>
  </si>
  <si>
    <t>-50068#</t>
  </si>
  <si>
    <t>-59113#</t>
  </si>
  <si>
    <t>-13461#</t>
  </si>
  <si>
    <t>50#</t>
  </si>
  <si>
    <t>17903#</t>
  </si>
  <si>
    <t>13579#</t>
  </si>
  <si>
    <t>222#</t>
  </si>
  <si>
    <t>25504#</t>
  </si>
  <si>
    <t>8002#</t>
  </si>
  <si>
    <t>-10517#</t>
  </si>
  <si>
    <t>10703#</t>
  </si>
  <si>
    <t>13199#</t>
  </si>
  <si>
    <t>-4704#</t>
  </si>
  <si>
    <t>-23716#</t>
  </si>
  <si>
    <t>-18160#</t>
  </si>
  <si>
    <t>70#</t>
  </si>
  <si>
    <t>-7120#</t>
  </si>
  <si>
    <t>143#</t>
  </si>
  <si>
    <t>-15901#</t>
  </si>
  <si>
    <t>-23986#</t>
  </si>
  <si>
    <t>-8374#</t>
  </si>
  <si>
    <t>317#</t>
  </si>
  <si>
    <t>-34121#</t>
  </si>
  <si>
    <t>-17000#</t>
  </si>
  <si>
    <t>279#</t>
  </si>
  <si>
    <t>-39998#</t>
  </si>
  <si>
    <t>-27768#</t>
  </si>
  <si>
    <t>-6399#</t>
  </si>
  <si>
    <t>-33729#</t>
  </si>
  <si>
    <t>-18052#</t>
  </si>
  <si>
    <t>-42243#</t>
  </si>
  <si>
    <t>-24964#</t>
  </si>
  <si>
    <t>-35527#</t>
  </si>
  <si>
    <t>-46910#</t>
  </si>
  <si>
    <t>-33823#</t>
  </si>
  <si>
    <t>-39521#</t>
  </si>
  <si>
    <t>358#</t>
  </si>
  <si>
    <t>-32919#</t>
  </si>
  <si>
    <t>202#</t>
  </si>
  <si>
    <t>-41722#</t>
  </si>
  <si>
    <t>-46491#</t>
  </si>
  <si>
    <t>-32798#</t>
  </si>
  <si>
    <t>-44237#</t>
  </si>
  <si>
    <t>-32304#</t>
  </si>
  <si>
    <t>300#</t>
  </si>
  <si>
    <t>-38117#</t>
  </si>
  <si>
    <t>483#</t>
  </si>
  <si>
    <t>-31699#</t>
  </si>
  <si>
    <t>-33152#</t>
  </si>
  <si>
    <t>-11252#</t>
  </si>
  <si>
    <t>-27796#</t>
  </si>
  <si>
    <t>-46981#</t>
  </si>
  <si>
    <t>-36254#</t>
  </si>
  <si>
    <t>-19049#</t>
  </si>
  <si>
    <t>-33403#</t>
  </si>
  <si>
    <t>-28597#</t>
  </si>
  <si>
    <t>-38642#</t>
  </si>
  <si>
    <t>-25299#</t>
  </si>
  <si>
    <t>-46476#</t>
  </si>
  <si>
    <t>105#</t>
  </si>
  <si>
    <t>-32435#</t>
  </si>
  <si>
    <t>-35900#</t>
  </si>
  <si>
    <t>-51426#</t>
  </si>
  <si>
    <t>306#</t>
  </si>
  <si>
    <t>-41676#</t>
  </si>
  <si>
    <t>385#</t>
  </si>
  <si>
    <t>-31000#</t>
  </si>
  <si>
    <t>-39300#</t>
  </si>
  <si>
    <t>-37036#</t>
  </si>
  <si>
    <t>-49863#</t>
  </si>
  <si>
    <t>-46052#</t>
  </si>
  <si>
    <t>150#</t>
  </si>
  <si>
    <t>-32248#</t>
  </si>
  <si>
    <t>-48372#</t>
  </si>
  <si>
    <t>-29500#</t>
  </si>
  <si>
    <t>-38704#</t>
  </si>
  <si>
    <t>-36747#</t>
  </si>
  <si>
    <t>-48577#</t>
  </si>
  <si>
    <t>-46905#</t>
  </si>
  <si>
    <t>62#</t>
  </si>
  <si>
    <t>-34298#</t>
  </si>
  <si>
    <t>-44749#</t>
  </si>
  <si>
    <t>-52527#</t>
  </si>
  <si>
    <t>-42327#</t>
  </si>
  <si>
    <t>-53420#</t>
  </si>
  <si>
    <t>259#</t>
  </si>
  <si>
    <t>-36449#</t>
  </si>
  <si>
    <t>-47478#</t>
  </si>
  <si>
    <t>1498#</t>
  </si>
  <si>
    <t>-42457#</t>
  </si>
  <si>
    <t>-64192#</t>
  </si>
  <si>
    <t>-69853#</t>
  </si>
  <si>
    <t>205#</t>
  </si>
  <si>
    <t>-46696#</t>
  </si>
  <si>
    <t>-59560#</t>
  </si>
  <si>
    <t>-47553#</t>
  </si>
  <si>
    <t>-55778#</t>
  </si>
  <si>
    <t>-44404#</t>
  </si>
  <si>
    <t>-54539#</t>
  </si>
  <si>
    <t>-66341#</t>
  </si>
  <si>
    <t>362#</t>
  </si>
  <si>
    <t>-62364#</t>
  </si>
  <si>
    <t>313#</t>
  </si>
  <si>
    <t>-64916#</t>
  </si>
  <si>
    <t>-70654#</t>
  </si>
  <si>
    <t>-72507#</t>
  </si>
  <si>
    <t>359#</t>
  </si>
  <si>
    <t>-58097#</t>
  </si>
  <si>
    <t>-67245#</t>
  </si>
  <si>
    <t>211#</t>
  </si>
  <si>
    <t>-65456#</t>
  </si>
  <si>
    <t>201#</t>
  </si>
  <si>
    <t>309#</t>
  </si>
  <si>
    <t>-64947#</t>
  </si>
  <si>
    <t>302#</t>
  </si>
  <si>
    <t>-58833#</t>
  </si>
  <si>
    <t>539#</t>
  </si>
  <si>
    <t>-67096#</t>
  </si>
  <si>
    <t>-59727#</t>
  </si>
  <si>
    <t>361#</t>
  </si>
  <si>
    <t>301#</t>
  </si>
  <si>
    <t>-72796#</t>
  </si>
  <si>
    <t>207#</t>
  </si>
  <si>
    <t>305#</t>
  </si>
  <si>
    <t>448#</t>
  </si>
  <si>
    <t>648#</t>
  </si>
  <si>
    <t>-54967#</t>
  </si>
  <si>
    <t>-44004#</t>
  </si>
  <si>
    <t>-57687#</t>
  </si>
  <si>
    <t>-49705#</t>
  </si>
  <si>
    <t>-62401#</t>
  </si>
  <si>
    <t>-41579#</t>
  </si>
  <si>
    <t>-64543#</t>
  </si>
  <si>
    <t>-69955#</t>
  </si>
  <si>
    <t>-68707#</t>
  </si>
  <si>
    <t>-39495#</t>
  </si>
  <si>
    <t>-61274#</t>
  </si>
  <si>
    <t>-36198#</t>
  </si>
  <si>
    <t>-68614#</t>
  </si>
  <si>
    <t>-38312#</t>
  </si>
  <si>
    <t>-58936#</t>
  </si>
  <si>
    <t>-66974#</t>
  </si>
  <si>
    <t>-56178#</t>
  </si>
  <si>
    <t>-54912#</t>
  </si>
  <si>
    <t>-59176#</t>
  </si>
  <si>
    <t>-38582#</t>
  </si>
  <si>
    <t>-51353#</t>
  </si>
  <si>
    <t>-46770#</t>
  </si>
  <si>
    <t>-66330#</t>
  </si>
  <si>
    <t>-42718#</t>
  </si>
  <si>
    <t>-55191#</t>
  </si>
  <si>
    <t>-60541#</t>
  </si>
  <si>
    <t>-37744#</t>
  </si>
  <si>
    <t>-52201#</t>
  </si>
  <si>
    <t>-60696#</t>
  </si>
  <si>
    <t>-44106#</t>
  </si>
  <si>
    <t>-50198#</t>
  </si>
  <si>
    <t>-37623#</t>
  </si>
  <si>
    <t>-55349#</t>
  </si>
  <si>
    <t>-48400#</t>
  </si>
  <si>
    <t>-45401#</t>
  </si>
  <si>
    <t>-40669#</t>
  </si>
  <si>
    <t>-41703#</t>
  </si>
  <si>
    <t>-25821#</t>
  </si>
  <si>
    <t>-47143#</t>
  </si>
  <si>
    <t>-53104#</t>
  </si>
  <si>
    <t>-60417#</t>
  </si>
  <si>
    <t>O</t>
  </si>
  <si>
    <t>F</t>
  </si>
  <si>
    <t>Ne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</si>
  <si>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</si>
  <si>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</si>
  <si>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</si>
  <si>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</si>
  <si>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</si>
  <si>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</si>
  <si>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</si>
  <si>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</si>
  <si>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</si>
  <si>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</si>
  <si>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</si>
  <si>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</si>
  <si>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</si>
  <si>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</si>
  <si>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</si>
  <si>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</si>
  <si>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</si>
  <si>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</si>
  <si>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</si>
  <si>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</si>
  <si>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</si>
  <si>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</si>
  <si>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</si>
  <si>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</si>
  <si>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</si>
  <si>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</si>
  <si>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</si>
  <si>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</si>
  <si>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</si>
  <si>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</si>
  <si>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</si>
  <si>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</si>
  <si>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</si>
  <si>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</si>
  <si>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</si>
  <si>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</si>
  <si>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</si>
  <si>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</si>
  <si>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</si>
  <si>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</si>
  <si>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</si>
  <si>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</si>
  <si>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</si>
  <si>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</si>
  <si>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</si>
  <si>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</si>
  <si>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-42802#</t>
  </si>
  <si>
    <t>-42504#</t>
  </si>
  <si>
    <t>-47469#</t>
  </si>
  <si>
    <t>-44116#</t>
  </si>
  <si>
    <t>-41601#</t>
  </si>
  <si>
    <t>-46416#</t>
  </si>
  <si>
    <t>-40846#</t>
  </si>
  <si>
    <t>-44740#</t>
  </si>
  <si>
    <t>-28299#</t>
  </si>
  <si>
    <t>-39523#</t>
  </si>
  <si>
    <t>-38396#</t>
  </si>
  <si>
    <t>-31708#</t>
  </si>
  <si>
    <t>175#</t>
  </si>
  <si>
    <t>-24796#</t>
  </si>
  <si>
    <t>-22598#</t>
  </si>
  <si>
    <t>20800#</t>
  </si>
  <si>
    <t>20297#</t>
  </si>
  <si>
    <t>22440#</t>
  </si>
  <si>
    <t>26492#</t>
  </si>
  <si>
    <t>Np</t>
  </si>
  <si>
    <t>28774#</t>
  </si>
  <si>
    <t>32981#</t>
  </si>
  <si>
    <t>33701#</t>
  </si>
  <si>
    <t>Pu</t>
  </si>
  <si>
    <t>39598#</t>
  </si>
  <si>
    <t>38396#</t>
  </si>
  <si>
    <t>Am</t>
  </si>
  <si>
    <t>42439#</t>
  </si>
  <si>
    <t>43398#</t>
  </si>
  <si>
    <t>41498#</t>
  </si>
  <si>
    <t>Cm</t>
  </si>
  <si>
    <t>45103#</t>
  </si>
  <si>
    <t>Bk</t>
  </si>
  <si>
    <t>52704#</t>
  </si>
  <si>
    <t>53403#</t>
  </si>
  <si>
    <t>50202#</t>
  </si>
  <si>
    <t>Cf</t>
  </si>
  <si>
    <t>57818#</t>
  </si>
  <si>
    <t>57203#</t>
  </si>
  <si>
    <t>Es</t>
  </si>
  <si>
    <t>64199#</t>
  </si>
  <si>
    <t>56197#</t>
  </si>
  <si>
    <t>Fm</t>
  </si>
  <si>
    <t>68400#</t>
  </si>
  <si>
    <t>63202#</t>
  </si>
  <si>
    <t>Md</t>
  </si>
  <si>
    <t>93#</t>
  </si>
  <si>
    <t>32164#</t>
  </si>
  <si>
    <t>200#</t>
  </si>
  <si>
    <t>23772#</t>
  </si>
  <si>
    <t>196#</t>
  </si>
  <si>
    <t>31997#</t>
  </si>
  <si>
    <t>18872#</t>
  </si>
  <si>
    <t>10973#</t>
  </si>
  <si>
    <t>25970#</t>
  </si>
  <si>
    <t>203#</t>
  </si>
  <si>
    <t>33226#</t>
  </si>
  <si>
    <t>512#</t>
  </si>
  <si>
    <t>26557#</t>
  </si>
  <si>
    <t>40296#</t>
  </si>
  <si>
    <t>578#</t>
  </si>
  <si>
    <t>13143#</t>
  </si>
  <si>
    <t>4443#</t>
  </si>
  <si>
    <t>20083#</t>
  </si>
  <si>
    <t>30842#</t>
  </si>
  <si>
    <t>206#</t>
  </si>
  <si>
    <t>20418#</t>
  </si>
  <si>
    <t>6763#</t>
  </si>
  <si>
    <t>-1481#</t>
  </si>
  <si>
    <t>13153#</t>
  </si>
  <si>
    <t>13898#</t>
  </si>
  <si>
    <t>2841#</t>
  </si>
  <si>
    <t>-4937#</t>
  </si>
  <si>
    <t>9101#</t>
  </si>
  <si>
    <t>252#</t>
  </si>
  <si>
    <t>596#</t>
  </si>
  <si>
    <t>103#</t>
  </si>
  <si>
    <t>10330#</t>
  </si>
  <si>
    <t>699#</t>
  </si>
  <si>
    <t>84#</t>
  </si>
  <si>
    <t>-8169#</t>
  </si>
  <si>
    <t>5990#</t>
  </si>
  <si>
    <t>-18024#</t>
  </si>
  <si>
    <t>233#</t>
  </si>
  <si>
    <t>130#</t>
  </si>
  <si>
    <t>6399#</t>
  </si>
  <si>
    <t>102#</t>
  </si>
  <si>
    <t>-5114#</t>
  </si>
  <si>
    <t>-12370#</t>
  </si>
  <si>
    <t>112#</t>
  </si>
  <si>
    <t>755#</t>
  </si>
  <si>
    <t>354#</t>
  </si>
  <si>
    <t>-22263#</t>
  </si>
  <si>
    <t>4602#</t>
  </si>
  <si>
    <t>47953#</t>
  </si>
  <si>
    <t>952#</t>
  </si>
  <si>
    <t>21424#</t>
  </si>
  <si>
    <t>55275#</t>
  </si>
  <si>
    <t>958#</t>
  </si>
  <si>
    <t>29249#</t>
  </si>
  <si>
    <t>34996#</t>
  </si>
  <si>
    <t>43568#</t>
  </si>
  <si>
    <t>513#</t>
  </si>
  <si>
    <t>1500#</t>
  </si>
  <si>
    <t>50235#</t>
  </si>
  <si>
    <t>29295#</t>
  </si>
  <si>
    <t>35704#</t>
  </si>
  <si>
    <t>-15700#</t>
  </si>
  <si>
    <t>100#</t>
  </si>
  <si>
    <t>-205#</t>
  </si>
  <si>
    <t>43678#</t>
  </si>
  <si>
    <t>18434#</t>
  </si>
  <si>
    <t>26697#</t>
  </si>
  <si>
    <t>-2133#</t>
  </si>
  <si>
    <t>219#</t>
  </si>
  <si>
    <t>32844#</t>
  </si>
  <si>
    <t>-13460#</t>
  </si>
  <si>
    <t>-21694#</t>
  </si>
  <si>
    <t>214#</t>
  </si>
  <si>
    <t>-6567#</t>
  </si>
  <si>
    <t>-18118#</t>
  </si>
  <si>
    <t>-31624#</t>
  </si>
  <si>
    <t>-14923#</t>
  </si>
  <si>
    <t>-38601#</t>
  </si>
  <si>
    <t>140#</t>
  </si>
  <si>
    <t>-25728#</t>
  </si>
  <si>
    <t>-4741#</t>
  </si>
  <si>
    <t>KeV</t>
  </si>
  <si>
    <t>34Ar in CH2</t>
  </si>
  <si>
    <t>34Ar in Si</t>
  </si>
  <si>
    <t>Eloss in cm</t>
  </si>
  <si>
    <t>um    2</t>
  </si>
  <si>
    <t>um    3</t>
  </si>
  <si>
    <t>um    4</t>
  </si>
  <si>
    <t>um    5</t>
  </si>
  <si>
    <t>um    6</t>
  </si>
  <si>
    <t>um    7</t>
  </si>
  <si>
    <t>um    9</t>
  </si>
  <si>
    <t>um   11</t>
  </si>
  <si>
    <t>um   13</t>
  </si>
  <si>
    <t xml:space="preserve">Scattering Yield </t>
  </si>
  <si>
    <t>From Marion &amp; Young (Page 141)</t>
  </si>
  <si>
    <r>
      <t>B = [M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)]/[(M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)] =</t>
    </r>
  </si>
  <si>
    <r>
      <t>D = (M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/[(M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)])*[1 + 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Q/M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)] =</t>
    </r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</si>
  <si>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Q) =</t>
    </r>
  </si>
  <si>
    <t>-40697#</t>
  </si>
  <si>
    <t>-46649#</t>
  </si>
  <si>
    <t>-41610#</t>
  </si>
  <si>
    <t>-50310#</t>
  </si>
  <si>
    <t>-46929#</t>
  </si>
  <si>
    <t>1099#</t>
  </si>
  <si>
    <t>-47357#</t>
  </si>
  <si>
    <t>-46128#</t>
  </si>
  <si>
    <t>-52946#</t>
  </si>
  <si>
    <t>-52974#</t>
  </si>
  <si>
    <t>-47748#</t>
  </si>
  <si>
    <t>-71492#</t>
  </si>
  <si>
    <t>-61879#</t>
  </si>
  <si>
    <t>-55806#</t>
  </si>
  <si>
    <t>-53207#</t>
  </si>
  <si>
    <t>-59122#</t>
  </si>
  <si>
    <t>-47339#</t>
  </si>
  <si>
    <t>-51642#</t>
  </si>
  <si>
    <t>-55498#</t>
  </si>
  <si>
    <t>-59513#</t>
  </si>
  <si>
    <t>-53216#</t>
  </si>
  <si>
    <t>-59103#</t>
  </si>
  <si>
    <t>-47059#</t>
  </si>
  <si>
    <t>-47199#</t>
  </si>
  <si>
    <t>-74408#</t>
  </si>
  <si>
    <t>-63360#</t>
  </si>
  <si>
    <t>-69173#</t>
  </si>
  <si>
    <t>-59699#</t>
  </si>
  <si>
    <t>-47804#</t>
  </si>
  <si>
    <t>-72938#</t>
  </si>
  <si>
    <t>447#</t>
  </si>
  <si>
    <t>-66350#</t>
  </si>
  <si>
    <t>-53300#</t>
  </si>
  <si>
    <t>-56039#</t>
  </si>
  <si>
    <t>-70151#</t>
  </si>
  <si>
    <t>-60100#</t>
  </si>
  <si>
    <t>-53030#</t>
  </si>
  <si>
    <t>-64571#</t>
  </si>
  <si>
    <t>-56104#</t>
  </si>
  <si>
    <t>-47916#</t>
  </si>
  <si>
    <t>-60603#</t>
  </si>
  <si>
    <t>Projected Range</t>
  </si>
  <si>
    <r>
      <t>Projected Range (</t>
    </r>
    <r>
      <rPr>
        <sz val="10"/>
        <rFont val="Arial"/>
        <family val="2"/>
      </rPr>
      <t>μ</t>
    </r>
    <r>
      <rPr>
        <sz val="10"/>
        <rFont val="Arial"/>
        <family val="2"/>
      </rPr>
      <t>m)</t>
    </r>
  </si>
  <si>
    <t>First, enter entire SRIM output.</t>
  </si>
  <si>
    <t>Ion Energy</t>
  </si>
  <si>
    <t>Longitudinal Straggling</t>
  </si>
  <si>
    <t>Lateral Straggling</t>
  </si>
  <si>
    <t>The required data will now be extracted:</t>
  </si>
  <si>
    <t>mm</t>
  </si>
  <si>
    <t>Adjust data to columns to fit under correct headings (Data-&gt;Text to Colums)</t>
  </si>
  <si>
    <t>GeV</t>
  </si>
  <si>
    <t>SRIM 2008 (or 2003) data must first be entered into the 'SRIM Data' sheet</t>
  </si>
  <si>
    <t>Reaction</t>
  </si>
  <si>
    <t xml:space="preserve">a + X </t>
  </si>
  <si>
    <t>Y + b</t>
  </si>
  <si>
    <t>Relative amplification:</t>
  </si>
  <si>
    <t>Relative amplification</t>
  </si>
  <si>
    <t>Particle Energy</t>
  </si>
  <si>
    <t>Coulomb Barrier Penetrability</t>
  </si>
  <si>
    <t>Gamow Curve</t>
  </si>
  <si>
    <t>-50338#</t>
  </si>
  <si>
    <t>-53132#</t>
  </si>
  <si>
    <t>-57911#</t>
  </si>
  <si>
    <t>-61013#</t>
  </si>
  <si>
    <t>-60258#</t>
  </si>
  <si>
    <t>-58796#</t>
  </si>
  <si>
    <t>-64431#</t>
  </si>
  <si>
    <t>-55424#</t>
  </si>
  <si>
    <t>-60184#</t>
  </si>
  <si>
    <t>-55470#</t>
  </si>
  <si>
    <t>-61711#</t>
  </si>
  <si>
    <t>-60799#</t>
  </si>
  <si>
    <t>-54287#</t>
  </si>
  <si>
    <t>-56504#</t>
  </si>
  <si>
    <t>-51558#</t>
  </si>
  <si>
    <t>-65931#</t>
  </si>
  <si>
    <t>-43901#</t>
  </si>
  <si>
    <t>-55722#</t>
  </si>
  <si>
    <t>-52098#</t>
  </si>
  <si>
    <t>-52322#</t>
  </si>
  <si>
    <t>-44041#</t>
  </si>
  <si>
    <t>Lab Energy (1) (MeV)</t>
  </si>
  <si>
    <t>Lab Energy (2) (MeV)</t>
  </si>
  <si>
    <r>
      <t>θ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(1) at ring centre (deg)</t>
    </r>
  </si>
  <si>
    <r>
      <t>A = [M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)]/[(M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)] =</t>
    </r>
  </si>
  <si>
    <r>
      <t>C = (M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/[(M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)])*[1 + 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Q/M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)] =</t>
    </r>
  </si>
  <si>
    <r>
      <t>θ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(2) at ring centre (deg)</t>
    </r>
  </si>
  <si>
    <t>4He in CH2</t>
  </si>
  <si>
    <t>p in CH2</t>
  </si>
  <si>
    <t>21Na in Si</t>
  </si>
  <si>
    <t>um    1</t>
  </si>
  <si>
    <t>E3 lab</t>
  </si>
  <si>
    <t>E4 lab</t>
  </si>
  <si>
    <t>E3 lab with Eloss</t>
  </si>
  <si>
    <t>18Ne in CH2</t>
  </si>
  <si>
    <t>18Ne in Si</t>
  </si>
  <si>
    <t>4He in Si</t>
  </si>
  <si>
    <t>Coulomb Barrier (MeV)</t>
  </si>
  <si>
    <t>-------</t>
  </si>
  <si>
    <t>----</t>
  </si>
  <si>
    <t>um</t>
  </si>
  <si>
    <t>Ion Energy (MeV)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</si>
  <si>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</si>
  <si>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</si>
  <si>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</si>
  <si>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</si>
  <si>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</si>
  <si>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</si>
  <si>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</si>
  <si>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</si>
  <si>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</si>
  <si>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</si>
  <si>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</si>
  <si>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</si>
  <si>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</si>
  <si>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</si>
  <si>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</si>
  <si>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</si>
  <si>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</si>
  <si>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</si>
  <si>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</si>
  <si>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</si>
  <si>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</si>
  <si>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</si>
  <si>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</si>
  <si>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</si>
  <si>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</si>
  <si>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</si>
  <si>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</si>
  <si>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</si>
  <si>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</si>
  <si>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</si>
  <si>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</si>
  <si>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</si>
  <si>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</si>
  <si>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</si>
  <si>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</si>
  <si>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Beam</t>
  </si>
  <si>
    <t>Target</t>
  </si>
  <si>
    <t>Ejectile</t>
  </si>
  <si>
    <t>Recoil</t>
  </si>
  <si>
    <t>M(a.m.u.)</t>
  </si>
  <si>
    <t>one amu=</t>
  </si>
  <si>
    <t>A</t>
  </si>
  <si>
    <t>37996#</t>
  </si>
  <si>
    <t>3996#</t>
  </si>
  <si>
    <t>50096#</t>
  </si>
  <si>
    <t>997#</t>
  </si>
  <si>
    <t>401#</t>
  </si>
  <si>
    <t>52322#</t>
  </si>
  <si>
    <t>801#</t>
  </si>
  <si>
    <t>59364#</t>
  </si>
  <si>
    <t>45960#</t>
  </si>
  <si>
    <t>503#</t>
  </si>
  <si>
    <t>26119#</t>
  </si>
  <si>
    <t>298#</t>
  </si>
  <si>
    <t>904#</t>
  </si>
  <si>
    <t>18183#</t>
  </si>
  <si>
    <t>E = kT (keV)</t>
  </si>
  <si>
    <t>Energy (keV)</t>
  </si>
  <si>
    <t>Coulomb Barrier Penetrability (x 'R4')</t>
  </si>
  <si>
    <t>Gamow Curve (x 'S4')</t>
  </si>
  <si>
    <t>Gamow Peak</t>
  </si>
  <si>
    <t>Gamow Energy</t>
  </si>
  <si>
    <t>Mass (amu)</t>
  </si>
  <si>
    <r>
      <t>E</t>
    </r>
    <r>
      <rPr>
        <b/>
        <vertAlign val="subscript"/>
        <sz val="10"/>
        <rFont val="Arial"/>
        <family val="2"/>
      </rPr>
      <t xml:space="preserve">0 </t>
    </r>
    <r>
      <rPr>
        <b/>
        <sz val="10"/>
        <rFont val="Arial"/>
        <family val="2"/>
      </rPr>
      <t>(keV) =</t>
    </r>
  </si>
  <si>
    <t>Z</t>
  </si>
  <si>
    <r>
      <t>∆E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(keV) =</t>
    </r>
  </si>
  <si>
    <t>Maxwell Boltzmann Distribution</t>
  </si>
  <si>
    <t>Modification of axes scale will be required.</t>
  </si>
  <si>
    <t>Projectile: a</t>
  </si>
  <si>
    <t>Target: X</t>
  </si>
  <si>
    <t>Ejectile: b</t>
  </si>
  <si>
    <t>Recoil: Y</t>
  </si>
  <si>
    <t>Symbol</t>
  </si>
  <si>
    <t>Mass</t>
  </si>
  <si>
    <t>Na</t>
  </si>
  <si>
    <t>H</t>
  </si>
  <si>
    <t>He</t>
  </si>
  <si>
    <t>Li</t>
  </si>
  <si>
    <t>Be</t>
  </si>
  <si>
    <t>B</t>
  </si>
  <si>
    <t>C</t>
  </si>
  <si>
    <t>N</t>
  </si>
  <si>
    <t>158#</t>
  </si>
  <si>
    <t>-6623#</t>
  </si>
  <si>
    <t>261#</t>
  </si>
  <si>
    <t>12100#</t>
  </si>
  <si>
    <t>71#</t>
  </si>
  <si>
    <t>1639#</t>
  </si>
  <si>
    <t>-24582#</t>
  </si>
  <si>
    <t>-9576#</t>
  </si>
  <si>
    <t>-13097#</t>
  </si>
  <si>
    <t>-17195#</t>
  </si>
  <si>
    <t>168#</t>
  </si>
  <si>
    <t>-3791#</t>
  </si>
  <si>
    <t>-22002#</t>
  </si>
  <si>
    <t>-27274#</t>
  </si>
  <si>
    <t>149#</t>
  </si>
  <si>
    <t>-11439#</t>
  </si>
  <si>
    <t>-16199#</t>
  </si>
  <si>
    <t>-33916#</t>
  </si>
  <si>
    <t>65#</t>
  </si>
  <si>
    <t>-22654#</t>
  </si>
  <si>
    <t>-2627#</t>
  </si>
  <si>
    <t>1000#</t>
  </si>
  <si>
    <t>-11998#</t>
  </si>
  <si>
    <t>-27898#</t>
  </si>
  <si>
    <t>neu</t>
  </si>
  <si>
    <t>gamma</t>
  </si>
  <si>
    <t>dE/dx</t>
  </si>
  <si>
    <t>Projected</t>
  </si>
  <si>
    <t>--------------</t>
  </si>
  <si>
    <t>----------</t>
  </si>
  <si>
    <t>-----------</t>
  </si>
  <si>
    <t>------</t>
  </si>
  <si>
    <t>--------</t>
  </si>
  <si>
    <r>
      <t>dE/dx Elec (keV/</t>
    </r>
    <r>
      <rPr>
        <sz val="10"/>
        <rFont val="Arial"/>
        <family val="2"/>
      </rPr>
      <t>μ</t>
    </r>
    <r>
      <rPr>
        <sz val="10"/>
        <rFont val="Arial"/>
        <family val="2"/>
      </rPr>
      <t>m)</t>
    </r>
  </si>
  <si>
    <t>7Be in CH2</t>
  </si>
  <si>
    <t>Projectile Elab (MeV)</t>
  </si>
  <si>
    <t>Target Thickness (μm)</t>
  </si>
  <si>
    <t>S2 Front View:</t>
  </si>
  <si>
    <t>Green = Detection area</t>
  </si>
  <si>
    <t>Red = Strip gap</t>
  </si>
  <si>
    <r>
      <t>(zZe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/4πε0)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(MeV.fm)</t>
    </r>
    <r>
      <rPr>
        <vertAlign val="superscript"/>
        <sz val="10"/>
        <rFont val="Arial"/>
        <family val="2"/>
      </rPr>
      <t>2</t>
    </r>
  </si>
  <si>
    <r>
      <t>MeV</t>
    </r>
    <r>
      <rPr>
        <vertAlign val="superscript"/>
        <sz val="10"/>
        <rFont val="Arial"/>
        <family val="2"/>
      </rPr>
      <t>-2</t>
    </r>
  </si>
  <si>
    <t>Differential cross section (barns)</t>
  </si>
  <si>
    <r>
      <t>1 barn = 100 fm</t>
    </r>
    <r>
      <rPr>
        <vertAlign val="superscript"/>
        <sz val="10"/>
        <rFont val="Arial"/>
        <family val="2"/>
      </rPr>
      <t>2</t>
    </r>
  </si>
  <si>
    <r>
      <t>Differential cross section (fm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</si>
  <si>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sin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2"/>
      </rPr>
      <t>(theta/2)</t>
    </r>
  </si>
  <si>
    <t>Scattering Angle (degrees)</t>
  </si>
  <si>
    <t>Scattering Angle(radians)</t>
  </si>
  <si>
    <t>Number of detected scattered particles</t>
  </si>
  <si>
    <t>Differential cross section (cm-2)</t>
  </si>
  <si>
    <t>Active detector region</t>
  </si>
  <si>
    <r>
      <t>g/cm</t>
    </r>
    <r>
      <rPr>
        <vertAlign val="superscript"/>
        <sz val="10"/>
        <rFont val="Arial"/>
        <family val="2"/>
      </rPr>
      <t>3</t>
    </r>
  </si>
  <si>
    <t>30 X 30 mm = 300mm^2</t>
  </si>
  <si>
    <t>Rutherford scattering of 7Be on 197Au</t>
  </si>
  <si>
    <t>Distance between detector and target (mm)</t>
  </si>
  <si>
    <t>Collimate detector to</t>
  </si>
  <si>
    <t>1 barn = 10^-24 cm-2</t>
  </si>
  <si>
    <t>mm radius</t>
  </si>
  <si>
    <r>
      <t>(zZe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/4πε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(1/(4T</t>
    </r>
    <r>
      <rPr>
        <vertAlign val="subscript"/>
        <sz val="10"/>
        <rFont val="Arial"/>
        <family val="2"/>
      </rPr>
      <t>a)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(1/sin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(θ/2))</t>
    </r>
  </si>
  <si>
    <r>
      <t>(1/(4Ta))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</si>
</sst>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E+000"/>
    <numFmt numFmtId="166" formatCode="0.000E+00"/>
    <numFmt numFmtId="167" formatCode="0.000"/>
    <numFmt numFmtId="168" formatCode="0.00000"/>
    <numFmt numFmtId="169" formatCode="0.0000"/>
    <numFmt numFmtId="170" formatCode="0.0E+00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.85"/>
      <color indexed="8"/>
      <name val="Symbol"/>
      <family val="1"/>
    </font>
    <font>
      <sz val="9.85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u/>
      <sz val="11"/>
      <name val="Arial"/>
      <family val="2"/>
    </font>
    <font>
      <b/>
      <u/>
      <vertAlign val="sub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u/>
      <sz val="12"/>
      <name val="Arial"/>
      <family val="2"/>
    </font>
    <font>
      <sz val="10"/>
      <color indexed="2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sz val="12"/>
      <name val="新細明體"/>
      <family val="1"/>
      <charset val="136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49"/>
      </patternFill>
    </fill>
    <fill>
      <patternFill patternType="solid">
        <fgColor indexed="41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0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/>
    <xf numFmtId="166" fontId="5" fillId="0" borderId="0" xfId="0" applyNumberFormat="1" applyFont="1"/>
    <xf numFmtId="0" fontId="0" fillId="0" borderId="0" xfId="0" applyNumberFormat="1"/>
    <xf numFmtId="0" fontId="2" fillId="0" borderId="0" xfId="0" applyFont="1" applyBorder="1"/>
    <xf numFmtId="11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1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" fillId="0" borderId="0" xfId="3"/>
    <xf numFmtId="0" fontId="1" fillId="0" borderId="0" xfId="3" applyAlignment="1">
      <alignment horizontal="right"/>
    </xf>
    <xf numFmtId="0" fontId="8" fillId="0" borderId="0" xfId="3" applyFont="1" applyAlignment="1">
      <alignment horizontal="right"/>
    </xf>
    <xf numFmtId="0" fontId="8" fillId="0" borderId="0" xfId="2" applyFont="1" applyAlignment="1">
      <alignment horizontal="right"/>
    </xf>
    <xf numFmtId="0" fontId="1" fillId="0" borderId="0" xfId="2" applyFont="1"/>
    <xf numFmtId="0" fontId="10" fillId="0" borderId="9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164" fontId="11" fillId="0" borderId="7" xfId="0" applyNumberFormat="1" applyFont="1" applyFill="1" applyBorder="1"/>
    <xf numFmtId="0" fontId="0" fillId="3" borderId="8" xfId="0" applyFill="1" applyBorder="1"/>
    <xf numFmtId="167" fontId="0" fillId="2" borderId="8" xfId="0" applyNumberFormat="1" applyFill="1" applyBorder="1" applyAlignment="1">
      <alignment horizontal="center"/>
    </xf>
    <xf numFmtId="164" fontId="0" fillId="4" borderId="8" xfId="0" applyNumberFormat="1" applyFill="1" applyBorder="1"/>
    <xf numFmtId="0" fontId="0" fillId="0" borderId="0" xfId="0" applyAlignment="1">
      <alignment horizontal="right"/>
    </xf>
    <xf numFmtId="11" fontId="0" fillId="3" borderId="8" xfId="0" applyNumberFormat="1" applyFill="1" applyBorder="1"/>
    <xf numFmtId="1" fontId="0" fillId="2" borderId="8" xfId="0" applyNumberFormat="1" applyFill="1" applyBorder="1"/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2" fontId="17" fillId="0" borderId="0" xfId="1" applyNumberFormat="1" applyFont="1" applyFill="1"/>
    <xf numFmtId="0" fontId="2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8" fontId="0" fillId="2" borderId="8" xfId="0" applyNumberFormat="1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left"/>
    </xf>
    <xf numFmtId="11" fontId="0" fillId="5" borderId="8" xfId="0" applyNumberFormat="1" applyFill="1" applyBorder="1"/>
    <xf numFmtId="0" fontId="3" fillId="0" borderId="9" xfId="0" applyFont="1" applyBorder="1"/>
    <xf numFmtId="0" fontId="2" fillId="0" borderId="3" xfId="0" applyFon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Font="1" applyBorder="1" applyAlignment="1">
      <alignment horizontal="right"/>
    </xf>
    <xf numFmtId="0" fontId="0" fillId="0" borderId="16" xfId="0" applyBorder="1"/>
    <xf numFmtId="0" fontId="0" fillId="0" borderId="15" xfId="0" applyBorder="1"/>
    <xf numFmtId="0" fontId="2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2" fillId="0" borderId="12" xfId="0" applyFont="1" applyBorder="1"/>
    <xf numFmtId="0" fontId="2" fillId="0" borderId="15" xfId="0" applyFont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1" applyFont="1" applyFill="1" applyAlignment="1">
      <alignment horizontal="center"/>
    </xf>
    <xf numFmtId="2" fontId="7" fillId="0" borderId="0" xfId="1" applyNumberFormat="1" applyFont="1" applyFill="1"/>
    <xf numFmtId="0" fontId="7" fillId="0" borderId="0" xfId="0" applyFont="1"/>
    <xf numFmtId="167" fontId="7" fillId="0" borderId="0" xfId="1" applyNumberFormat="1" applyFont="1" applyFill="1"/>
    <xf numFmtId="0" fontId="0" fillId="2" borderId="8" xfId="0" applyFill="1" applyBorder="1"/>
    <xf numFmtId="167" fontId="0" fillId="2" borderId="8" xfId="0" applyNumberFormat="1" applyFill="1" applyBorder="1"/>
    <xf numFmtId="2" fontId="0" fillId="2" borderId="8" xfId="0" applyNumberFormat="1" applyFill="1" applyBorder="1"/>
    <xf numFmtId="11" fontId="0" fillId="2" borderId="8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1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9" xfId="0" applyFont="1" applyBorder="1"/>
    <xf numFmtId="0" fontId="5" fillId="0" borderId="3" xfId="0" applyFont="1" applyBorder="1"/>
    <xf numFmtId="0" fontId="9" fillId="0" borderId="0" xfId="0" applyFont="1" applyBorder="1" applyAlignment="1">
      <alignment horizontal="right"/>
    </xf>
    <xf numFmtId="164" fontId="0" fillId="2" borderId="8" xfId="0" applyNumberFormat="1" applyFill="1" applyBorder="1"/>
    <xf numFmtId="11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8" fillId="0" borderId="0" xfId="1" applyFont="1" applyFill="1"/>
    <xf numFmtId="164" fontId="18" fillId="0" borderId="0" xfId="1" applyNumberFormat="1" applyFont="1" applyFill="1"/>
    <xf numFmtId="164" fontId="19" fillId="0" borderId="0" xfId="1" applyNumberFormat="1" applyFont="1" applyFill="1"/>
    <xf numFmtId="164" fontId="1" fillId="0" borderId="0" xfId="1" applyNumberFormat="1"/>
    <xf numFmtId="0" fontId="2" fillId="0" borderId="0" xfId="0" applyFont="1" applyAlignment="1">
      <alignment horizontal="left"/>
    </xf>
    <xf numFmtId="11" fontId="0" fillId="2" borderId="10" xfId="0" applyNumberFormat="1" applyFill="1" applyBorder="1"/>
    <xf numFmtId="0" fontId="0" fillId="0" borderId="0" xfId="0" applyFill="1" applyBorder="1" applyAlignment="1">
      <alignment horizontal="right"/>
    </xf>
    <xf numFmtId="0" fontId="2" fillId="0" borderId="1" xfId="0" applyFont="1" applyBorder="1"/>
    <xf numFmtId="0" fontId="1" fillId="0" borderId="0" xfId="0" applyFont="1" applyBorder="1"/>
    <xf numFmtId="0" fontId="1" fillId="0" borderId="0" xfId="3" applyFont="1"/>
    <xf numFmtId="0" fontId="2" fillId="0" borderId="9" xfId="0" applyFont="1" applyBorder="1"/>
    <xf numFmtId="0" fontId="1" fillId="0" borderId="0" xfId="0" applyFont="1" applyFill="1" applyBorder="1" applyAlignment="1">
      <alignment horizontal="center"/>
    </xf>
    <xf numFmtId="0" fontId="1" fillId="3" borderId="8" xfId="0" applyFont="1" applyFill="1" applyBorder="1"/>
    <xf numFmtId="0" fontId="0" fillId="3" borderId="19" xfId="0" applyFill="1" applyBorder="1" applyAlignment="1">
      <alignment horizontal="center"/>
    </xf>
    <xf numFmtId="0" fontId="0" fillId="2" borderId="19" xfId="0" applyFill="1" applyBorder="1"/>
    <xf numFmtId="0" fontId="0" fillId="3" borderId="21" xfId="0" applyFill="1" applyBorder="1" applyAlignment="1">
      <alignment horizontal="center"/>
    </xf>
    <xf numFmtId="0" fontId="0" fillId="2" borderId="21" xfId="0" applyFill="1" applyBorder="1"/>
    <xf numFmtId="0" fontId="0" fillId="3" borderId="22" xfId="0" applyFill="1" applyBorder="1" applyAlignment="1">
      <alignment horizontal="center"/>
    </xf>
    <xf numFmtId="0" fontId="3" fillId="0" borderId="3" xfId="0" applyFont="1" applyBorder="1"/>
    <xf numFmtId="0" fontId="2" fillId="0" borderId="15" xfId="0" applyFont="1" applyBorder="1"/>
    <xf numFmtId="0" fontId="0" fillId="0" borderId="0" xfId="0" applyFill="1"/>
    <xf numFmtId="11" fontId="0" fillId="2" borderId="8" xfId="0" applyNumberForma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6" borderId="0" xfId="0" applyFill="1" applyAlignment="1">
      <alignment wrapText="1"/>
    </xf>
    <xf numFmtId="0" fontId="0" fillId="6" borderId="0" xfId="0" applyFill="1"/>
    <xf numFmtId="0" fontId="0" fillId="6" borderId="0" xfId="0" applyFill="1" applyBorder="1"/>
    <xf numFmtId="165" fontId="2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9" fillId="0" borderId="3" xfId="0" applyFont="1" applyBorder="1" applyAlignment="1">
      <alignment horizontal="right"/>
    </xf>
    <xf numFmtId="0" fontId="0" fillId="6" borderId="6" xfId="0" applyFill="1" applyBorder="1"/>
    <xf numFmtId="0" fontId="0" fillId="6" borderId="11" xfId="0" applyFill="1" applyBorder="1"/>
    <xf numFmtId="0" fontId="0" fillId="6" borderId="0" xfId="0" applyFill="1" applyBorder="1" applyAlignment="1">
      <alignment horizontal="left"/>
    </xf>
    <xf numFmtId="0" fontId="0" fillId="6" borderId="13" xfId="0" applyFill="1" applyBorder="1"/>
    <xf numFmtId="0" fontId="0" fillId="6" borderId="25" xfId="0" applyFill="1" applyBorder="1"/>
    <xf numFmtId="0" fontId="0" fillId="6" borderId="26" xfId="0" applyFill="1" applyBorder="1"/>
    <xf numFmtId="0" fontId="21" fillId="0" borderId="0" xfId="0" applyFont="1"/>
    <xf numFmtId="0" fontId="0" fillId="6" borderId="3" xfId="0" applyFill="1" applyBorder="1"/>
    <xf numFmtId="0" fontId="0" fillId="3" borderId="27" xfId="0" applyFill="1" applyBorder="1"/>
    <xf numFmtId="0" fontId="2" fillId="0" borderId="0" xfId="0" applyFont="1" applyAlignment="1">
      <alignment horizontal="center" vertical="center" wrapText="1"/>
    </xf>
    <xf numFmtId="0" fontId="2" fillId="7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NumberFormat="1" applyFont="1" applyFill="1" applyBorder="1" applyAlignment="1" applyProtection="1"/>
    <xf numFmtId="165" fontId="22" fillId="0" borderId="0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23" fillId="0" borderId="0" xfId="0" applyFont="1"/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0" fillId="3" borderId="26" xfId="0" applyNumberFormat="1" applyFont="1" applyFill="1" applyBorder="1"/>
    <xf numFmtId="0" fontId="0" fillId="3" borderId="26" xfId="0" applyFill="1" applyBorder="1"/>
    <xf numFmtId="11" fontId="0" fillId="3" borderId="26" xfId="0" applyNumberFormat="1" applyFill="1" applyBorder="1"/>
    <xf numFmtId="2" fontId="7" fillId="3" borderId="26" xfId="0" applyNumberFormat="1" applyFont="1" applyFill="1" applyBorder="1"/>
    <xf numFmtId="0" fontId="0" fillId="0" borderId="28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0" fillId="0" borderId="0" xfId="0" applyFont="1"/>
    <xf numFmtId="0" fontId="3" fillId="0" borderId="0" xfId="0" applyFont="1"/>
    <xf numFmtId="0" fontId="10" fillId="0" borderId="0" xfId="0" applyFont="1"/>
    <xf numFmtId="0" fontId="22" fillId="6" borderId="0" xfId="0" applyNumberFormat="1" applyFont="1" applyFill="1" applyBorder="1" applyAlignment="1" applyProtection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7" fillId="0" borderId="0" xfId="0" applyFont="1" applyBorder="1"/>
    <xf numFmtId="0" fontId="26" fillId="0" borderId="0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164" fontId="0" fillId="3" borderId="8" xfId="0" applyNumberFormat="1" applyFill="1" applyBorder="1"/>
    <xf numFmtId="169" fontId="0" fillId="2" borderId="8" xfId="0" applyNumberFormat="1" applyFill="1" applyBorder="1"/>
    <xf numFmtId="0" fontId="24" fillId="0" borderId="3" xfId="0" applyFont="1" applyBorder="1" applyAlignment="1">
      <alignment horizontal="right"/>
    </xf>
    <xf numFmtId="0" fontId="26" fillId="0" borderId="0" xfId="0" quotePrefix="1" applyFont="1" applyBorder="1"/>
    <xf numFmtId="0" fontId="0" fillId="2" borderId="8" xfId="0" applyFill="1" applyBorder="1" applyAlignment="1">
      <alignment horizontal="left"/>
    </xf>
    <xf numFmtId="11" fontId="0" fillId="2" borderId="8" xfId="0" applyNumberFormat="1" applyFill="1" applyBorder="1" applyAlignment="1">
      <alignment horizontal="left"/>
    </xf>
    <xf numFmtId="0" fontId="2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167" fontId="2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11" fontId="2" fillId="6" borderId="0" xfId="0" applyNumberFormat="1" applyFont="1" applyFill="1" applyAlignment="1">
      <alignment horizontal="right"/>
    </xf>
    <xf numFmtId="2" fontId="2" fillId="6" borderId="0" xfId="0" applyNumberFormat="1" applyFont="1" applyFill="1" applyAlignment="1">
      <alignment horizontal="left"/>
    </xf>
    <xf numFmtId="0" fontId="3" fillId="6" borderId="0" xfId="0" applyFont="1" applyFill="1"/>
    <xf numFmtId="0" fontId="0" fillId="0" borderId="9" xfId="0" applyBorder="1"/>
    <xf numFmtId="0" fontId="7" fillId="0" borderId="0" xfId="0" applyFont="1" applyBorder="1" applyAlignment="1">
      <alignment horizontal="right"/>
    </xf>
    <xf numFmtId="0" fontId="2" fillId="6" borderId="0" xfId="0" applyFont="1" applyFill="1"/>
    <xf numFmtId="170" fontId="0" fillId="3" borderId="8" xfId="0" applyNumberFormat="1" applyFill="1" applyBorder="1"/>
    <xf numFmtId="0" fontId="0" fillId="3" borderId="29" xfId="0" applyFill="1" applyBorder="1"/>
    <xf numFmtId="167" fontId="2" fillId="0" borderId="0" xfId="0" applyNumberFormat="1" applyFont="1" applyBorder="1"/>
    <xf numFmtId="2" fontId="0" fillId="3" borderId="27" xfId="0" applyNumberFormat="1" applyFill="1" applyBorder="1"/>
    <xf numFmtId="2" fontId="0" fillId="0" borderId="0" xfId="0" applyNumberFormat="1" applyFill="1" applyBorder="1"/>
    <xf numFmtId="170" fontId="0" fillId="0" borderId="0" xfId="0" applyNumberFormat="1" applyFill="1" applyBorder="1"/>
    <xf numFmtId="167" fontId="0" fillId="0" borderId="0" xfId="0" applyNumberFormat="1" applyFill="1" applyBorder="1" applyAlignment="1">
      <alignment horizontal="center"/>
    </xf>
    <xf numFmtId="2" fontId="0" fillId="3" borderId="8" xfId="0" applyNumberFormat="1" applyFill="1" applyBorder="1"/>
    <xf numFmtId="0" fontId="0" fillId="3" borderId="28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3" borderId="4" xfId="0" applyFill="1" applyBorder="1"/>
    <xf numFmtId="11" fontId="0" fillId="3" borderId="4" xfId="0" applyNumberFormat="1" applyFill="1" applyBorder="1"/>
    <xf numFmtId="0" fontId="0" fillId="0" borderId="26" xfId="0" applyBorder="1"/>
    <xf numFmtId="0" fontId="0" fillId="3" borderId="7" xfId="0" applyFill="1" applyBorder="1"/>
    <xf numFmtId="11" fontId="0" fillId="3" borderId="7" xfId="0" applyNumberFormat="1" applyFill="1" applyBorder="1"/>
    <xf numFmtId="0" fontId="2" fillId="9" borderId="0" xfId="0" applyFont="1" applyFill="1"/>
    <xf numFmtId="0" fontId="0" fillId="0" borderId="4" xfId="0" applyFill="1" applyBorder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8" xfId="0" applyFill="1" applyBorder="1"/>
    <xf numFmtId="167" fontId="0" fillId="0" borderId="8" xfId="0" applyNumberFormat="1" applyFill="1" applyBorder="1"/>
    <xf numFmtId="11" fontId="0" fillId="0" borderId="8" xfId="0" applyNumberFormat="1" applyFill="1" applyBorder="1"/>
    <xf numFmtId="1" fontId="0" fillId="0" borderId="8" xfId="0" applyNumberFormat="1" applyFill="1" applyBorder="1"/>
    <xf numFmtId="11" fontId="7" fillId="2" borderId="8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" fontId="7" fillId="2" borderId="8" xfId="0" applyNumberFormat="1" applyFont="1" applyFill="1" applyBorder="1"/>
    <xf numFmtId="0" fontId="0" fillId="0" borderId="33" xfId="0" applyBorder="1" applyAlignment="1">
      <alignment horizontal="center" vertical="center" wrapText="1"/>
    </xf>
    <xf numFmtId="167" fontId="7" fillId="2" borderId="33" xfId="0" applyNumberFormat="1" applyFont="1" applyFill="1" applyBorder="1"/>
    <xf numFmtId="0" fontId="0" fillId="0" borderId="2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7" fontId="0" fillId="0" borderId="37" xfId="0" applyNumberFormat="1" applyFill="1" applyBorder="1"/>
    <xf numFmtId="167" fontId="7" fillId="2" borderId="38" xfId="0" applyNumberFormat="1" applyFont="1" applyFill="1" applyBorder="1"/>
    <xf numFmtId="167" fontId="0" fillId="0" borderId="29" xfId="0" applyNumberFormat="1" applyFill="1" applyBorder="1"/>
    <xf numFmtId="167" fontId="0" fillId="0" borderId="31" xfId="0" applyNumberFormat="1" applyFill="1" applyBorder="1"/>
    <xf numFmtId="167" fontId="7" fillId="2" borderId="32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7" fontId="0" fillId="0" borderId="28" xfId="0" applyNumberFormat="1" applyFill="1" applyBorder="1"/>
    <xf numFmtId="167" fontId="0" fillId="0" borderId="8" xfId="0" applyNumberFormat="1" applyBorder="1"/>
    <xf numFmtId="167" fontId="0" fillId="0" borderId="31" xfId="0" applyNumberFormat="1" applyBorder="1"/>
    <xf numFmtId="1" fontId="7" fillId="0" borderId="0" xfId="0" applyNumberFormat="1" applyFont="1" applyFill="1" applyBorder="1"/>
    <xf numFmtId="0" fontId="0" fillId="8" borderId="0" xfId="0" applyFill="1" applyBorder="1" applyAlignment="1">
      <alignment horizontal="center" vertical="center" wrapText="1"/>
    </xf>
    <xf numFmtId="1" fontId="7" fillId="8" borderId="0" xfId="0" applyNumberFormat="1" applyFont="1" applyFill="1" applyBorder="1"/>
    <xf numFmtId="0" fontId="0" fillId="8" borderId="0" xfId="0" applyFill="1"/>
    <xf numFmtId="0" fontId="0" fillId="8" borderId="0" xfId="0" applyFill="1" applyBorder="1"/>
    <xf numFmtId="167" fontId="7" fillId="0" borderId="28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33" fillId="0" borderId="9" xfId="0" applyFont="1" applyBorder="1"/>
    <xf numFmtId="0" fontId="3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0" fillId="8" borderId="1" xfId="0" applyFill="1" applyBorder="1"/>
    <xf numFmtId="0" fontId="0" fillId="0" borderId="4" xfId="0" applyFill="1" applyBorder="1" applyAlignment="1">
      <alignment horizontal="center" vertical="center" wrapText="1"/>
    </xf>
    <xf numFmtId="11" fontId="0" fillId="0" borderId="4" xfId="0" applyNumberFormat="1" applyFill="1" applyBorder="1"/>
    <xf numFmtId="164" fontId="0" fillId="0" borderId="8" xfId="0" applyNumberFormat="1" applyFill="1" applyBorder="1"/>
    <xf numFmtId="1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left"/>
    </xf>
    <xf numFmtId="164" fontId="0" fillId="0" borderId="6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0" fontId="35" fillId="0" borderId="3" xfId="0" applyFont="1" applyBorder="1"/>
    <xf numFmtId="2" fontId="0" fillId="0" borderId="0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2" fontId="0" fillId="3" borderId="26" xfId="0" applyNumberFormat="1" applyFill="1" applyBorder="1"/>
    <xf numFmtId="0" fontId="0" fillId="3" borderId="19" xfId="0" applyFill="1" applyBorder="1"/>
    <xf numFmtId="0" fontId="7" fillId="0" borderId="0" xfId="1" applyFont="1" applyFill="1" applyAlignment="1">
      <alignment horizontal="center" vertical="center" wrapText="1"/>
    </xf>
    <xf numFmtId="11" fontId="0" fillId="0" borderId="0" xfId="0" applyNumberFormat="1"/>
    <xf numFmtId="0" fontId="22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/>
    <xf numFmtId="165" fontId="22" fillId="0" borderId="3" xfId="0" applyNumberFormat="1" applyFont="1" applyFill="1" applyBorder="1" applyAlignment="1" applyProtection="1"/>
    <xf numFmtId="0" fontId="22" fillId="0" borderId="5" xfId="0" applyNumberFormat="1" applyFont="1" applyFill="1" applyBorder="1" applyAlignment="1" applyProtection="1"/>
    <xf numFmtId="0" fontId="22" fillId="0" borderId="7" xfId="0" applyNumberFormat="1" applyFont="1" applyFill="1" applyBorder="1" applyAlignment="1" applyProtection="1"/>
    <xf numFmtId="167" fontId="23" fillId="0" borderId="9" xfId="0" applyNumberFormat="1" applyFont="1" applyFill="1" applyBorder="1"/>
    <xf numFmtId="167" fontId="23" fillId="0" borderId="2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36" fillId="0" borderId="5" xfId="0" applyNumberFormat="1" applyFont="1" applyFill="1" applyBorder="1" applyAlignment="1" applyProtection="1"/>
    <xf numFmtId="0" fontId="36" fillId="0" borderId="7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/>
    <xf numFmtId="0" fontId="22" fillId="0" borderId="2" xfId="0" applyNumberFormat="1" applyFont="1" applyFill="1" applyBorder="1" applyAlignment="1" applyProtection="1"/>
    <xf numFmtId="165" fontId="22" fillId="0" borderId="5" xfId="0" applyNumberFormat="1" applyFont="1" applyFill="1" applyBorder="1" applyAlignment="1" applyProtection="1"/>
    <xf numFmtId="2" fontId="0" fillId="0" borderId="0" xfId="0" applyNumberFormat="1" applyBorder="1"/>
    <xf numFmtId="0" fontId="1" fillId="0" borderId="26" xfId="0" applyFont="1" applyBorder="1"/>
    <xf numFmtId="0" fontId="0" fillId="0" borderId="39" xfId="0" applyFill="1" applyBorder="1" applyAlignment="1">
      <alignment horizontal="center" vertical="center" wrapText="1"/>
    </xf>
    <xf numFmtId="167" fontId="0" fillId="0" borderId="37" xfId="0" applyNumberFormat="1" applyBorder="1"/>
    <xf numFmtId="167" fontId="0" fillId="0" borderId="29" xfId="0" applyNumberFormat="1" applyBorder="1"/>
    <xf numFmtId="167" fontId="7" fillId="0" borderId="38" xfId="0" applyNumberFormat="1" applyFont="1" applyFill="1" applyBorder="1"/>
    <xf numFmtId="167" fontId="7" fillId="0" borderId="32" xfId="0" applyNumberFormat="1" applyFont="1" applyFill="1" applyBorder="1"/>
    <xf numFmtId="0" fontId="0" fillId="0" borderId="33" xfId="0" applyFill="1" applyBorder="1" applyAlignment="1">
      <alignment horizontal="center" vertical="center" wrapText="1"/>
    </xf>
    <xf numFmtId="167" fontId="0" fillId="0" borderId="33" xfId="0" applyNumberFormat="1" applyFill="1" applyBorder="1"/>
    <xf numFmtId="164" fontId="0" fillId="8" borderId="0" xfId="0" applyNumberFormat="1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0" fontId="0" fillId="0" borderId="8" xfId="0" applyBorder="1"/>
    <xf numFmtId="11" fontId="7" fillId="0" borderId="0" xfId="0" applyNumberFormat="1" applyFont="1" applyFill="1" applyBorder="1"/>
    <xf numFmtId="164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7" fontId="7" fillId="0" borderId="8" xfId="0" applyNumberFormat="1" applyFont="1" applyFill="1" applyBorder="1"/>
    <xf numFmtId="167" fontId="7" fillId="0" borderId="31" xfId="0" applyNumberFormat="1" applyFont="1" applyFill="1" applyBorder="1"/>
    <xf numFmtId="0" fontId="0" fillId="0" borderId="35" xfId="0" applyFill="1" applyBorder="1" applyAlignment="1">
      <alignment horizontal="center" vertical="center" wrapText="1"/>
    </xf>
    <xf numFmtId="167" fontId="7" fillId="0" borderId="33" xfId="0" applyNumberFormat="1" applyFont="1" applyFill="1" applyBorder="1"/>
    <xf numFmtId="167" fontId="7" fillId="0" borderId="37" xfId="0" applyNumberFormat="1" applyFont="1" applyFill="1" applyBorder="1"/>
    <xf numFmtId="167" fontId="7" fillId="0" borderId="29" xfId="0" applyNumberFormat="1" applyFont="1" applyFill="1" applyBorder="1"/>
    <xf numFmtId="167" fontId="2" fillId="0" borderId="0" xfId="0" applyNumberFormat="1" applyFont="1" applyFill="1" applyBorder="1"/>
    <xf numFmtId="167" fontId="0" fillId="0" borderId="0" xfId="0" applyNumberFormat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37" fillId="0" borderId="0" xfId="0" applyFont="1"/>
    <xf numFmtId="1" fontId="0" fillId="0" borderId="0" xfId="0" applyNumberFormat="1"/>
    <xf numFmtId="1" fontId="0" fillId="3" borderId="8" xfId="0" applyNumberFormat="1" applyFill="1" applyBorder="1"/>
    <xf numFmtId="0" fontId="23" fillId="0" borderId="0" xfId="0" applyFont="1" applyBorder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167" fontId="0" fillId="3" borderId="8" xfId="0" applyNumberFormat="1" applyFill="1" applyBorder="1"/>
    <xf numFmtId="167" fontId="0" fillId="0" borderId="0" xfId="0" applyNumberFormat="1"/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center"/>
    </xf>
    <xf numFmtId="169" fontId="0" fillId="0" borderId="0" xfId="0" applyNumberFormat="1" applyFill="1" applyBorder="1"/>
    <xf numFmtId="0" fontId="38" fillId="0" borderId="3" xfId="0" applyFont="1" applyBorder="1" applyAlignment="1">
      <alignment horizontal="right"/>
    </xf>
    <xf numFmtId="0" fontId="0" fillId="0" borderId="33" xfId="0" applyBorder="1"/>
    <xf numFmtId="0" fontId="0" fillId="0" borderId="8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6" borderId="33" xfId="0" applyFill="1" applyBorder="1"/>
    <xf numFmtId="0" fontId="0" fillId="6" borderId="30" xfId="0" applyFill="1" applyBorder="1"/>
    <xf numFmtId="0" fontId="0" fillId="6" borderId="28" xfId="0" applyFill="1" applyBorder="1"/>
    <xf numFmtId="170" fontId="0" fillId="2" borderId="8" xfId="0" applyNumberFormat="1" applyFill="1" applyBorder="1" applyAlignment="1">
      <alignment horizontal="right"/>
    </xf>
    <xf numFmtId="11" fontId="2" fillId="0" borderId="3" xfId="0" applyNumberFormat="1" applyFont="1" applyBorder="1"/>
    <xf numFmtId="2" fontId="7" fillId="10" borderId="0" xfId="1" applyNumberFormat="1" applyFont="1" applyFill="1"/>
    <xf numFmtId="167" fontId="7" fillId="10" borderId="0" xfId="1" applyNumberFormat="1" applyFont="1" applyFill="1"/>
    <xf numFmtId="2" fontId="7" fillId="11" borderId="0" xfId="1" applyNumberFormat="1" applyFont="1" applyFill="1"/>
    <xf numFmtId="167" fontId="7" fillId="11" borderId="0" xfId="1" applyNumberFormat="1" applyFont="1" applyFill="1"/>
    <xf numFmtId="2" fontId="17" fillId="11" borderId="0" xfId="1" applyNumberFormat="1" applyFont="1" applyFill="1"/>
    <xf numFmtId="2" fontId="0" fillId="0" borderId="0" xfId="0" applyNumberFormat="1"/>
    <xf numFmtId="165" fontId="0" fillId="0" borderId="0" xfId="0" applyNumberFormat="1"/>
    <xf numFmtId="0" fontId="39" fillId="0" borderId="0" xfId="0" applyFont="1"/>
    <xf numFmtId="0" fontId="22" fillId="0" borderId="0" xfId="0" applyFont="1"/>
    <xf numFmtId="165" fontId="22" fillId="0" borderId="0" xfId="0" applyNumberFormat="1" applyFont="1"/>
    <xf numFmtId="2" fontId="0" fillId="3" borderId="29" xfId="0" applyNumberFormat="1" applyFill="1" applyBorder="1"/>
    <xf numFmtId="0" fontId="22" fillId="6" borderId="0" xfId="0" applyNumberFormat="1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/>
    <xf numFmtId="164" fontId="0" fillId="3" borderId="31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2" fontId="0" fillId="2" borderId="29" xfId="0" applyNumberFormat="1" applyFill="1" applyBorder="1"/>
    <xf numFmtId="2" fontId="0" fillId="2" borderId="40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7" fontId="0" fillId="2" borderId="31" xfId="0" applyNumberFormat="1" applyFill="1" applyBorder="1" applyAlignment="1">
      <alignment horizontal="center"/>
    </xf>
    <xf numFmtId="167" fontId="22" fillId="0" borderId="0" xfId="0" applyNumberFormat="1" applyFont="1" applyFill="1" applyBorder="1" applyAlignment="1" applyProtection="1">
      <alignment horizontal="center"/>
    </xf>
    <xf numFmtId="164" fontId="0" fillId="2" borderId="42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/>
    <xf numFmtId="0" fontId="23" fillId="0" borderId="8" xfId="4" applyFont="1" applyBorder="1" applyAlignment="1">
      <alignment horizontal="center" vertical="center"/>
    </xf>
    <xf numFmtId="170" fontId="0" fillId="2" borderId="8" xfId="0" applyNumberFormat="1" applyFill="1" applyBorder="1"/>
    <xf numFmtId="169" fontId="0" fillId="2" borderId="0" xfId="0" applyNumberFormat="1" applyFill="1" applyAlignment="1">
      <alignment horizontal="center"/>
    </xf>
    <xf numFmtId="169" fontId="0" fillId="2" borderId="8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1" fontId="0" fillId="2" borderId="0" xfId="0" applyNumberFormat="1" applyFill="1"/>
    <xf numFmtId="11" fontId="0" fillId="0" borderId="0" xfId="0" applyNumberFormat="1" applyAlignment="1">
      <alignment horizontal="center"/>
    </xf>
    <xf numFmtId="0" fontId="0" fillId="2" borderId="33" xfId="0" applyFill="1" applyBorder="1"/>
    <xf numFmtId="0" fontId="0" fillId="2" borderId="28" xfId="0" applyFill="1" applyBorder="1"/>
    <xf numFmtId="167" fontId="0" fillId="0" borderId="0" xfId="0" applyNumberFormat="1" applyFill="1" applyBorder="1" applyAlignment="1">
      <alignment horizontal="right"/>
    </xf>
    <xf numFmtId="0" fontId="1" fillId="0" borderId="0" xfId="5"/>
    <xf numFmtId="11" fontId="1" fillId="0" borderId="0" xfId="5" applyNumberFormat="1"/>
    <xf numFmtId="167" fontId="1" fillId="0" borderId="0" xfId="5" applyNumberFormat="1"/>
    <xf numFmtId="0" fontId="1" fillId="0" borderId="0" xfId="5" applyFont="1"/>
    <xf numFmtId="0" fontId="1" fillId="2" borderId="8" xfId="5" applyFont="1" applyFill="1" applyBorder="1"/>
    <xf numFmtId="164" fontId="23" fillId="0" borderId="0" xfId="0" applyNumberFormat="1" applyFont="1" applyAlignment="1">
      <alignment horizontal="center"/>
    </xf>
    <xf numFmtId="21" fontId="7" fillId="0" borderId="8" xfId="4" applyNumberFormat="1" applyFont="1" applyBorder="1" applyAlignment="1">
      <alignment horizontal="center" vertical="center"/>
    </xf>
    <xf numFmtId="0" fontId="23" fillId="0" borderId="8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21" fontId="0" fillId="0" borderId="8" xfId="0" applyNumberFormat="1" applyBorder="1"/>
    <xf numFmtId="2" fontId="7" fillId="3" borderId="8" xfId="4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" fontId="0" fillId="0" borderId="6" xfId="0" applyNumberFormat="1" applyBorder="1"/>
    <xf numFmtId="0" fontId="23" fillId="0" borderId="8" xfId="0" applyFont="1" applyBorder="1" applyAlignment="1">
      <alignment horizontal="center"/>
    </xf>
    <xf numFmtId="2" fontId="2" fillId="6" borderId="0" xfId="0" applyNumberFormat="1" applyFont="1" applyFill="1"/>
    <xf numFmtId="0" fontId="7" fillId="0" borderId="0" xfId="0" applyFont="1" applyBorder="1" applyAlignment="1">
      <alignment horizontal="left"/>
    </xf>
    <xf numFmtId="2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7" fontId="0" fillId="0" borderId="0" xfId="0" applyNumberFormat="1" applyBorder="1"/>
    <xf numFmtId="167" fontId="0" fillId="2" borderId="8" xfId="0" applyNumberFormat="1" applyFill="1" applyBorder="1" applyAlignment="1">
      <alignment horizontal="left"/>
    </xf>
    <xf numFmtId="0" fontId="0" fillId="0" borderId="0" xfId="3" applyFont="1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27" xfId="0" applyBorder="1"/>
    <xf numFmtId="0" fontId="0" fillId="0" borderId="27" xfId="0" quotePrefix="1" applyBorder="1"/>
    <xf numFmtId="0" fontId="0" fillId="12" borderId="27" xfId="0" applyFill="1" applyBorder="1"/>
    <xf numFmtId="11" fontId="0" fillId="12" borderId="27" xfId="0" applyNumberFormat="1" applyFill="1" applyBorder="1"/>
    <xf numFmtId="0" fontId="0" fillId="12" borderId="2" xfId="0" applyFill="1" applyBorder="1"/>
    <xf numFmtId="0" fontId="0" fillId="12" borderId="26" xfId="0" applyFill="1" applyBorder="1"/>
    <xf numFmtId="11" fontId="0" fillId="12" borderId="26" xfId="0" applyNumberFormat="1" applyFill="1" applyBorder="1"/>
    <xf numFmtId="0" fontId="0" fillId="12" borderId="4" xfId="0" applyFill="1" applyBorder="1"/>
    <xf numFmtId="0" fontId="0" fillId="12" borderId="19" xfId="0" applyFill="1" applyBorder="1"/>
    <xf numFmtId="11" fontId="0" fillId="12" borderId="19" xfId="0" applyNumberFormat="1" applyFill="1" applyBorder="1"/>
    <xf numFmtId="0" fontId="0" fillId="12" borderId="7" xfId="0" applyFill="1" applyBorder="1"/>
    <xf numFmtId="0" fontId="44" fillId="0" borderId="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12" borderId="17" xfId="0" applyFill="1" applyBorder="1"/>
    <xf numFmtId="0" fontId="0" fillId="12" borderId="11" xfId="0" applyFill="1" applyBorder="1"/>
    <xf numFmtId="0" fontId="0" fillId="13" borderId="11" xfId="0" applyFill="1" applyBorder="1"/>
    <xf numFmtId="0" fontId="0" fillId="13" borderId="18" xfId="0" applyFill="1" applyBorder="1"/>
    <xf numFmtId="0" fontId="44" fillId="14" borderId="0" xfId="0" applyFont="1" applyFill="1"/>
    <xf numFmtId="167" fontId="22" fillId="0" borderId="9" xfId="0" applyNumberFormat="1" applyFont="1" applyFill="1" applyBorder="1" applyAlignment="1" applyProtection="1"/>
    <xf numFmtId="2" fontId="0" fillId="12" borderId="11" xfId="0" applyNumberFormat="1" applyFill="1" applyBorder="1"/>
    <xf numFmtId="0" fontId="3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7" fontId="7" fillId="2" borderId="33" xfId="0" applyNumberFormat="1" applyFont="1" applyFill="1" applyBorder="1" applyAlignment="1">
      <alignment horizontal="center"/>
    </xf>
    <xf numFmtId="167" fontId="0" fillId="0" borderId="37" xfId="0" applyNumberFormat="1" applyFill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7" fillId="0" borderId="38" xfId="0" applyNumberFormat="1" applyFont="1" applyFill="1" applyBorder="1" applyAlignment="1">
      <alignment horizontal="center"/>
    </xf>
    <xf numFmtId="167" fontId="0" fillId="0" borderId="28" xfId="0" applyNumberFormat="1" applyFill="1" applyBorder="1" applyAlignment="1">
      <alignment horizontal="center"/>
    </xf>
    <xf numFmtId="11" fontId="0" fillId="0" borderId="8" xfId="0" applyNumberFormat="1" applyFill="1" applyBorder="1" applyAlignment="1">
      <alignment horizontal="center"/>
    </xf>
    <xf numFmtId="11" fontId="7" fillId="2" borderId="8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8" borderId="0" xfId="0" applyNumberFormat="1" applyFont="1" applyFill="1" applyBorder="1" applyAlignment="1">
      <alignment horizontal="center"/>
    </xf>
    <xf numFmtId="167" fontId="7" fillId="2" borderId="3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167" fontId="0" fillId="2" borderId="27" xfId="0" applyNumberFormat="1" applyFill="1" applyBorder="1" applyAlignment="1">
      <alignment horizontal="center"/>
    </xf>
    <xf numFmtId="170" fontId="0" fillId="3" borderId="8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67" fontId="7" fillId="0" borderId="28" xfId="0" applyNumberFormat="1" applyFont="1" applyFill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0" fillId="0" borderId="31" xfId="0" applyNumberFormat="1" applyFill="1" applyBorder="1" applyAlignment="1">
      <alignment horizontal="center"/>
    </xf>
    <xf numFmtId="167" fontId="7" fillId="2" borderId="32" xfId="0" applyNumberFormat="1" applyFont="1" applyFill="1" applyBorder="1" applyAlignment="1">
      <alignment horizontal="center"/>
    </xf>
    <xf numFmtId="167" fontId="0" fillId="0" borderId="29" xfId="0" applyNumberFormat="1" applyFill="1" applyBorder="1" applyAlignment="1">
      <alignment horizontal="center"/>
    </xf>
    <xf numFmtId="167" fontId="7" fillId="0" borderId="32" xfId="0" applyNumberFormat="1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11" fontId="0" fillId="15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1" fontId="0" fillId="0" borderId="7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11" fontId="0" fillId="8" borderId="28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11" fontId="0" fillId="0" borderId="2" xfId="0" applyNumberForma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1" fontId="0" fillId="0" borderId="6" xfId="0" applyNumberFormat="1" applyFill="1" applyBorder="1" applyAlignment="1">
      <alignment horizontal="center"/>
    </xf>
    <xf numFmtId="11" fontId="0" fillId="8" borderId="0" xfId="0" applyNumberFormat="1" applyFill="1" applyBorder="1" applyAlignment="1">
      <alignment horizontal="center"/>
    </xf>
    <xf numFmtId="11" fontId="7" fillId="2" borderId="33" xfId="0" applyNumberFormat="1" applyFont="1" applyFill="1" applyBorder="1" applyAlignment="1">
      <alignment horizontal="center"/>
    </xf>
    <xf numFmtId="11" fontId="0" fillId="0" borderId="28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1" fontId="1" fillId="3" borderId="8" xfId="0" applyNumberFormat="1" applyFont="1" applyFill="1" applyBorder="1" applyAlignment="1">
      <alignment horizontal="center"/>
    </xf>
    <xf numFmtId="11" fontId="1" fillId="0" borderId="0" xfId="0" applyNumberFormat="1" applyFont="1"/>
    <xf numFmtId="0" fontId="1" fillId="3" borderId="8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1" fontId="2" fillId="0" borderId="0" xfId="0" applyNumberFormat="1" applyFont="1"/>
    <xf numFmtId="0" fontId="0" fillId="16" borderId="0" xfId="0" applyFill="1" applyAlignment="1">
      <alignment horizontal="center"/>
    </xf>
    <xf numFmtId="0" fontId="0" fillId="16" borderId="0" xfId="0" applyFill="1" applyBorder="1" applyAlignment="1">
      <alignment horizontal="center"/>
    </xf>
    <xf numFmtId="11" fontId="0" fillId="16" borderId="0" xfId="0" applyNumberFormat="1" applyFill="1" applyAlignment="1">
      <alignment horizontal="center"/>
    </xf>
  </cellXfs>
  <cellStyles count="8">
    <cellStyle name="Followed Hyperlink" xfId="7" builtinId="9" hidden="1"/>
    <cellStyle name="Hyperlink" xfId="6" builtinId="8" hidden="1"/>
    <cellStyle name="Normal" xfId="0" builtinId="0"/>
    <cellStyle name="Normal_Kinematic Curves" xfId="1"/>
    <cellStyle name="Normal_mass_rmd.mas" xfId="2"/>
    <cellStyle name="Normal_Sheet1" xfId="3"/>
    <cellStyle name="Normal_Yield" xfId="4"/>
    <cellStyle name="Normal_Yield_1" xf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D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Kinematic curves of 7Be(p,p)7Be reaction</a:t>
            </a:r>
          </a:p>
        </c:rich>
      </c:tx>
      <c:layout>
        <c:manualLayout>
          <c:xMode val="edge"/>
          <c:yMode val="edge"/>
          <c:x val="0.26755852842809402"/>
          <c:y val="3.089887640449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0390642045031"/>
          <c:y val="0.12866902557100948"/>
          <c:w val="0.85602365229662469"/>
          <c:h val="0.739913599483056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'Kinematic Curves'!$E$3</c:f>
              <c:strCache>
                <c:ptCount val="1"/>
                <c:pt idx="0">
                  <c:v>Au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'Kinematic Curves'!$T$3:$T$182</c:f>
              <c:numCache>
                <c:formatCode>0.00</c:formatCode>
                <c:ptCount val="180"/>
                <c:pt idx="0">
                  <c:v>0.49999999999999989</c:v>
                </c:pt>
                <c:pt idx="1">
                  <c:v>0.99999999999999978</c:v>
                </c:pt>
                <c:pt idx="2">
                  <c:v>1.5</c:v>
                </c:pt>
                <c:pt idx="3">
                  <c:v>2</c:v>
                </c:pt>
                <c:pt idx="4">
                  <c:v>2.4999999999999996</c:v>
                </c:pt>
                <c:pt idx="5">
                  <c:v>3</c:v>
                </c:pt>
                <c:pt idx="6">
                  <c:v>3.4999999999999996</c:v>
                </c:pt>
                <c:pt idx="7">
                  <c:v>3.9999999999999991</c:v>
                </c:pt>
                <c:pt idx="8">
                  <c:v>4.5</c:v>
                </c:pt>
                <c:pt idx="9">
                  <c:v>4.9999999999999991</c:v>
                </c:pt>
                <c:pt idx="10">
                  <c:v>5.4999999999999991</c:v>
                </c:pt>
                <c:pt idx="11">
                  <c:v>6</c:v>
                </c:pt>
                <c:pt idx="12">
                  <c:v>6.5</c:v>
                </c:pt>
                <c:pt idx="13">
                  <c:v>6.9999999999999991</c:v>
                </c:pt>
                <c:pt idx="14">
                  <c:v>7.4999999999999982</c:v>
                </c:pt>
                <c:pt idx="15">
                  <c:v>7.9999999999999982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9.9999999999999982</c:v>
                </c:pt>
                <c:pt idx="20">
                  <c:v>10.499999999999996</c:v>
                </c:pt>
                <c:pt idx="21">
                  <c:v>10.999999999999998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12.999999999999998</c:v>
                </c:pt>
                <c:pt idx="26">
                  <c:v>13.499999999999996</c:v>
                </c:pt>
                <c:pt idx="27">
                  <c:v>14</c:v>
                </c:pt>
                <c:pt idx="28">
                  <c:v>14.500000000000002</c:v>
                </c:pt>
                <c:pt idx="29">
                  <c:v>14.999999999999996</c:v>
                </c:pt>
                <c:pt idx="30">
                  <c:v>15.5</c:v>
                </c:pt>
                <c:pt idx="31">
                  <c:v>15.999999999999996</c:v>
                </c:pt>
                <c:pt idx="32">
                  <c:v>16.499999999999996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18.499999999999996</c:v>
                </c:pt>
                <c:pt idx="37">
                  <c:v>18.999999999999996</c:v>
                </c:pt>
                <c:pt idx="38">
                  <c:v>19.499999999999996</c:v>
                </c:pt>
                <c:pt idx="39">
                  <c:v>19.999999999999993</c:v>
                </c:pt>
                <c:pt idx="40">
                  <c:v>20.499999999999996</c:v>
                </c:pt>
                <c:pt idx="41">
                  <c:v>21</c:v>
                </c:pt>
                <c:pt idx="42">
                  <c:v>21.5</c:v>
                </c:pt>
                <c:pt idx="43">
                  <c:v>21.999999999999993</c:v>
                </c:pt>
                <c:pt idx="44">
                  <c:v>22.499999999999993</c:v>
                </c:pt>
                <c:pt idx="45">
                  <c:v>22.999999999999996</c:v>
                </c:pt>
                <c:pt idx="46">
                  <c:v>23.499999999999996</c:v>
                </c:pt>
                <c:pt idx="47">
                  <c:v>24</c:v>
                </c:pt>
                <c:pt idx="48">
                  <c:v>24.5</c:v>
                </c:pt>
                <c:pt idx="49">
                  <c:v>24.999999999999993</c:v>
                </c:pt>
                <c:pt idx="50">
                  <c:v>25.499999999999996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27.499999999999993</c:v>
                </c:pt>
                <c:pt idx="55">
                  <c:v>27.999999999999996</c:v>
                </c:pt>
                <c:pt idx="56">
                  <c:v>28.5</c:v>
                </c:pt>
                <c:pt idx="57">
                  <c:v>28.999999999999996</c:v>
                </c:pt>
                <c:pt idx="58">
                  <c:v>29.499999999999996</c:v>
                </c:pt>
                <c:pt idx="59">
                  <c:v>29.999999999999993</c:v>
                </c:pt>
                <c:pt idx="60">
                  <c:v>30.5</c:v>
                </c:pt>
                <c:pt idx="61">
                  <c:v>30.999999999999993</c:v>
                </c:pt>
                <c:pt idx="62">
                  <c:v>31.499999999999993</c:v>
                </c:pt>
                <c:pt idx="63">
                  <c:v>32</c:v>
                </c:pt>
                <c:pt idx="64">
                  <c:v>32.499999999999993</c:v>
                </c:pt>
                <c:pt idx="65">
                  <c:v>32.999999999999993</c:v>
                </c:pt>
                <c:pt idx="66">
                  <c:v>33.499999999999993</c:v>
                </c:pt>
                <c:pt idx="67">
                  <c:v>34</c:v>
                </c:pt>
                <c:pt idx="68">
                  <c:v>34.5</c:v>
                </c:pt>
                <c:pt idx="69">
                  <c:v>34.999999999999993</c:v>
                </c:pt>
                <c:pt idx="70">
                  <c:v>35.499999999999993</c:v>
                </c:pt>
                <c:pt idx="71">
                  <c:v>35.999999999999993</c:v>
                </c:pt>
                <c:pt idx="72">
                  <c:v>36.499999999999993</c:v>
                </c:pt>
                <c:pt idx="73">
                  <c:v>37</c:v>
                </c:pt>
                <c:pt idx="74">
                  <c:v>37.499999999999993</c:v>
                </c:pt>
                <c:pt idx="75">
                  <c:v>37.999999999999993</c:v>
                </c:pt>
                <c:pt idx="76">
                  <c:v>38.5</c:v>
                </c:pt>
                <c:pt idx="77">
                  <c:v>38.999999999999993</c:v>
                </c:pt>
                <c:pt idx="78">
                  <c:v>39.5</c:v>
                </c:pt>
                <c:pt idx="79">
                  <c:v>39.999999999999993</c:v>
                </c:pt>
                <c:pt idx="80">
                  <c:v>40.499999999999993</c:v>
                </c:pt>
                <c:pt idx="81">
                  <c:v>41</c:v>
                </c:pt>
                <c:pt idx="82">
                  <c:v>41.499999999999993</c:v>
                </c:pt>
                <c:pt idx="83">
                  <c:v>41.999999999999993</c:v>
                </c:pt>
                <c:pt idx="84">
                  <c:v>42.499999999999993</c:v>
                </c:pt>
                <c:pt idx="85">
                  <c:v>43</c:v>
                </c:pt>
                <c:pt idx="86">
                  <c:v>43.499999999999993</c:v>
                </c:pt>
                <c:pt idx="87">
                  <c:v>43.999999999999993</c:v>
                </c:pt>
                <c:pt idx="88">
                  <c:v>44.499999999999993</c:v>
                </c:pt>
                <c:pt idx="89">
                  <c:v>44.999999999999993</c:v>
                </c:pt>
                <c:pt idx="90">
                  <c:v>45.499999999999993</c:v>
                </c:pt>
                <c:pt idx="91">
                  <c:v>45.999999999999986</c:v>
                </c:pt>
                <c:pt idx="92">
                  <c:v>46.499999999999993</c:v>
                </c:pt>
                <c:pt idx="93">
                  <c:v>46.999999999999993</c:v>
                </c:pt>
                <c:pt idx="94">
                  <c:v>47.5</c:v>
                </c:pt>
                <c:pt idx="95">
                  <c:v>47.999999999999993</c:v>
                </c:pt>
                <c:pt idx="96">
                  <c:v>48.499999999999993</c:v>
                </c:pt>
                <c:pt idx="97">
                  <c:v>48.999999999999993</c:v>
                </c:pt>
                <c:pt idx="98">
                  <c:v>49.499999999999993</c:v>
                </c:pt>
                <c:pt idx="99">
                  <c:v>49.999999999999993</c:v>
                </c:pt>
                <c:pt idx="100">
                  <c:v>50.499999999999993</c:v>
                </c:pt>
                <c:pt idx="101">
                  <c:v>51</c:v>
                </c:pt>
                <c:pt idx="102">
                  <c:v>51.499999999999993</c:v>
                </c:pt>
                <c:pt idx="103">
                  <c:v>52</c:v>
                </c:pt>
                <c:pt idx="104">
                  <c:v>52.5</c:v>
                </c:pt>
                <c:pt idx="105">
                  <c:v>52.999999999999993</c:v>
                </c:pt>
                <c:pt idx="106">
                  <c:v>53.499999999999993</c:v>
                </c:pt>
                <c:pt idx="107">
                  <c:v>53.999999999999993</c:v>
                </c:pt>
                <c:pt idx="108">
                  <c:v>54.499999999999993</c:v>
                </c:pt>
                <c:pt idx="109">
                  <c:v>54.999999999999986</c:v>
                </c:pt>
                <c:pt idx="110">
                  <c:v>55.499999999999986</c:v>
                </c:pt>
                <c:pt idx="111">
                  <c:v>55.999999999999993</c:v>
                </c:pt>
                <c:pt idx="112">
                  <c:v>56.499999999999993</c:v>
                </c:pt>
                <c:pt idx="113">
                  <c:v>57</c:v>
                </c:pt>
                <c:pt idx="114">
                  <c:v>57.499999999999986</c:v>
                </c:pt>
                <c:pt idx="115">
                  <c:v>57.999999999999993</c:v>
                </c:pt>
                <c:pt idx="116">
                  <c:v>58.499999999999986</c:v>
                </c:pt>
                <c:pt idx="117">
                  <c:v>59.000000000000007</c:v>
                </c:pt>
                <c:pt idx="118">
                  <c:v>59.499999999999986</c:v>
                </c:pt>
                <c:pt idx="119">
                  <c:v>59.999999999999986</c:v>
                </c:pt>
                <c:pt idx="120">
                  <c:v>60.5</c:v>
                </c:pt>
                <c:pt idx="121">
                  <c:v>60.999999999999986</c:v>
                </c:pt>
                <c:pt idx="122">
                  <c:v>61.499999999999993</c:v>
                </c:pt>
                <c:pt idx="123">
                  <c:v>61.999999999999986</c:v>
                </c:pt>
                <c:pt idx="124">
                  <c:v>62.499999999999993</c:v>
                </c:pt>
                <c:pt idx="125">
                  <c:v>62.999999999999986</c:v>
                </c:pt>
                <c:pt idx="126">
                  <c:v>63.499999999999993</c:v>
                </c:pt>
                <c:pt idx="127">
                  <c:v>63.999999999999986</c:v>
                </c:pt>
                <c:pt idx="128">
                  <c:v>64.499999999999986</c:v>
                </c:pt>
                <c:pt idx="129">
                  <c:v>64.999999999999986</c:v>
                </c:pt>
                <c:pt idx="130">
                  <c:v>65.499999999999986</c:v>
                </c:pt>
                <c:pt idx="131">
                  <c:v>65.999999999999986</c:v>
                </c:pt>
                <c:pt idx="132">
                  <c:v>66.499999999999986</c:v>
                </c:pt>
                <c:pt idx="133">
                  <c:v>66.999999999999986</c:v>
                </c:pt>
                <c:pt idx="134">
                  <c:v>67.499999999999986</c:v>
                </c:pt>
                <c:pt idx="135">
                  <c:v>67.999999999999986</c:v>
                </c:pt>
                <c:pt idx="136">
                  <c:v>68.499999999999986</c:v>
                </c:pt>
                <c:pt idx="137">
                  <c:v>68.999999999999972</c:v>
                </c:pt>
                <c:pt idx="138">
                  <c:v>69.499999999999986</c:v>
                </c:pt>
                <c:pt idx="139">
                  <c:v>69.999999999999972</c:v>
                </c:pt>
                <c:pt idx="140">
                  <c:v>70.499999999999972</c:v>
                </c:pt>
                <c:pt idx="141">
                  <c:v>70.999999999999986</c:v>
                </c:pt>
                <c:pt idx="142">
                  <c:v>71.499999999999986</c:v>
                </c:pt>
                <c:pt idx="143">
                  <c:v>71.999999999999972</c:v>
                </c:pt>
                <c:pt idx="144">
                  <c:v>72.5</c:v>
                </c:pt>
                <c:pt idx="145">
                  <c:v>72.999999999999972</c:v>
                </c:pt>
                <c:pt idx="146">
                  <c:v>73.499999999999986</c:v>
                </c:pt>
                <c:pt idx="147">
                  <c:v>73.999999999999972</c:v>
                </c:pt>
                <c:pt idx="148">
                  <c:v>74.499999999999972</c:v>
                </c:pt>
                <c:pt idx="149">
                  <c:v>74.999999999999972</c:v>
                </c:pt>
                <c:pt idx="150">
                  <c:v>75.499999999999972</c:v>
                </c:pt>
                <c:pt idx="151">
                  <c:v>75.999999999999986</c:v>
                </c:pt>
                <c:pt idx="152">
                  <c:v>76.499999999999972</c:v>
                </c:pt>
                <c:pt idx="153">
                  <c:v>76.999999999999986</c:v>
                </c:pt>
                <c:pt idx="154">
                  <c:v>77.499999999999972</c:v>
                </c:pt>
                <c:pt idx="155">
                  <c:v>77.999999999999957</c:v>
                </c:pt>
                <c:pt idx="156">
                  <c:v>78.499999999999972</c:v>
                </c:pt>
                <c:pt idx="157">
                  <c:v>78.999999999999957</c:v>
                </c:pt>
                <c:pt idx="158">
                  <c:v>79.499999999999972</c:v>
                </c:pt>
                <c:pt idx="159">
                  <c:v>79.999999999999957</c:v>
                </c:pt>
                <c:pt idx="160">
                  <c:v>80.499999999999972</c:v>
                </c:pt>
                <c:pt idx="161">
                  <c:v>80.999999999999957</c:v>
                </c:pt>
                <c:pt idx="162">
                  <c:v>81.499999999999972</c:v>
                </c:pt>
                <c:pt idx="163">
                  <c:v>81.999999999999957</c:v>
                </c:pt>
                <c:pt idx="164">
                  <c:v>82.499999999999943</c:v>
                </c:pt>
                <c:pt idx="165">
                  <c:v>82.999999999999957</c:v>
                </c:pt>
                <c:pt idx="166">
                  <c:v>83.499999999999929</c:v>
                </c:pt>
                <c:pt idx="167">
                  <c:v>83.999999999999957</c:v>
                </c:pt>
                <c:pt idx="168">
                  <c:v>84.499999999999943</c:v>
                </c:pt>
                <c:pt idx="169">
                  <c:v>84.999999999999915</c:v>
                </c:pt>
                <c:pt idx="170">
                  <c:v>85.499999999999901</c:v>
                </c:pt>
                <c:pt idx="171">
                  <c:v>85.999999999999929</c:v>
                </c:pt>
                <c:pt idx="172">
                  <c:v>86.499999999999872</c:v>
                </c:pt>
                <c:pt idx="173">
                  <c:v>86.999999999999872</c:v>
                </c:pt>
                <c:pt idx="174">
                  <c:v>87.499999999999858</c:v>
                </c:pt>
                <c:pt idx="175">
                  <c:v>87.999999999999787</c:v>
                </c:pt>
                <c:pt idx="176">
                  <c:v>88.499999999999716</c:v>
                </c:pt>
                <c:pt idx="177">
                  <c:v>88.999999999999687</c:v>
                </c:pt>
                <c:pt idx="178">
                  <c:v>89.499999999999375</c:v>
                </c:pt>
                <c:pt idx="179">
                  <c:v>28.888060902069228</c:v>
                </c:pt>
              </c:numCache>
            </c:numRef>
          </c:xVal>
          <c:yVal>
            <c:numRef>
              <c:f>'Kinematic Curves'!$V$3:$V$182</c:f>
              <c:numCache>
                <c:formatCode>0.000</c:formatCode>
                <c:ptCount val="180"/>
                <c:pt idx="0">
                  <c:v>0.39760524388994567</c:v>
                </c:pt>
                <c:pt idx="1">
                  <c:v>0.39751441038917712</c:v>
                </c:pt>
                <c:pt idx="2">
                  <c:v>0.39736305196461302</c:v>
                </c:pt>
                <c:pt idx="3">
                  <c:v>0.39715121472149606</c:v>
                </c:pt>
                <c:pt idx="4">
                  <c:v>0.39687896318750238</c:v>
                </c:pt>
                <c:pt idx="5">
                  <c:v>0.39654638029308631</c:v>
                </c:pt>
                <c:pt idx="6">
                  <c:v>0.39615356734621993</c:v>
                </c:pt>
                <c:pt idx="7">
                  <c:v>0.39570064400153176</c:v>
                </c:pt>
                <c:pt idx="8">
                  <c:v>0.39518774822386005</c:v>
                </c:pt>
                <c:pt idx="9">
                  <c:v>0.39461503624622751</c:v>
                </c:pt>
                <c:pt idx="10">
                  <c:v>0.39398268252225022</c:v>
                </c:pt>
                <c:pt idx="11">
                  <c:v>0.39329087967299836</c:v>
                </c:pt>
                <c:pt idx="12">
                  <c:v>0.39253983842832146</c:v>
                </c:pt>
                <c:pt idx="13">
                  <c:v>0.39172978756265847</c:v>
                </c:pt>
                <c:pt idx="14">
                  <c:v>0.39086097382534973</c:v>
                </c:pt>
                <c:pt idx="15">
                  <c:v>0.3899336618654759</c:v>
                </c:pt>
                <c:pt idx="16">
                  <c:v>0.38894813415124352</c:v>
                </c:pt>
                <c:pt idx="17">
                  <c:v>0.38790469088394103</c:v>
                </c:pt>
                <c:pt idx="18">
                  <c:v>0.38680364990649602</c:v>
                </c:pt>
                <c:pt idx="19">
                  <c:v>0.38564534660665617</c:v>
                </c:pt>
                <c:pt idx="20">
                  <c:v>0.3844301338148271</c:v>
                </c:pt>
                <c:pt idx="21">
                  <c:v>0.38315838169659733</c:v>
                </c:pt>
                <c:pt idx="22">
                  <c:v>0.38183047763998185</c:v>
                </c:pt>
                <c:pt idx="23">
                  <c:v>0.38044682613742009</c:v>
                </c:pt>
                <c:pt idx="24">
                  <c:v>0.37900784866256332</c:v>
                </c:pt>
                <c:pt idx="25">
                  <c:v>0.37751398354189014</c:v>
                </c:pt>
                <c:pt idx="26">
                  <c:v>0.37596568582118783</c:v>
                </c:pt>
                <c:pt idx="27">
                  <c:v>0.37436342712694048</c:v>
                </c:pt>
                <c:pt idx="28">
                  <c:v>0.37270769552266808</c:v>
                </c:pt>
                <c:pt idx="29">
                  <c:v>0.37099899536025666</c:v>
                </c:pt>
                <c:pt idx="30">
                  <c:v>0.36923784712632807</c:v>
                </c:pt>
                <c:pt idx="31">
                  <c:v>0.36742478728369532</c:v>
                </c:pt>
                <c:pt idx="32">
                  <c:v>0.36556036810794973</c:v>
                </c:pt>
                <c:pt idx="33">
                  <c:v>0.36364515751923304</c:v>
                </c:pt>
                <c:pt idx="34">
                  <c:v>0.36167973890924421</c:v>
                </c:pt>
                <c:pt idx="35">
                  <c:v>0.35966471096353114</c:v>
                </c:pt>
                <c:pt idx="36">
                  <c:v>0.35760068747912571</c:v>
                </c:pt>
                <c:pt idx="37">
                  <c:v>0.35548829717757618</c:v>
                </c:pt>
                <c:pt idx="38">
                  <c:v>0.3533281835134317</c:v>
                </c:pt>
                <c:pt idx="39">
                  <c:v>0.35112100447823968</c:v>
                </c:pt>
                <c:pt idx="40">
                  <c:v>0.34886743240011564</c:v>
                </c:pt>
                <c:pt idx="41">
                  <c:v>0.34656815373894539</c:v>
                </c:pt>
                <c:pt idx="42">
                  <c:v>0.34422386887728301</c:v>
                </c:pt>
                <c:pt idx="43">
                  <c:v>0.3418352919070069</c:v>
                </c:pt>
                <c:pt idx="44">
                  <c:v>0.33940315041180052</c:v>
                </c:pt>
                <c:pt idx="45">
                  <c:v>0.3369281852455242</c:v>
                </c:pt>
                <c:pt idx="46">
                  <c:v>0.33441115030654328</c:v>
                </c:pt>
                <c:pt idx="47">
                  <c:v>0.33185281230808306</c:v>
                </c:pt>
                <c:pt idx="48">
                  <c:v>0.32925395054468126</c:v>
                </c:pt>
                <c:pt idx="49">
                  <c:v>0.3266153566548064</c:v>
                </c:pt>
                <c:pt idx="50">
                  <c:v>0.32393783437971824</c:v>
                </c:pt>
                <c:pt idx="51">
                  <c:v>0.32122219931863932</c:v>
                </c:pt>
                <c:pt idx="52">
                  <c:v>0.31846927868031616</c:v>
                </c:pt>
                <c:pt idx="53">
                  <c:v>0.31567991103104376</c:v>
                </c:pt>
                <c:pt idx="54">
                  <c:v>0.31285494603922909</c:v>
                </c:pt>
                <c:pt idx="55">
                  <c:v>0.30999524421657426</c:v>
                </c:pt>
                <c:pt idx="56">
                  <c:v>0.30710167665595756</c:v>
                </c:pt>
                <c:pt idx="57">
                  <c:v>0.30417512476608838</c:v>
                </c:pt>
                <c:pt idx="58">
                  <c:v>0.30121648000302254</c:v>
                </c:pt>
                <c:pt idx="59">
                  <c:v>0.29822664359861589</c:v>
                </c:pt>
                <c:pt idx="60">
                  <c:v>0.2952065262860003</c:v>
                </c:pt>
                <c:pt idx="61">
                  <c:v>0.29215704802216597</c:v>
                </c:pt>
                <c:pt idx="62">
                  <c:v>0.28907913770773275</c:v>
                </c:pt>
                <c:pt idx="63">
                  <c:v>0.28597373290399902</c:v>
                </c:pt>
                <c:pt idx="64">
                  <c:v>0.28284177954735057</c:v>
                </c:pt>
                <c:pt idx="65">
                  <c:v>0.27968423166111994</c:v>
                </c:pt>
                <c:pt idx="66">
                  <c:v>0.27650205106498094</c:v>
                </c:pt>
                <c:pt idx="67">
                  <c:v>0.27329620708196956</c:v>
                </c:pt>
                <c:pt idx="68">
                  <c:v>0.2700676762432192</c:v>
                </c:pt>
                <c:pt idx="69">
                  <c:v>0.26681744199049839</c:v>
                </c:pt>
                <c:pt idx="70">
                  <c:v>0.26354649437664623</c:v>
                </c:pt>
                <c:pt idx="71">
                  <c:v>0.26025582976399253</c:v>
                </c:pt>
                <c:pt idx="72">
                  <c:v>0.25694645052085546</c:v>
                </c:pt>
                <c:pt idx="73">
                  <c:v>0.25361936471621127</c:v>
                </c:pt>
                <c:pt idx="74">
                  <c:v>0.25027558581262627</c:v>
                </c:pt>
                <c:pt idx="75">
                  <c:v>0.24691613235754631</c:v>
                </c:pt>
                <c:pt idx="76">
                  <c:v>0.24354202767303762</c:v>
                </c:pt>
                <c:pt idx="77">
                  <c:v>0.24015429954407294</c:v>
                </c:pt>
                <c:pt idx="78">
                  <c:v>0.23675397990545771</c:v>
                </c:pt>
                <c:pt idx="79">
                  <c:v>0.23334210452749371</c:v>
                </c:pt>
                <c:pt idx="80">
                  <c:v>0.22991971270047259</c:v>
                </c:pt>
                <c:pt idx="81">
                  <c:v>0.22648784691809828</c:v>
                </c:pt>
                <c:pt idx="82">
                  <c:v>0.22304755255993336</c:v>
                </c:pt>
                <c:pt idx="83">
                  <c:v>0.21959987757296617</c:v>
                </c:pt>
                <c:pt idx="84">
                  <c:v>0.21614587215239617</c:v>
                </c:pt>
                <c:pt idx="85">
                  <c:v>0.21268658842173419</c:v>
                </c:pt>
                <c:pt idx="86">
                  <c:v>0.20922308011231538</c:v>
                </c:pt>
                <c:pt idx="87">
                  <c:v>0.2057564022423225</c:v>
                </c:pt>
                <c:pt idx="88">
                  <c:v>0.20228761079541718</c:v>
                </c:pt>
                <c:pt idx="89">
                  <c:v>0.19881776239907717</c:v>
                </c:pt>
                <c:pt idx="90">
                  <c:v>0.19534791400273727</c:v>
                </c:pt>
                <c:pt idx="91">
                  <c:v>0.19187912255583206</c:v>
                </c:pt>
                <c:pt idx="92">
                  <c:v>0.18841244468583912</c:v>
                </c:pt>
                <c:pt idx="93">
                  <c:v>0.18494893637642018</c:v>
                </c:pt>
                <c:pt idx="94">
                  <c:v>0.18148965264575809</c:v>
                </c:pt>
                <c:pt idx="95">
                  <c:v>0.17803564722518825</c:v>
                </c:pt>
                <c:pt idx="96">
                  <c:v>0.17458797223822103</c:v>
                </c:pt>
                <c:pt idx="97">
                  <c:v>0.17114767788005616</c:v>
                </c:pt>
                <c:pt idx="98">
                  <c:v>0.16771581209768185</c:v>
                </c:pt>
                <c:pt idx="99">
                  <c:v>0.16429342027066071</c:v>
                </c:pt>
                <c:pt idx="100">
                  <c:v>0.16088154489269671</c:v>
                </c:pt>
                <c:pt idx="101">
                  <c:v>0.15748122525408151</c:v>
                </c:pt>
                <c:pt idx="102">
                  <c:v>0.15409349712511675</c:v>
                </c:pt>
                <c:pt idx="103">
                  <c:v>0.15071939244060806</c:v>
                </c:pt>
                <c:pt idx="104">
                  <c:v>0.14735993898552818</c:v>
                </c:pt>
                <c:pt idx="105">
                  <c:v>0.14401616008194318</c:v>
                </c:pt>
                <c:pt idx="106">
                  <c:v>0.14068907427729896</c:v>
                </c:pt>
                <c:pt idx="107">
                  <c:v>0.13737969503416195</c:v>
                </c:pt>
                <c:pt idx="108">
                  <c:v>0.13408903042150819</c:v>
                </c:pt>
                <c:pt idx="109">
                  <c:v>0.13081808280765608</c:v>
                </c:pt>
                <c:pt idx="110">
                  <c:v>0.12756784855493519</c:v>
                </c:pt>
                <c:pt idx="111">
                  <c:v>0.12433931771618467</c:v>
                </c:pt>
                <c:pt idx="112">
                  <c:v>0.12113347373317347</c:v>
                </c:pt>
                <c:pt idx="113">
                  <c:v>0.11795129313703444</c:v>
                </c:pt>
                <c:pt idx="114">
                  <c:v>0.11479374525080384</c:v>
                </c:pt>
                <c:pt idx="115">
                  <c:v>0.1116617918941554</c:v>
                </c:pt>
                <c:pt idx="116">
                  <c:v>0.10855638709042172</c:v>
                </c:pt>
                <c:pt idx="117">
                  <c:v>0.10547847677598847</c:v>
                </c:pt>
                <c:pt idx="118">
                  <c:v>0.10242899851215415</c:v>
                </c:pt>
                <c:pt idx="119">
                  <c:v>9.940888119953864E-2</c:v>
                </c:pt>
                <c:pt idx="120">
                  <c:v>9.6419044795131914E-2</c:v>
                </c:pt>
                <c:pt idx="121">
                  <c:v>9.3460400032066085E-2</c:v>
                </c:pt>
                <c:pt idx="122">
                  <c:v>9.0533848142196865E-2</c:v>
                </c:pt>
                <c:pt idx="123">
                  <c:v>8.7640280581580188E-2</c:v>
                </c:pt>
                <c:pt idx="124">
                  <c:v>8.4780578758925459E-2</c:v>
                </c:pt>
                <c:pt idx="125">
                  <c:v>8.1955613767110622E-2</c:v>
                </c:pt>
                <c:pt idx="126">
                  <c:v>7.9166246117838096E-2</c:v>
                </c:pt>
                <c:pt idx="127">
                  <c:v>7.6413325479515154E-2</c:v>
                </c:pt>
                <c:pt idx="128">
                  <c:v>7.3697690418436324E-2</c:v>
                </c:pt>
                <c:pt idx="129">
                  <c:v>7.1020168143348064E-2</c:v>
                </c:pt>
                <c:pt idx="130">
                  <c:v>6.8381574253473243E-2</c:v>
                </c:pt>
                <c:pt idx="131">
                  <c:v>6.5782712490071268E-2</c:v>
                </c:pt>
                <c:pt idx="132">
                  <c:v>6.3224374491611085E-2</c:v>
                </c:pt>
                <c:pt idx="133">
                  <c:v>6.07073395526301E-2</c:v>
                </c:pt>
                <c:pt idx="134">
                  <c:v>5.8232374386353938E-2</c:v>
                </c:pt>
                <c:pt idx="135">
                  <c:v>5.5800232891147585E-2</c:v>
                </c:pt>
                <c:pt idx="136">
                  <c:v>5.3411655920871361E-2</c:v>
                </c:pt>
                <c:pt idx="137">
                  <c:v>5.1067371059208964E-2</c:v>
                </c:pt>
                <c:pt idx="138">
                  <c:v>4.8768092398038816E-2</c:v>
                </c:pt>
                <c:pt idx="139">
                  <c:v>4.6514520319914848E-2</c:v>
                </c:pt>
                <c:pt idx="140">
                  <c:v>4.4307341284722752E-2</c:v>
                </c:pt>
                <c:pt idx="141">
                  <c:v>4.2147227620578202E-2</c:v>
                </c:pt>
                <c:pt idx="142">
                  <c:v>4.0034837319028675E-2</c:v>
                </c:pt>
                <c:pt idx="143">
                  <c:v>3.7970813834623342E-2</c:v>
                </c:pt>
                <c:pt idx="144">
                  <c:v>3.595578588891004E-2</c:v>
                </c:pt>
                <c:pt idx="145">
                  <c:v>3.3990367278921199E-2</c:v>
                </c:pt>
                <c:pt idx="146">
                  <c:v>3.2075156690204776E-2</c:v>
                </c:pt>
                <c:pt idx="147">
                  <c:v>3.0210737514459119E-2</c:v>
                </c:pt>
                <c:pt idx="148">
                  <c:v>2.8397677671826306E-2</c:v>
                </c:pt>
                <c:pt idx="149">
                  <c:v>2.6636529437897776E-2</c:v>
                </c:pt>
                <c:pt idx="150">
                  <c:v>2.4927829275486337E-2</c:v>
                </c:pt>
                <c:pt idx="151">
                  <c:v>2.3272097671213895E-2</c:v>
                </c:pt>
                <c:pt idx="152">
                  <c:v>2.1669838976966661E-2</c:v>
                </c:pt>
                <c:pt idx="153">
                  <c:v>2.0121541256264214E-2</c:v>
                </c:pt>
                <c:pt idx="154">
                  <c:v>1.8627676135591079E-2</c:v>
                </c:pt>
                <c:pt idx="155">
                  <c:v>1.7188698660734358E-2</c:v>
                </c:pt>
                <c:pt idx="156">
                  <c:v>1.5805047158172547E-2</c:v>
                </c:pt>
                <c:pt idx="157">
                  <c:v>1.4477143101557129E-2</c:v>
                </c:pt>
                <c:pt idx="158">
                  <c:v>1.3205390983327382E-2</c:v>
                </c:pt>
                <c:pt idx="159">
                  <c:v>1.1990178191498328E-2</c:v>
                </c:pt>
                <c:pt idx="160">
                  <c:v>1.0831874891658311E-2</c:v>
                </c:pt>
                <c:pt idx="161">
                  <c:v>9.7308339142132654E-3</c:v>
                </c:pt>
                <c:pt idx="162">
                  <c:v>8.6873906469108995E-3</c:v>
                </c:pt>
                <c:pt idx="163">
                  <c:v>7.7018629326785285E-3</c:v>
                </c:pt>
                <c:pt idx="164">
                  <c:v>6.7745509728049181E-3</c:v>
                </c:pt>
                <c:pt idx="165">
                  <c:v>5.9057372354960856E-3</c:v>
                </c:pt>
                <c:pt idx="166">
                  <c:v>5.0956863698328539E-3</c:v>
                </c:pt>
                <c:pt idx="167">
                  <c:v>4.3446451251559987E-3</c:v>
                </c:pt>
                <c:pt idx="168">
                  <c:v>3.6528422759041861E-3</c:v>
                </c:pt>
                <c:pt idx="169">
                  <c:v>3.0204885519269113E-3</c:v>
                </c:pt>
                <c:pt idx="170">
                  <c:v>2.4477765742942754E-3</c:v>
                </c:pt>
                <c:pt idx="171">
                  <c:v>1.9348807966226215E-3</c:v>
                </c:pt>
                <c:pt idx="172">
                  <c:v>1.4819574519343891E-3</c:v>
                </c:pt>
                <c:pt idx="173">
                  <c:v>1.0891445050679217E-3</c:v>
                </c:pt>
                <c:pt idx="174">
                  <c:v>7.5656161065209226E-4</c:v>
                </c:pt>
                <c:pt idx="175">
                  <c:v>4.8431007665835962E-4</c:v>
                </c:pt>
                <c:pt idx="176">
                  <c:v>2.724728335413244E-4</c:v>
                </c:pt>
                <c:pt idx="177">
                  <c:v>1.2111440897736393E-4</c:v>
                </c:pt>
                <c:pt idx="178">
                  <c:v>3.0280908208834969E-5</c:v>
                </c:pt>
                <c:pt idx="179">
                  <c:v>6.3933523605800854E-33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CB-4B3F-A1B5-93A276B23864}"/>
            </c:ext>
          </c:extLst>
        </c:ser>
        <c:ser>
          <c:idx val="1"/>
          <c:order val="4"/>
          <c:tx>
            <c:strRef>
              <c:f>'Kinematic Curves'!$H$3</c:f>
              <c:strCache>
                <c:ptCount val="1"/>
                <c:pt idx="0">
                  <c:v>Li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'Kinematic Curves'!$U$3:$U$182</c:f>
              <c:numCache>
                <c:formatCode>0.00</c:formatCode>
                <c:ptCount val="180"/>
                <c:pt idx="0">
                  <c:v>178.96315997696095</c:v>
                </c:pt>
                <c:pt idx="1">
                  <c:v>177.92633244615652</c:v>
                </c:pt>
                <c:pt idx="2">
                  <c:v>176.88952989427256</c:v>
                </c:pt>
                <c:pt idx="3">
                  <c:v>175.85276479690157</c:v>
                </c:pt>
                <c:pt idx="4">
                  <c:v>174.81604961300727</c:v>
                </c:pt>
                <c:pt idx="5">
                  <c:v>173.77939677940216</c:v>
                </c:pt>
                <c:pt idx="6">
                  <c:v>172.74281870524285</c:v>
                </c:pt>
                <c:pt idx="7">
                  <c:v>171.70632776654733</c:v>
                </c:pt>
                <c:pt idx="8">
                  <c:v>170.6699363007385</c:v>
                </c:pt>
                <c:pt idx="9">
                  <c:v>169.63365660121832</c:v>
                </c:pt>
                <c:pt idx="10">
                  <c:v>168.59750091197679</c:v>
                </c:pt>
                <c:pt idx="11">
                  <c:v>167.56148142223989</c:v>
                </c:pt>
                <c:pt idx="12">
                  <c:v>166.52561026116072</c:v>
                </c:pt>
                <c:pt idx="13">
                  <c:v>165.48989949255773</c:v>
                </c:pt>
                <c:pt idx="14">
                  <c:v>164.45436110970419</c:v>
                </c:pt>
                <c:pt idx="15">
                  <c:v>163.41900703017279</c:v>
                </c:pt>
                <c:pt idx="16">
                  <c:v>162.38384909073898</c:v>
                </c:pt>
                <c:pt idx="17">
                  <c:v>161.34889904234726</c:v>
                </c:pt>
                <c:pt idx="18">
                  <c:v>160.3141685451435</c:v>
                </c:pt>
                <c:pt idx="19">
                  <c:v>159.27966916357735</c:v>
                </c:pt>
                <c:pt idx="20">
                  <c:v>158.24541236157793</c:v>
                </c:pt>
                <c:pt idx="21">
                  <c:v>157.21140949780602</c:v>
                </c:pt>
                <c:pt idx="22">
                  <c:v>156.17767182098638</c:v>
                </c:pt>
                <c:pt idx="23">
                  <c:v>155.14421046532308</c:v>
                </c:pt>
                <c:pt idx="24">
                  <c:v>154.11103644600081</c:v>
                </c:pt>
                <c:pt idx="25">
                  <c:v>153.07816065477499</c:v>
                </c:pt>
                <c:pt idx="26">
                  <c:v>152.04559385565389</c:v>
                </c:pt>
                <c:pt idx="27">
                  <c:v>151.01334668067472</c:v>
                </c:pt>
                <c:pt idx="28">
                  <c:v>149.98142962577685</c:v>
                </c:pt>
                <c:pt idx="29">
                  <c:v>148.94985304677402</c:v>
                </c:pt>
                <c:pt idx="30">
                  <c:v>147.91862715542786</c:v>
                </c:pt>
                <c:pt idx="31">
                  <c:v>146.88776201562541</c:v>
                </c:pt>
                <c:pt idx="32">
                  <c:v>145.85726753966162</c:v>
                </c:pt>
                <c:pt idx="33">
                  <c:v>144.82715348462952</c:v>
                </c:pt>
                <c:pt idx="34">
                  <c:v>143.7974294489191</c:v>
                </c:pt>
                <c:pt idx="35">
                  <c:v>142.76810486882704</c:v>
                </c:pt>
                <c:pt idx="36">
                  <c:v>141.73918901527816</c:v>
                </c:pt>
                <c:pt idx="37">
                  <c:v>140.71069099066034</c:v>
                </c:pt>
                <c:pt idx="38">
                  <c:v>139.68261972577341</c:v>
                </c:pt>
                <c:pt idx="39">
                  <c:v>138.65498397689385</c:v>
                </c:pt>
                <c:pt idx="40">
                  <c:v>137.6277923229552</c:v>
                </c:pt>
                <c:pt idx="41">
                  <c:v>136.6010531628458</c:v>
                </c:pt>
                <c:pt idx="42">
                  <c:v>135.57477471282374</c:v>
                </c:pt>
                <c:pt idx="43">
                  <c:v>134.54896500404965</c:v>
                </c:pt>
                <c:pt idx="44">
                  <c:v>133.52363188023799</c:v>
                </c:pt>
                <c:pt idx="45">
                  <c:v>132.49878299542638</c:v>
                </c:pt>
                <c:pt idx="46">
                  <c:v>131.4744258118638</c:v>
                </c:pt>
                <c:pt idx="47">
                  <c:v>130.45056759801668</c:v>
                </c:pt>
                <c:pt idx="48">
                  <c:v>129.42721542669329</c:v>
                </c:pt>
                <c:pt idx="49">
                  <c:v>128.40437617328627</c:v>
                </c:pt>
                <c:pt idx="50">
                  <c:v>127.38205651413186</c:v>
                </c:pt>
                <c:pt idx="51">
                  <c:v>126.36026292498667</c:v>
                </c:pt>
                <c:pt idx="52">
                  <c:v>125.33900167962003</c:v>
                </c:pt>
                <c:pt idx="53">
                  <c:v>124.31827884852186</c:v>
                </c:pt>
                <c:pt idx="54">
                  <c:v>123.29810029772517</c:v>
                </c:pt>
                <c:pt idx="55">
                  <c:v>122.27847168774167</c:v>
                </c:pt>
                <c:pt idx="56">
                  <c:v>121.25939847261009</c:v>
                </c:pt>
                <c:pt idx="57">
                  <c:v>120.2408858990554</c:v>
                </c:pt>
                <c:pt idx="58">
                  <c:v>119.22293900575804</c:v>
                </c:pt>
                <c:pt idx="59">
                  <c:v>118.20556262273186</c:v>
                </c:pt>
                <c:pt idx="60">
                  <c:v>117.18876137080869</c:v>
                </c:pt>
                <c:pt idx="61">
                  <c:v>116.17253966122901</c:v>
                </c:pt>
                <c:pt idx="62">
                  <c:v>115.15690169533615</c:v>
                </c:pt>
                <c:pt idx="63">
                  <c:v>114.14185146437295</c:v>
                </c:pt>
                <c:pt idx="64">
                  <c:v>113.12739274937896</c:v>
                </c:pt>
                <c:pt idx="65">
                  <c:v>112.11352912118626</c:v>
                </c:pt>
                <c:pt idx="66">
                  <c:v>111.10026394051228</c:v>
                </c:pt>
                <c:pt idx="67">
                  <c:v>110.08760035814747</c:v>
                </c:pt>
                <c:pt idx="68">
                  <c:v>109.07554131523594</c:v>
                </c:pt>
                <c:pt idx="69">
                  <c:v>108.06408954364711</c:v>
                </c:pt>
                <c:pt idx="70">
                  <c:v>107.0532475664363</c:v>
                </c:pt>
                <c:pt idx="71">
                  <c:v>106.04301769839191</c:v>
                </c:pt>
                <c:pt idx="72">
                  <c:v>105.0334020466676</c:v>
                </c:pt>
                <c:pt idx="73">
                  <c:v>104.02440251149666</c:v>
                </c:pt>
                <c:pt idx="74">
                  <c:v>103.01602078698691</c:v>
                </c:pt>
                <c:pt idx="75">
                  <c:v>102.00825836199361</c:v>
                </c:pt>
                <c:pt idx="76">
                  <c:v>101.00111652106824</c:v>
                </c:pt>
                <c:pt idx="77">
                  <c:v>99.994596345480986</c:v>
                </c:pt>
                <c:pt idx="78">
                  <c:v>98.988698714314495</c:v>
                </c:pt>
                <c:pt idx="79">
                  <c:v>97.983424305626741</c:v>
                </c:pt>
                <c:pt idx="80">
                  <c:v>96.978773597680828</c:v>
                </c:pt>
                <c:pt idx="81">
                  <c:v>95.97474687023913</c:v>
                </c:pt>
                <c:pt idx="82">
                  <c:v>94.971344205919934</c:v>
                </c:pt>
                <c:pt idx="83">
                  <c:v>93.96856549161383</c:v>
                </c:pt>
                <c:pt idx="84">
                  <c:v>92.966410419958095</c:v>
                </c:pt>
                <c:pt idx="85">
                  <c:v>91.96487849086634</c:v>
                </c:pt>
                <c:pt idx="86">
                  <c:v>90.96396901311148</c:v>
                </c:pt>
                <c:pt idx="87">
                  <c:v>89.963681105959722</c:v>
                </c:pt>
                <c:pt idx="88">
                  <c:v>88.964013700853371</c:v>
                </c:pt>
                <c:pt idx="89">
                  <c:v>87.964965543140124</c:v>
                </c:pt>
                <c:pt idx="90">
                  <c:v>86.966535193846909</c:v>
                </c:pt>
                <c:pt idx="91">
                  <c:v>85.968721031496088</c:v>
                </c:pt>
                <c:pt idx="92">
                  <c:v>84.971521253961583</c:v>
                </c:pt>
                <c:pt idx="93">
                  <c:v>83.974933880363466</c:v>
                </c:pt>
                <c:pt idx="94">
                  <c:v>82.978956752998215</c:v>
                </c:pt>
                <c:pt idx="95">
                  <c:v>81.983587539303258</c:v>
                </c:pt>
                <c:pt idx="96">
                  <c:v>80.988823733853437</c:v>
                </c:pt>
                <c:pt idx="97">
                  <c:v>79.994662660387505</c:v>
                </c:pt>
                <c:pt idx="98">
                  <c:v>79.001101473862846</c:v>
                </c:pt>
                <c:pt idx="99">
                  <c:v>78.008137162536485</c:v>
                </c:pt>
                <c:pt idx="100">
                  <c:v>77.015766550070367</c:v>
                </c:pt>
                <c:pt idx="101">
                  <c:v>76.023986297659491</c:v>
                </c:pt>
                <c:pt idx="102">
                  <c:v>75.032792906180802</c:v>
                </c:pt>
                <c:pt idx="103">
                  <c:v>74.04218271836119</c:v>
                </c:pt>
                <c:pt idx="104">
                  <c:v>73.052151920963112</c:v>
                </c:pt>
                <c:pt idx="105">
                  <c:v>72.062696546985919</c:v>
                </c:pt>
                <c:pt idx="106">
                  <c:v>71.073812477881617</c:v>
                </c:pt>
                <c:pt idx="107">
                  <c:v>70.085495445783181</c:v>
                </c:pt>
                <c:pt idx="108">
                  <c:v>69.097741035744335</c:v>
                </c:pt>
                <c:pt idx="109">
                  <c:v>68.110544687988877</c:v>
                </c:pt>
                <c:pt idx="110">
                  <c:v>67.123901700168574</c:v>
                </c:pt>
                <c:pt idx="111">
                  <c:v>66.137807229628052</c:v>
                </c:pt>
                <c:pt idx="112">
                  <c:v>65.152256295675457</c:v>
                </c:pt>
                <c:pt idx="113">
                  <c:v>64.167243781857394</c:v>
                </c:pt>
                <c:pt idx="114">
                  <c:v>63.182764438237463</c:v>
                </c:pt>
                <c:pt idx="115">
                  <c:v>62.198812883676531</c:v>
                </c:pt>
                <c:pt idx="116">
                  <c:v>61.21538360811433</c:v>
                </c:pt>
                <c:pt idx="117">
                  <c:v>60.232470974850557</c:v>
                </c:pt>
                <c:pt idx="118">
                  <c:v>59.250069222825296</c:v>
                </c:pt>
                <c:pt idx="119">
                  <c:v>58.268172468896871</c:v>
                </c:pt>
                <c:pt idx="120">
                  <c:v>57.286774710117044</c:v>
                </c:pt>
                <c:pt idx="121">
                  <c:v>56.305869826002095</c:v>
                </c:pt>
                <c:pt idx="122">
                  <c:v>55.325451580799054</c:v>
                </c:pt>
                <c:pt idx="123">
                  <c:v>54.345513625746641</c:v>
                </c:pt>
                <c:pt idx="124">
                  <c:v>53.366049501329428</c:v>
                </c:pt>
                <c:pt idx="125">
                  <c:v>52.387052639525528</c:v>
                </c:pt>
                <c:pt idx="126">
                  <c:v>51.408516366045944</c:v>
                </c:pt>
                <c:pt idx="127">
                  <c:v>50.430433902566172</c:v>
                </c:pt>
                <c:pt idx="128">
                  <c:v>49.452798368948365</c:v>
                </c:pt>
                <c:pt idx="129">
                  <c:v>48.475602785454392</c:v>
                </c:pt>
                <c:pt idx="130">
                  <c:v>47.498840074948802</c:v>
                </c:pt>
                <c:pt idx="131">
                  <c:v>46.522503065091207</c:v>
                </c:pt>
                <c:pt idx="132">
                  <c:v>45.546584490518136</c:v>
                </c:pt>
                <c:pt idx="133">
                  <c:v>44.5710769950132</c:v>
                </c:pt>
                <c:pt idx="134">
                  <c:v>43.595973133666149</c:v>
                </c:pt>
                <c:pt idx="135">
                  <c:v>42.621265375019519</c:v>
                </c:pt>
                <c:pt idx="136">
                  <c:v>41.646946103203561</c:v>
                </c:pt>
                <c:pt idx="137">
                  <c:v>40.673007620058378</c:v>
                </c:pt>
                <c:pt idx="138">
                  <c:v>39.699442147243566</c:v>
                </c:pt>
                <c:pt idx="139">
                  <c:v>38.726241828335226</c:v>
                </c:pt>
                <c:pt idx="140">
                  <c:v>37.753398730909595</c:v>
                </c:pt>
                <c:pt idx="141">
                  <c:v>36.780904848614135</c:v>
                </c:pt>
                <c:pt idx="142">
                  <c:v>35.808752103225004</c:v>
                </c:pt>
                <c:pt idx="143">
                  <c:v>34.836932346691825</c:v>
                </c:pt>
                <c:pt idx="144">
                  <c:v>33.865437363168716</c:v>
                </c:pt>
                <c:pt idx="145">
                  <c:v>32.894258871032747</c:v>
                </c:pt>
                <c:pt idx="146">
                  <c:v>31.923388524888647</c:v>
                </c:pt>
                <c:pt idx="147">
                  <c:v>30.952817917560843</c:v>
                </c:pt>
                <c:pt idx="148">
                  <c:v>29.982538582072443</c:v>
                </c:pt>
                <c:pt idx="149">
                  <c:v>29.012541993611062</c:v>
                </c:pt>
                <c:pt idx="150">
                  <c:v>28.04281957148239</c:v>
                </c:pt>
                <c:pt idx="151">
                  <c:v>27.073362681050678</c:v>
                </c:pt>
                <c:pt idx="152">
                  <c:v>26.104162635667336</c:v>
                </c:pt>
                <c:pt idx="153">
                  <c:v>25.135210698586903</c:v>
                </c:pt>
                <c:pt idx="154">
                  <c:v>24.166498084871506</c:v>
                </c:pt>
                <c:pt idx="155">
                  <c:v>23.198015963283247</c:v>
                </c:pt>
                <c:pt idx="156">
                  <c:v>22.229755458165432</c:v>
                </c:pt>
                <c:pt idx="157">
                  <c:v>21.261707651312655</c:v>
                </c:pt>
                <c:pt idx="158">
                  <c:v>20.293863583829836</c:v>
                </c:pt>
                <c:pt idx="159">
                  <c:v>19.326214257981114</c:v>
                </c:pt>
                <c:pt idx="160">
                  <c:v>18.358750639028212</c:v>
                </c:pt>
                <c:pt idx="161">
                  <c:v>17.391463657059376</c:v>
                </c:pt>
                <c:pt idx="162">
                  <c:v>16.424344208808517</c:v>
                </c:pt>
                <c:pt idx="163">
                  <c:v>15.457383159465687</c:v>
                </c:pt>
                <c:pt idx="164">
                  <c:v>14.49057134447856</c:v>
                </c:pt>
                <c:pt idx="165">
                  <c:v>13.523899571345913</c:v>
                </c:pt>
                <c:pt idx="166">
                  <c:v>12.557358621403329</c:v>
                </c:pt>
                <c:pt idx="167">
                  <c:v>11.59093925160124</c:v>
                </c:pt>
                <c:pt idx="168">
                  <c:v>10.624632196276456</c:v>
                </c:pt>
                <c:pt idx="169">
                  <c:v>9.6584281689167977</c:v>
                </c:pt>
                <c:pt idx="170">
                  <c:v>8.6923178639201293</c:v>
                </c:pt>
                <c:pt idx="171">
                  <c:v>7.7262919583474581</c:v>
                </c:pt>
                <c:pt idx="172">
                  <c:v>6.760341113671358</c:v>
                </c:pt>
                <c:pt idx="173">
                  <c:v>5.7944559775194842</c:v>
                </c:pt>
                <c:pt idx="174">
                  <c:v>4.82862718541422</c:v>
                </c:pt>
                <c:pt idx="175">
                  <c:v>3.8628453625087671</c:v>
                </c:pt>
                <c:pt idx="176">
                  <c:v>2.8971011253199013</c:v>
                </c:pt>
                <c:pt idx="177">
                  <c:v>1.9313850834585291</c:v>
                </c:pt>
                <c:pt idx="178">
                  <c:v>0.96568784135779107</c:v>
                </c:pt>
                <c:pt idx="179">
                  <c:v>6.7787155104989418E-15</c:v>
                </c:pt>
              </c:numCache>
            </c:numRef>
          </c:xVal>
          <c:yVal>
            <c:numRef>
              <c:f>'Kinematic Curves'!$W$3:$W$182</c:f>
              <c:numCache>
                <c:formatCode>0.000</c:formatCode>
                <c:ptCount val="180"/>
                <c:pt idx="0">
                  <c:v>2.6023947561100544</c:v>
                </c:pt>
                <c:pt idx="1">
                  <c:v>2.6024855896108212</c:v>
                </c:pt>
                <c:pt idx="2">
                  <c:v>2.6026369480353853</c:v>
                </c:pt>
                <c:pt idx="3">
                  <c:v>2.6028487852785025</c:v>
                </c:pt>
                <c:pt idx="4">
                  <c:v>2.6031210368124955</c:v>
                </c:pt>
                <c:pt idx="5">
                  <c:v>2.6034536197069116</c:v>
                </c:pt>
                <c:pt idx="6">
                  <c:v>2.6038464326537785</c:v>
                </c:pt>
                <c:pt idx="7">
                  <c:v>2.6042993559984682</c:v>
                </c:pt>
                <c:pt idx="8">
                  <c:v>2.604812251776139</c:v>
                </c:pt>
                <c:pt idx="9">
                  <c:v>2.6053849637537709</c:v>
                </c:pt>
                <c:pt idx="10">
                  <c:v>2.6060173174777477</c:v>
                </c:pt>
                <c:pt idx="11">
                  <c:v>2.6067091203270003</c:v>
                </c:pt>
                <c:pt idx="12">
                  <c:v>2.607460161571677</c:v>
                </c:pt>
                <c:pt idx="13">
                  <c:v>2.6082702124373394</c:v>
                </c:pt>
                <c:pt idx="14">
                  <c:v>2.6091390261746499</c:v>
                </c:pt>
                <c:pt idx="15">
                  <c:v>2.6100663381345233</c:v>
                </c:pt>
                <c:pt idx="16">
                  <c:v>2.6110518658487547</c:v>
                </c:pt>
                <c:pt idx="17">
                  <c:v>2.6120953091160568</c:v>
                </c:pt>
                <c:pt idx="18">
                  <c:v>2.6131963500935029</c:v>
                </c:pt>
                <c:pt idx="19">
                  <c:v>2.6143546533933417</c:v>
                </c:pt>
                <c:pt idx="20">
                  <c:v>2.6155698661851714</c:v>
                </c:pt>
                <c:pt idx="21">
                  <c:v>2.6168416183034009</c:v>
                </c:pt>
                <c:pt idx="22">
                  <c:v>2.6181695223600161</c:v>
                </c:pt>
                <c:pt idx="23">
                  <c:v>2.6195531738625784</c:v>
                </c:pt>
                <c:pt idx="24">
                  <c:v>2.6209921513374348</c:v>
                </c:pt>
                <c:pt idx="25">
                  <c:v>2.622486016458109</c:v>
                </c:pt>
                <c:pt idx="26">
                  <c:v>2.6240343141788114</c:v>
                </c:pt>
                <c:pt idx="27">
                  <c:v>2.6256365728730584</c:v>
                </c:pt>
                <c:pt idx="28">
                  <c:v>2.6272923044773302</c:v>
                </c:pt>
                <c:pt idx="29">
                  <c:v>2.6290010046397425</c:v>
                </c:pt>
                <c:pt idx="30">
                  <c:v>2.6307621528736695</c:v>
                </c:pt>
                <c:pt idx="31">
                  <c:v>2.6325752127163016</c:v>
                </c:pt>
                <c:pt idx="32">
                  <c:v>2.634439631892048</c:v>
                </c:pt>
                <c:pt idx="33">
                  <c:v>2.6363548424807655</c:v>
                </c:pt>
                <c:pt idx="34">
                  <c:v>2.6383202610907541</c:v>
                </c:pt>
                <c:pt idx="35">
                  <c:v>2.6403352890364675</c:v>
                </c:pt>
                <c:pt idx="36">
                  <c:v>2.6423993125208725</c:v>
                </c:pt>
                <c:pt idx="37">
                  <c:v>2.644511702822423</c:v>
                </c:pt>
                <c:pt idx="38">
                  <c:v>2.6466718164865659</c:v>
                </c:pt>
                <c:pt idx="39">
                  <c:v>2.6488789955217591</c:v>
                </c:pt>
                <c:pt idx="40">
                  <c:v>2.6511325675998831</c:v>
                </c:pt>
                <c:pt idx="41">
                  <c:v>2.6534318462610513</c:v>
                </c:pt>
                <c:pt idx="42">
                  <c:v>2.6557761311227162</c:v>
                </c:pt>
                <c:pt idx="43">
                  <c:v>2.6581647080929911</c:v>
                </c:pt>
                <c:pt idx="44">
                  <c:v>2.6605968495881966</c:v>
                </c:pt>
                <c:pt idx="45">
                  <c:v>2.6630718147544732</c:v>
                </c:pt>
                <c:pt idx="46">
                  <c:v>2.6655888496934543</c:v>
                </c:pt>
                <c:pt idx="47">
                  <c:v>2.6681471876919152</c:v>
                </c:pt>
                <c:pt idx="48">
                  <c:v>2.6707460494553179</c:v>
                </c:pt>
                <c:pt idx="49">
                  <c:v>2.6733846433451918</c:v>
                </c:pt>
                <c:pt idx="50">
                  <c:v>2.6760621656202805</c:v>
                </c:pt>
                <c:pt idx="51">
                  <c:v>2.6787778006813596</c:v>
                </c:pt>
                <c:pt idx="52">
                  <c:v>2.6815307213196817</c:v>
                </c:pt>
                <c:pt idx="53">
                  <c:v>2.6843200889689554</c:v>
                </c:pt>
                <c:pt idx="54">
                  <c:v>2.6871450539607702</c:v>
                </c:pt>
                <c:pt idx="55">
                  <c:v>2.6900047557834248</c:v>
                </c:pt>
                <c:pt idx="56">
                  <c:v>2.6928983233440413</c:v>
                </c:pt>
                <c:pt idx="57">
                  <c:v>2.6958248752339098</c:v>
                </c:pt>
                <c:pt idx="58">
                  <c:v>2.6987835199969759</c:v>
                </c:pt>
                <c:pt idx="59">
                  <c:v>2.7017733564013828</c:v>
                </c:pt>
                <c:pt idx="60">
                  <c:v>2.7047934737139983</c:v>
                </c:pt>
                <c:pt idx="61">
                  <c:v>2.707842951977832</c:v>
                </c:pt>
                <c:pt idx="62">
                  <c:v>2.7109208622922654</c:v>
                </c:pt>
                <c:pt idx="63">
                  <c:v>2.7140262670959996</c:v>
                </c:pt>
                <c:pt idx="64">
                  <c:v>2.7171582204526481</c:v>
                </c:pt>
                <c:pt idx="65">
                  <c:v>2.7203157683388777</c:v>
                </c:pt>
                <c:pt idx="66">
                  <c:v>2.7234979489350168</c:v>
                </c:pt>
                <c:pt idx="67">
                  <c:v>2.7267037929180278</c:v>
                </c:pt>
                <c:pt idx="68">
                  <c:v>2.729932323756779</c:v>
                </c:pt>
                <c:pt idx="69">
                  <c:v>2.7331825580095002</c:v>
                </c:pt>
                <c:pt idx="70">
                  <c:v>2.7364535056233521</c:v>
                </c:pt>
                <c:pt idx="71">
                  <c:v>2.7397441702360048</c:v>
                </c:pt>
                <c:pt idx="72">
                  <c:v>2.7430535494791428</c:v>
                </c:pt>
                <c:pt idx="73">
                  <c:v>2.7463806352837876</c:v>
                </c:pt>
                <c:pt idx="74">
                  <c:v>2.7497244141873725</c:v>
                </c:pt>
                <c:pt idx="75">
                  <c:v>2.7530838676424523</c:v>
                </c:pt>
                <c:pt idx="76">
                  <c:v>2.7564579723269604</c:v>
                </c:pt>
                <c:pt idx="77">
                  <c:v>2.7598457004559256</c:v>
                </c:pt>
                <c:pt idx="78">
                  <c:v>2.7632460200945412</c:v>
                </c:pt>
                <c:pt idx="79">
                  <c:v>2.766657895472505</c:v>
                </c:pt>
                <c:pt idx="80">
                  <c:v>2.770080287299526</c:v>
                </c:pt>
                <c:pt idx="81">
                  <c:v>2.7735121530818998</c:v>
                </c:pt>
                <c:pt idx="82">
                  <c:v>2.7769524474400642</c:v>
                </c:pt>
                <c:pt idx="83">
                  <c:v>2.7804001224270318</c:v>
                </c:pt>
                <c:pt idx="84">
                  <c:v>2.7838541278476017</c:v>
                </c:pt>
                <c:pt idx="85">
                  <c:v>2.7873134115782636</c:v>
                </c:pt>
                <c:pt idx="86">
                  <c:v>2.7907769198876835</c:v>
                </c:pt>
                <c:pt idx="87">
                  <c:v>2.7942435977576756</c:v>
                </c:pt>
                <c:pt idx="88">
                  <c:v>2.7977123892045808</c:v>
                </c:pt>
                <c:pt idx="89">
                  <c:v>2.8011822376009214</c:v>
                </c:pt>
                <c:pt idx="90">
                  <c:v>2.8046520859972617</c:v>
                </c:pt>
                <c:pt idx="91">
                  <c:v>2.8081208774441655</c:v>
                </c:pt>
                <c:pt idx="92">
                  <c:v>2.8115875553141594</c:v>
                </c:pt>
                <c:pt idx="93">
                  <c:v>2.8150510636235779</c:v>
                </c:pt>
                <c:pt idx="94">
                  <c:v>2.8185103473542399</c:v>
                </c:pt>
                <c:pt idx="95">
                  <c:v>2.8219643527748102</c:v>
                </c:pt>
                <c:pt idx="96">
                  <c:v>2.8254120277617774</c:v>
                </c:pt>
                <c:pt idx="97">
                  <c:v>2.8288523221199426</c:v>
                </c:pt>
                <c:pt idx="98">
                  <c:v>2.8322841879023168</c:v>
                </c:pt>
                <c:pt idx="99">
                  <c:v>2.835706579729337</c:v>
                </c:pt>
                <c:pt idx="100">
                  <c:v>2.8391184551073017</c:v>
                </c:pt>
                <c:pt idx="101">
                  <c:v>2.8425187747459177</c:v>
                </c:pt>
                <c:pt idx="102">
                  <c:v>2.8459065028748811</c:v>
                </c:pt>
                <c:pt idx="103">
                  <c:v>2.8492806075593906</c:v>
                </c:pt>
                <c:pt idx="104">
                  <c:v>2.8526400610144704</c:v>
                </c:pt>
                <c:pt idx="105">
                  <c:v>2.8559838399180548</c:v>
                </c:pt>
                <c:pt idx="106">
                  <c:v>2.8593109257226992</c:v>
                </c:pt>
                <c:pt idx="107">
                  <c:v>2.8626203049658372</c:v>
                </c:pt>
                <c:pt idx="108">
                  <c:v>2.8659109695784903</c:v>
                </c:pt>
                <c:pt idx="109">
                  <c:v>2.8691819171923423</c:v>
                </c:pt>
                <c:pt idx="110">
                  <c:v>2.8724321514450635</c:v>
                </c:pt>
                <c:pt idx="111">
                  <c:v>2.8756606822838138</c:v>
                </c:pt>
                <c:pt idx="112">
                  <c:v>2.8788665262668252</c:v>
                </c:pt>
                <c:pt idx="113">
                  <c:v>2.8820487068629634</c:v>
                </c:pt>
                <c:pt idx="114">
                  <c:v>2.8852062547491939</c:v>
                </c:pt>
                <c:pt idx="115">
                  <c:v>2.8883382081058429</c:v>
                </c:pt>
                <c:pt idx="116">
                  <c:v>2.8914436129095766</c:v>
                </c:pt>
                <c:pt idx="117">
                  <c:v>2.89452152322401</c:v>
                </c:pt>
                <c:pt idx="118">
                  <c:v>2.8975710014878451</c:v>
                </c:pt>
                <c:pt idx="119">
                  <c:v>2.9005911188004596</c:v>
                </c:pt>
                <c:pt idx="120">
                  <c:v>2.9035809552048661</c:v>
                </c:pt>
                <c:pt idx="121">
                  <c:v>2.9065395999679327</c:v>
                </c:pt>
                <c:pt idx="122">
                  <c:v>2.9094661518578016</c:v>
                </c:pt>
                <c:pt idx="123">
                  <c:v>2.9123597194184172</c:v>
                </c:pt>
                <c:pt idx="124">
                  <c:v>2.9152194212410727</c:v>
                </c:pt>
                <c:pt idx="125">
                  <c:v>2.9180443862328866</c:v>
                </c:pt>
                <c:pt idx="126">
                  <c:v>2.9208337538821603</c:v>
                </c:pt>
                <c:pt idx="127">
                  <c:v>2.9235866745204846</c:v>
                </c:pt>
                <c:pt idx="128">
                  <c:v>2.9263023095815628</c:v>
                </c:pt>
                <c:pt idx="129">
                  <c:v>2.9289798318566498</c:v>
                </c:pt>
                <c:pt idx="130">
                  <c:v>2.931618425746525</c:v>
                </c:pt>
                <c:pt idx="131">
                  <c:v>2.9342172875099277</c:v>
                </c:pt>
                <c:pt idx="132">
                  <c:v>2.9367756255083863</c:v>
                </c:pt>
                <c:pt idx="133">
                  <c:v>2.9392926604473679</c:v>
                </c:pt>
                <c:pt idx="134">
                  <c:v>2.9417676256136436</c:v>
                </c:pt>
                <c:pt idx="135">
                  <c:v>2.94419976710885</c:v>
                </c:pt>
                <c:pt idx="136">
                  <c:v>2.9465883440791272</c:v>
                </c:pt>
                <c:pt idx="137">
                  <c:v>2.9489326289407876</c:v>
                </c:pt>
                <c:pt idx="138">
                  <c:v>2.9512319076019593</c:v>
                </c:pt>
                <c:pt idx="139">
                  <c:v>2.9534854796800842</c:v>
                </c:pt>
                <c:pt idx="140">
                  <c:v>2.9556926587152752</c:v>
                </c:pt>
                <c:pt idx="141">
                  <c:v>2.9578527723794203</c:v>
                </c:pt>
                <c:pt idx="142">
                  <c:v>2.9599651626809695</c:v>
                </c:pt>
                <c:pt idx="143">
                  <c:v>2.962029186165374</c:v>
                </c:pt>
                <c:pt idx="144">
                  <c:v>2.9640442141110879</c:v>
                </c:pt>
                <c:pt idx="145">
                  <c:v>2.9660096327210765</c:v>
                </c:pt>
                <c:pt idx="146">
                  <c:v>2.9679248433097931</c:v>
                </c:pt>
                <c:pt idx="147">
                  <c:v>2.96978926248554</c:v>
                </c:pt>
                <c:pt idx="148">
                  <c:v>2.9716023223281716</c:v>
                </c:pt>
                <c:pt idx="149">
                  <c:v>2.9733634705621008</c:v>
                </c:pt>
                <c:pt idx="150">
                  <c:v>2.9750721707245127</c:v>
                </c:pt>
                <c:pt idx="151">
                  <c:v>2.9767279023287849</c:v>
                </c:pt>
                <c:pt idx="152">
                  <c:v>2.9783301610230315</c:v>
                </c:pt>
                <c:pt idx="153">
                  <c:v>2.9798784587437335</c:v>
                </c:pt>
                <c:pt idx="154">
                  <c:v>2.9813723238644068</c:v>
                </c:pt>
                <c:pt idx="155">
                  <c:v>2.9828113013392645</c:v>
                </c:pt>
                <c:pt idx="156">
                  <c:v>2.984194952841825</c:v>
                </c:pt>
                <c:pt idx="157">
                  <c:v>2.9855228568984407</c:v>
                </c:pt>
                <c:pt idx="158">
                  <c:v>2.9867946090166697</c:v>
                </c:pt>
                <c:pt idx="159">
                  <c:v>2.9880098218085003</c:v>
                </c:pt>
                <c:pt idx="160">
                  <c:v>2.98916812510834</c:v>
                </c:pt>
                <c:pt idx="161">
                  <c:v>2.9902691660857847</c:v>
                </c:pt>
                <c:pt idx="162">
                  <c:v>2.9913126093530873</c:v>
                </c:pt>
                <c:pt idx="163">
                  <c:v>2.9922981370673196</c:v>
                </c:pt>
                <c:pt idx="164">
                  <c:v>2.993225449027193</c:v>
                </c:pt>
                <c:pt idx="165">
                  <c:v>2.9940942627645031</c:v>
                </c:pt>
                <c:pt idx="166">
                  <c:v>2.9949043136301654</c:v>
                </c:pt>
                <c:pt idx="167">
                  <c:v>2.9956553548748412</c:v>
                </c:pt>
                <c:pt idx="168">
                  <c:v>2.9963471577240939</c:v>
                </c:pt>
                <c:pt idx="169">
                  <c:v>2.9969795114480711</c:v>
                </c:pt>
                <c:pt idx="170">
                  <c:v>2.9975522234257048</c:v>
                </c:pt>
                <c:pt idx="171">
                  <c:v>2.9980651192033752</c:v>
                </c:pt>
                <c:pt idx="172">
                  <c:v>2.9985180425480631</c:v>
                </c:pt>
                <c:pt idx="173">
                  <c:v>2.99891085549493</c:v>
                </c:pt>
                <c:pt idx="174">
                  <c:v>2.9992434383893465</c:v>
                </c:pt>
                <c:pt idx="175">
                  <c:v>2.9995156899233399</c:v>
                </c:pt>
                <c:pt idx="176">
                  <c:v>2.9997275271664567</c:v>
                </c:pt>
                <c:pt idx="177">
                  <c:v>2.9998788855910208</c:v>
                </c:pt>
                <c:pt idx="178">
                  <c:v>2.9999697190917898</c:v>
                </c:pt>
                <c:pt idx="179">
                  <c:v>2.9999999999999973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DCB-4B3F-A1B5-93A276B2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564328"/>
        <c:axId val="213156818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1"/>
                <c:tx>
                  <c:v>end target</c:v>
                </c:tx>
                <c:spPr>
                  <a:ln w="254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'Kinematic Curves'!#REF!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'Kinematic Curves'!#REF!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6DCB-4B3F-A1B5-93A276B23864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front target</c:v>
                </c:tx>
                <c:spPr>
                  <a:ln w="254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'Kinematic Curves'!#REF!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'Kinematic Curves'!#REF!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DCB-4B3F-A1B5-93A276B23864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v>end target inel</c:v>
                </c:tx>
                <c:spPr>
                  <a:ln w="254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'Kinematic Curves'!#REF!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'Kinematic Curves'!#REF!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CB-4B3F-A1B5-93A276B23864}"/>
                  </c:ext>
                </c:extLst>
              </c15:ser>
            </c15:filteredScatterSeries>
          </c:ext>
        </c:extLst>
      </c:scatterChart>
      <c:valAx>
        <c:axId val="2131564328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Angle [lab] (deg)</a:t>
                </a:r>
              </a:p>
            </c:rich>
          </c:tx>
          <c:layout>
            <c:manualLayout>
              <c:xMode val="edge"/>
              <c:yMode val="edge"/>
              <c:x val="0.4531774300744596"/>
              <c:y val="0.92854187402617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568184"/>
        <c:crosses val="autoZero"/>
        <c:crossBetween val="midCat"/>
        <c:majorUnit val="10"/>
        <c:minorUnit val="5"/>
      </c:valAx>
      <c:valAx>
        <c:axId val="2131568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[lab] (MeV)</a:t>
                </a:r>
              </a:p>
            </c:rich>
          </c:tx>
          <c:layout>
            <c:manualLayout>
              <c:xMode val="edge"/>
              <c:yMode val="edge"/>
              <c:x val="1.17056856187291E-2"/>
              <c:y val="0.370786959214367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564328"/>
        <c:crosses val="autoZero"/>
        <c:crossBetween val="midCat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82966908106443771"/>
          <c:y val="0.24927038984455202"/>
          <c:w val="0.12453140782294916"/>
          <c:h val="0.13311182561478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Strip lifetime across LEDA_near</a:t>
            </a:r>
          </a:p>
        </c:rich>
      </c:tx>
      <c:layout>
        <c:manualLayout>
          <c:xMode val="edge"/>
          <c:yMode val="edge"/>
          <c:x val="0.38101994155829699"/>
          <c:y val="3.170028818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073664432110997E-2"/>
          <c:y val="0.14409237108992001"/>
          <c:w val="0.91643075335550805"/>
          <c:h val="0.72046185544960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Scattering'!$K$181:$K$196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'Rutherford Scattering'!$AD$181:$AD$196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A8-423C-85A7-0174898B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717368"/>
        <c:axId val="2130725672"/>
      </c:scatterChart>
      <c:valAx>
        <c:axId val="2130717368"/>
        <c:scaling>
          <c:orientation val="minMax"/>
          <c:max val="16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49150152796056301"/>
              <c:y val="0.91930926501622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725672"/>
        <c:crosses val="autoZero"/>
        <c:crossBetween val="midCat"/>
        <c:majorUnit val="1"/>
      </c:valAx>
      <c:valAx>
        <c:axId val="2130725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Lifetime (days)</a:t>
                </a:r>
              </a:p>
            </c:rich>
          </c:tx>
          <c:layout>
            <c:manualLayout>
              <c:xMode val="edge"/>
              <c:yMode val="edge"/>
              <c:x val="1.8413597733710999E-2"/>
              <c:y val="0.403458667090245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7173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Scattered Particle Energy across LEDA_near</a:t>
            </a:r>
          </a:p>
        </c:rich>
      </c:tx>
      <c:layout>
        <c:manualLayout>
          <c:xMode val="edge"/>
          <c:yMode val="edge"/>
          <c:x val="0.33521945895376898"/>
          <c:y val="3.170028818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79106040826095E-2"/>
          <c:y val="0.14409237108992001"/>
          <c:w val="0.89816170992452904"/>
          <c:h val="0.72046185544960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Scattering'!$K$181:$K$196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'Rutherford Scattering'!$T$181:$T$196</c:f>
              <c:numCache>
                <c:formatCode>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AA-48A9-A3C2-5F0410410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881000"/>
        <c:axId val="2125891464"/>
      </c:scatterChart>
      <c:valAx>
        <c:axId val="2125881000"/>
        <c:scaling>
          <c:orientation val="minMax"/>
          <c:max val="16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0070743632293502"/>
              <c:y val="0.91930926501622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891464"/>
        <c:crosses val="autoZero"/>
        <c:crossBetween val="midCat"/>
        <c:majorUnit val="1"/>
      </c:valAx>
      <c:valAx>
        <c:axId val="2125891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(MeV)</a:t>
                </a:r>
              </a:p>
            </c:rich>
          </c:tx>
          <c:layout>
            <c:manualLayout>
              <c:xMode val="edge"/>
              <c:yMode val="edge"/>
              <c:x val="1.8387553041018401E-2"/>
              <c:y val="0.43515895527468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8810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a(X,X)a Elastic Scattering into LEDA_far</a:t>
            </a:r>
          </a:p>
        </c:rich>
      </c:tx>
      <c:layout>
        <c:manualLayout>
          <c:xMode val="edge"/>
          <c:yMode val="edge"/>
          <c:x val="0.36888351001294201"/>
          <c:y val="3.2352941176470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338811898445406E-2"/>
          <c:y val="0.144117543573685"/>
          <c:w val="0.88707694461390096"/>
          <c:h val="0.72352889222707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Scattering'!$AI$181:$AI$196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'Rutherford Scattering'!$AX$181:$AX$196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F6-4EB5-B2D2-CC3D36CF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783784"/>
        <c:axId val="2125792200"/>
      </c:scatterChart>
      <c:valAx>
        <c:axId val="2125783784"/>
        <c:scaling>
          <c:orientation val="minMax"/>
          <c:max val="16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1191989646212699"/>
              <c:y val="0.920587540528022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792200"/>
        <c:crosses val="autoZero"/>
        <c:crossBetween val="midCat"/>
        <c:majorUnit val="2"/>
      </c:valAx>
      <c:valAx>
        <c:axId val="2125792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sz="925" b="1" i="0" u="none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(pps)</a:t>
                </a:r>
              </a:p>
            </c:rich>
          </c:tx>
          <c:layout>
            <c:manualLayout>
              <c:xMode val="edge"/>
              <c:yMode val="edge"/>
              <c:x val="1.6311166875784201E-2"/>
              <c:y val="0.44705859194071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783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Strip lifetime across LEDA_far</a:t>
            </a:r>
          </a:p>
        </c:rich>
      </c:tx>
      <c:layout>
        <c:manualLayout>
          <c:xMode val="edge"/>
          <c:yMode val="edge"/>
          <c:x val="0.40050052723384499"/>
          <c:y val="3.170028818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14126998919803E-2"/>
          <c:y val="0.14409237108992001"/>
          <c:w val="0.92615741412684605"/>
          <c:h val="0.72046185544960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Scattering'!$AI$181:$AI$196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'Rutherford Scattering'!$BB$181:$BB$196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DC-464D-A37F-9F7A154D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825960"/>
        <c:axId val="2125834488"/>
      </c:scatterChart>
      <c:valAx>
        <c:axId val="2125825960"/>
        <c:scaling>
          <c:orientation val="minMax"/>
          <c:max val="16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49311619839760301"/>
              <c:y val="0.91930926501622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834488"/>
        <c:crosses val="autoZero"/>
        <c:crossBetween val="midCat"/>
        <c:majorUnit val="2"/>
      </c:valAx>
      <c:valAx>
        <c:axId val="2125834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Lifetime (days)</a:t>
                </a:r>
              </a:p>
            </c:rich>
          </c:tx>
          <c:layout>
            <c:manualLayout>
              <c:xMode val="edge"/>
              <c:yMode val="edge"/>
              <c:x val="1.6270337922403001E-2"/>
              <c:y val="0.403458667090245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825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Scattered Particle Energy across LEDA_far</a:t>
            </a:r>
          </a:p>
        </c:rich>
      </c:tx>
      <c:layout>
        <c:manualLayout>
          <c:xMode val="edge"/>
          <c:yMode val="edge"/>
          <c:x val="0.35945263838288899"/>
          <c:y val="3.1609195402298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64168907026006E-2"/>
          <c:y val="0.143677959323984"/>
          <c:w val="0.91044762296190795"/>
          <c:h val="0.7212633558063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Scattering'!$AI$181:$AI$196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'Rutherford Scattering'!#REF!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0D-40BB-A38A-FEFE564E5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942408"/>
        <c:axId val="2131950632"/>
      </c:scatterChart>
      <c:valAx>
        <c:axId val="2131942408"/>
        <c:scaling>
          <c:orientation val="minMax"/>
          <c:max val="16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0124368315900802"/>
              <c:y val="0.91953887229613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950632"/>
        <c:crosses val="autoZero"/>
        <c:crossBetween val="midCat"/>
        <c:majorUnit val="2"/>
      </c:valAx>
      <c:valAx>
        <c:axId val="2131950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lab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(MeV)</a:t>
                </a:r>
              </a:p>
            </c:rich>
          </c:tx>
          <c:layout>
            <c:manualLayout>
              <c:xMode val="edge"/>
              <c:yMode val="edge"/>
              <c:x val="1.61691542288557E-2"/>
              <c:y val="0.433907367182550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942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Rutherford scattering of 7Be on 197Au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'Rutherford Scattering'!$BH$5:$BH$186</c:f>
              <c:numCache>
                <c:formatCode>General</c:formatCode>
                <c:ptCount val="1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</c:numCache>
            </c:numRef>
          </c:xVal>
          <c:yVal>
            <c:numRef>
              <c:f>'Rutherford Scattering'!$BP$5:$BP$186</c:f>
              <c:numCache>
                <c:formatCode>0.00E+00</c:formatCode>
                <c:ptCount val="182"/>
                <c:pt idx="0">
                  <c:v>0</c:v>
                </c:pt>
                <c:pt idx="1">
                  <c:v>41537991.836089306</c:v>
                </c:pt>
                <c:pt idx="2">
                  <c:v>2596519.9372608378</c:v>
                </c:pt>
                <c:pt idx="3">
                  <c:v>513023.04467890819</c:v>
                </c:pt>
                <c:pt idx="4">
                  <c:v>162381.39937530502</c:v>
                </c:pt>
                <c:pt idx="5">
                  <c:v>66541.822099547004</c:v>
                </c:pt>
                <c:pt idx="6">
                  <c:v>32107.92801580322</c:v>
                </c:pt>
                <c:pt idx="7">
                  <c:v>17342.504675612308</c:v>
                </c:pt>
                <c:pt idx="8">
                  <c:v>10173.604758661031</c:v>
                </c:pt>
                <c:pt idx="9">
                  <c:v>6356.8174768177178</c:v>
                </c:pt>
                <c:pt idx="10">
                  <c:v>4174.7348950070909</c:v>
                </c:pt>
                <c:pt idx="11">
                  <c:v>2854.4434872144052</c:v>
                </c:pt>
                <c:pt idx="12">
                  <c:v>2017.7839945963697</c:v>
                </c:pt>
                <c:pt idx="13">
                  <c:v>1466.8236711294787</c:v>
                </c:pt>
                <c:pt idx="14">
                  <c:v>1092.0312089864951</c:v>
                </c:pt>
                <c:pt idx="15">
                  <c:v>829.89330390086934</c:v>
                </c:pt>
                <c:pt idx="16">
                  <c:v>642.08380989897682</c:v>
                </c:pt>
                <c:pt idx="17">
                  <c:v>504.6666292480507</c:v>
                </c:pt>
                <c:pt idx="18">
                  <c:v>402.23806788699164</c:v>
                </c:pt>
                <c:pt idx="19">
                  <c:v>324.62055772356831</c:v>
                </c:pt>
                <c:pt idx="20">
                  <c:v>264.93053426798298</c:v>
                </c:pt>
                <c:pt idx="21">
                  <c:v>218.41414536033992</c:v>
                </c:pt>
                <c:pt idx="22">
                  <c:v>181.72620427274683</c:v>
                </c:pt>
                <c:pt idx="23">
                  <c:v>152.47256209462782</c:v>
                </c:pt>
                <c:pt idx="24">
                  <c:v>128.9131718732641</c:v>
                </c:pt>
                <c:pt idx="25">
                  <c:v>109.76551841770421</c:v>
                </c:pt>
                <c:pt idx="26">
                  <c:v>94.072092236797886</c:v>
                </c:pt>
                <c:pt idx="27">
                  <c:v>81.10953688351988</c:v>
                </c:pt>
                <c:pt idx="28">
                  <c:v>70.325402778393084</c:v>
                </c:pt>
                <c:pt idx="29">
                  <c:v>61.293492316525644</c:v>
                </c:pt>
                <c:pt idx="30">
                  <c:v>53.681916607303435</c:v>
                </c:pt>
                <c:pt idx="31">
                  <c:v>47.229966687646822</c:v>
                </c:pt>
                <c:pt idx="32">
                  <c:v>41.731177108952629</c:v>
                </c:pt>
                <c:pt idx="33">
                  <c:v>37.020792963264782</c:v>
                </c:pt>
                <c:pt idx="34">
                  <c:v>32.966403914714263</c:v>
                </c:pt>
                <c:pt idx="35">
                  <c:v>29.460880254117171</c:v>
                </c:pt>
                <c:pt idx="36">
                  <c:v>26.416998954350554</c:v>
                </c:pt>
                <c:pt idx="37">
                  <c:v>23.763322056183725</c:v>
                </c:pt>
                <c:pt idx="38">
                  <c:v>21.441011251657272</c:v>
                </c:pt>
                <c:pt idx="39">
                  <c:v>19.401348158800435</c:v>
                </c:pt>
                <c:pt idx="40">
                  <c:v>17.603790715392876</c:v>
                </c:pt>
                <c:pt idx="41">
                  <c:v>16.014439893498015</c:v>
                </c:pt>
                <c:pt idx="42">
                  <c:v>14.604822665619658</c:v>
                </c:pt>
                <c:pt idx="43">
                  <c:v>13.350920347492774</c:v>
                </c:pt>
                <c:pt idx="44">
                  <c:v>12.232388534351406</c:v>
                </c:pt>
                <c:pt idx="45">
                  <c:v>11.231927539019015</c:v>
                </c:pt>
                <c:pt idx="46">
                  <c:v>10.334771732864988</c:v>
                </c:pt>
                <c:pt idx="47">
                  <c:v>9.5282733400464856</c:v>
                </c:pt>
                <c:pt idx="48">
                  <c:v>8.8015616555695342</c:v>
                </c:pt>
                <c:pt idx="49">
                  <c:v>8.1452627927495485</c:v>
                </c:pt>
                <c:pt idx="50">
                  <c:v>7.5512682393261521</c:v>
                </c:pt>
                <c:pt idx="51">
                  <c:v>7.0125429513453899</c:v>
                </c:pt>
                <c:pt idx="52">
                  <c:v>6.5229656154804943</c:v>
                </c:pt>
                <c:pt idx="53">
                  <c:v>6.0771951942408808</c:v>
                </c:pt>
                <c:pt idx="54">
                  <c:v>5.6705590321772075</c:v>
                </c:pt>
                <c:pt idx="55">
                  <c:v>5.2989587182367384</c:v>
                </c:pt>
                <c:pt idx="56">
                  <c:v>4.9587906255018508</c:v>
                </c:pt>
                <c:pt idx="57">
                  <c:v>4.6468786270085385</c:v>
                </c:pt>
                <c:pt idx="58">
                  <c:v>4.3604169475969208</c:v>
                </c:pt>
                <c:pt idx="59">
                  <c:v>4.0969214817135775</c:v>
                </c:pt>
                <c:pt idx="60">
                  <c:v>3.8541882050238847</c:v>
                </c:pt>
                <c:pt idx="61">
                  <c:v>3.6302575485543196</c:v>
                </c:pt>
                <c:pt idx="62">
                  <c:v>3.4233837995314902</c:v>
                </c:pt>
                <c:pt idx="63">
                  <c:v>3.2320087522516041</c:v>
                </c:pt>
                <c:pt idx="64">
                  <c:v>3.0547389623875634</c:v>
                </c:pt>
                <c:pt idx="65">
                  <c:v>2.8903260647968243</c:v>
                </c:pt>
                <c:pt idx="66">
                  <c:v>2.7376497026323539</c:v>
                </c:pt>
                <c:pt idx="67">
                  <c:v>2.5957026879644216</c:v>
                </c:pt>
                <c:pt idx="68">
                  <c:v>2.4635780740548094</c:v>
                </c:pt>
                <c:pt idx="69">
                  <c:v>2.3404578691820688</c:v>
                </c:pt>
                <c:pt idx="70">
                  <c:v>2.2256031633434676</c:v>
                </c:pt>
                <c:pt idx="71">
                  <c:v>2.1183454737465941</c:v>
                </c:pt>
                <c:pt idx="72">
                  <c:v>2.0180791439582948</c:v>
                </c:pt>
                <c:pt idx="73">
                  <c:v>1.9242546558816267</c:v>
                </c:pt>
                <c:pt idx="74">
                  <c:v>1.836372734181996</c:v>
                </c:pt>
                <c:pt idx="75">
                  <c:v>1.7539791400346643</c:v>
                </c:pt>
                <c:pt idx="76">
                  <c:v>1.6766600656530841</c:v>
                </c:pt>
                <c:pt idx="77">
                  <c:v>1.6040380534209844</c:v>
                </c:pt>
                <c:pt idx="78">
                  <c:v>1.5357683739537216</c:v>
                </c:pt>
                <c:pt idx="79">
                  <c:v>1.4715358063558108</c:v>
                </c:pt>
                <c:pt idx="80">
                  <c:v>1.4110517715703306</c:v>
                </c:pt>
                <c:pt idx="81">
                  <c:v>1.3540517762382684</c:v>
                </c:pt>
                <c:pt idx="82">
                  <c:v>1.300293130073793</c:v>
                </c:pt>
                <c:pt idx="83">
                  <c:v>1.2495529045581562</c:v>
                </c:pt>
                <c:pt idx="84">
                  <c:v>1.2016261048806434</c:v>
                </c:pt>
                <c:pt idx="85">
                  <c:v>1.1563240306100699</c:v>
                </c:pt>
                <c:pt idx="86">
                  <c:v>1.1134728036494943</c:v>
                </c:pt>
                <c:pt idx="87">
                  <c:v>1.0729120446811946</c:v>
                </c:pt>
                <c:pt idx="88">
                  <c:v>1.0344936816086234</c:v>
                </c:pt>
                <c:pt idx="89">
                  <c:v>0.99808087549785207</c:v>
                </c:pt>
                <c:pt idx="90">
                  <c:v>0.96354705125597118</c:v>
                </c:pt>
                <c:pt idx="91">
                  <c:v>0.93077502179461968</c:v>
                </c:pt>
                <c:pt idx="92">
                  <c:v>0.89965619574430977</c:v>
                </c:pt>
                <c:pt idx="93">
                  <c:v>0.87008985993602228</c:v>
                </c:pt>
                <c:pt idx="94">
                  <c:v>0.84198252887334279</c:v>
                </c:pt>
                <c:pt idx="95">
                  <c:v>0.81524735430040296</c:v>
                </c:pt>
                <c:pt idx="96">
                  <c:v>0.78980358874485324</c:v>
                </c:pt>
                <c:pt idx="97">
                  <c:v>0.76557609759504575</c:v>
                </c:pt>
                <c:pt idx="98">
                  <c:v>0.74249491486896146</c:v>
                </c:pt>
                <c:pt idx="99">
                  <c:v>0.72049483835957606</c:v>
                </c:pt>
                <c:pt idx="100">
                  <c:v>0.69951506030645749</c:v>
                </c:pt>
                <c:pt idx="101">
                  <c:v>0.67949883015430368</c:v>
                </c:pt>
                <c:pt idx="102">
                  <c:v>0.66039314632256274</c:v>
                </c:pt>
                <c:pt idx="103">
                  <c:v>0.64214847423219545</c:v>
                </c:pt>
                <c:pt idx="104">
                  <c:v>0.62471848812109176</c:v>
                </c:pt>
                <c:pt idx="105">
                  <c:v>0.6080598344330933</c:v>
                </c:pt>
                <c:pt idx="106">
                  <c:v>0.59213191479085148</c:v>
                </c:pt>
                <c:pt idx="107">
                  <c:v>0.57689668676323891</c:v>
                </c:pt>
                <c:pt idx="108">
                  <c:v>0.56231848081664226</c:v>
                </c:pt>
                <c:pt idx="109">
                  <c:v>0.5483638319987918</c:v>
                </c:pt>
                <c:pt idx="110">
                  <c:v>0.53500132504602704</c:v>
                </c:pt>
                <c:pt idx="111">
                  <c:v>0.52220145173206933</c:v>
                </c:pt>
                <c:pt idx="112">
                  <c:v>0.50993647939015163</c:v>
                </c:pt>
                <c:pt idx="113">
                  <c:v>0.49818032964227688</c:v>
                </c:pt>
                <c:pt idx="114">
                  <c:v>0.48690846646077762</c:v>
                </c:pt>
                <c:pt idx="115">
                  <c:v>0.47609779276936814</c:v>
                </c:pt>
                <c:pt idx="116">
                  <c:v>0.46572655486458397</c:v>
                </c:pt>
                <c:pt idx="117">
                  <c:v>0.45577425400478427</c:v>
                </c:pt>
                <c:pt idx="118">
                  <c:v>0.44622156457354883</c:v>
                </c:pt>
                <c:pt idx="119">
                  <c:v>0.43705025827806099</c:v>
                </c:pt>
                <c:pt idx="120">
                  <c:v>0.42824313389154273</c:v>
                </c:pt>
                <c:pt idx="121">
                  <c:v>0.41978395209257019</c:v>
                </c:pt>
                <c:pt idx="122">
                  <c:v>0.4116573749936307</c:v>
                </c:pt>
                <c:pt idx="123">
                  <c:v>0.40384890998702383</c:v>
                </c:pt>
                <c:pt idx="124">
                  <c:v>0.39634485756857735</c:v>
                </c:pt>
                <c:pt idx="125">
                  <c:v>0.38913226282892971</c:v>
                </c:pt>
                <c:pt idx="126">
                  <c:v>0.3821988703287208</c:v>
                </c:pt>
                <c:pt idx="127">
                  <c:v>0.37553308209811109</c:v>
                </c:pt>
                <c:pt idx="128">
                  <c:v>0.36912391852295595</c:v>
                </c:pt>
                <c:pt idx="129">
                  <c:v>0.36296098189982706</c:v>
                </c:pt>
                <c:pt idx="130">
                  <c:v>0.3570344224601808</c:v>
                </c:pt>
                <c:pt idx="131">
                  <c:v>0.35133490668042067</c:v>
                </c:pt>
                <c:pt idx="132">
                  <c:v>0.34585358770959751</c:v>
                </c:pt>
                <c:pt idx="133">
                  <c:v>0.34058207776016491</c:v>
                </c:pt>
                <c:pt idx="134">
                  <c:v>0.33551242231966882</c:v>
                </c:pt>
                <c:pt idx="135">
                  <c:v>0.33063707605263409</c:v>
                </c:pt>
                <c:pt idx="136">
                  <c:v>0.32594888027231045</c:v>
                </c:pt>
                <c:pt idx="137">
                  <c:v>0.32144104187144501</c:v>
                </c:pt>
                <c:pt idx="138">
                  <c:v>0.31710711360994609</c:v>
                </c:pt>
                <c:pt idx="139">
                  <c:v>0.31294097566526435</c:v>
                </c:pt>
                <c:pt idx="140">
                  <c:v>0.30893681835861636</c:v>
                </c:pt>
                <c:pt idx="141">
                  <c:v>0.30508912597685761</c:v>
                </c:pt>
                <c:pt idx="142">
                  <c:v>0.30139266161595785</c:v>
                </c:pt>
                <c:pt idx="143">
                  <c:v>0.29784245297765222</c:v>
                </c:pt>
                <c:pt idx="144">
                  <c:v>0.29443377905603513</c:v>
                </c:pt>
                <c:pt idx="145">
                  <c:v>0.29116215765560732</c:v>
                </c:pt>
                <c:pt idx="146">
                  <c:v>0.28802333368667643</c:v>
                </c:pt>
                <c:pt idx="147">
                  <c:v>0.28501326818803635</c:v>
                </c:pt>
                <c:pt idx="148">
                  <c:v>0.28212812803057141</c:v>
                </c:pt>
                <c:pt idx="149">
                  <c:v>0.27936427625885141</c:v>
                </c:pt>
                <c:pt idx="150">
                  <c:v>0.27671826303094832</c:v>
                </c:pt>
                <c:pt idx="151">
                  <c:v>0.27418681711962406</c:v>
                </c:pt>
                <c:pt idx="152">
                  <c:v>0.27176683794073175</c:v>
                </c:pt>
                <c:pt idx="153">
                  <c:v>0.26945538807717806</c:v>
                </c:pt>
                <c:pt idx="154">
                  <c:v>0.26724968626909157</c:v>
                </c:pt>
                <c:pt idx="155">
                  <c:v>0.26514710084299203</c:v>
                </c:pt>
                <c:pt idx="156">
                  <c:v>0.26314514355473712</c:v>
                </c:pt>
                <c:pt idx="157">
                  <c:v>0.26124146382285995</c:v>
                </c:pt>
                <c:pt idx="158">
                  <c:v>0.25943384333063402</c:v>
                </c:pt>
                <c:pt idx="159">
                  <c:v>0.25772019097677884</c:v>
                </c:pt>
                <c:pt idx="160">
                  <c:v>0.25609853815621769</c:v>
                </c:pt>
                <c:pt idx="161">
                  <c:v>0.25456703435366607</c:v>
                </c:pt>
                <c:pt idx="162">
                  <c:v>0.25312394303413183</c:v>
                </c:pt>
                <c:pt idx="163">
                  <c:v>0.25176763781560402</c:v>
                </c:pt>
                <c:pt idx="164">
                  <c:v>0.25049659891034132</c:v>
                </c:pt>
                <c:pt idx="165">
                  <c:v>0.24930940982222813</c:v>
                </c:pt>
                <c:pt idx="166">
                  <c:v>0.24820475428865557</c:v>
                </c:pt>
                <c:pt idx="167">
                  <c:v>0.24718141345632855</c:v>
                </c:pt>
                <c:pt idx="168">
                  <c:v>0.24623826328126891</c:v>
                </c:pt>
                <c:pt idx="169">
                  <c:v>0.24537427214412821</c:v>
                </c:pt>
                <c:pt idx="170">
                  <c:v>0.24458849867270474</c:v>
                </c:pt>
                <c:pt idx="171">
                  <c:v>0.24388008976430986</c:v>
                </c:pt>
                <c:pt idx="172">
                  <c:v>0.24324827880134159</c:v>
                </c:pt>
                <c:pt idx="173">
                  <c:v>0.24269238405409965</c:v>
                </c:pt>
                <c:pt idx="174">
                  <c:v>0.24221180726553193</c:v>
                </c:pt>
                <c:pt idx="175">
                  <c:v>0.24180603241322232</c:v>
                </c:pt>
                <c:pt idx="176">
                  <c:v>0.24147462464453559</c:v>
                </c:pt>
                <c:pt idx="177">
                  <c:v>0.24121722938141618</c:v>
                </c:pt>
                <c:pt idx="178">
                  <c:v>0.24103357159190664</c:v>
                </c:pt>
                <c:pt idx="179">
                  <c:v>0.24092345522600134</c:v>
                </c:pt>
                <c:pt idx="180">
                  <c:v>0.24088676281399268</c:v>
                </c:pt>
                <c:pt idx="181">
                  <c:v>0.24092345522600134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BF-4FE2-AB21-66CE9B3EC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270824"/>
        <c:axId val="395273120"/>
      </c:scatterChart>
      <c:valAx>
        <c:axId val="395270824"/>
        <c:scaling>
          <c:orientation val="minMax"/>
          <c:max val="180"/>
          <c:min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Scattering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73120"/>
        <c:crosses val="autoZero"/>
        <c:crossBetween val="midCat"/>
      </c:valAx>
      <c:valAx>
        <c:axId val="39527312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particles scattered into detector per second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70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S2_near kinematics</a:t>
            </a:r>
          </a:p>
        </c:rich>
      </c:tx>
      <c:layout>
        <c:manualLayout>
          <c:xMode val="edge"/>
          <c:yMode val="edge"/>
          <c:x val="0.41770941168446302"/>
          <c:y val="2.707581227436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22913199538401E-2"/>
          <c:y val="0.128158929482314"/>
          <c:w val="0.88161704294443499"/>
          <c:h val="0.767148521549059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Detectors!$X$15</c:f>
              <c:strCache>
                <c:ptCount val="1"/>
                <c:pt idx="0">
                  <c:v>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Detectors!$Y$17:$Y$64</c:f>
              <c:numCache>
                <c:formatCode>0.000</c:formatCode>
                <c:ptCount val="48"/>
                <c:pt idx="0">
                  <c:v>2.9798353874752883</c:v>
                </c:pt>
                <c:pt idx="1">
                  <c:v>2.9783708091741916</c:v>
                </c:pt>
                <c:pt idx="2">
                  <c:v>2.976881919630054</c:v>
                </c:pt>
                <c:pt idx="3">
                  <c:v>2.9753715189393586</c:v>
                </c:pt>
                <c:pt idx="4">
                  <c:v>2.9738423127014078</c:v>
                </c:pt>
                <c:pt idx="5">
                  <c:v>2.9722969057601243</c:v>
                </c:pt>
                <c:pt idx="6">
                  <c:v>2.9707377972227991</c:v>
                </c:pt>
                <c:pt idx="7">
                  <c:v>2.9691673766772135</c:v>
                </c:pt>
                <c:pt idx="8">
                  <c:v>2.9675879215213135</c:v>
                </c:pt>
                <c:pt idx="9">
                  <c:v>2.9660015953146988</c:v>
                </c:pt>
                <c:pt idx="10">
                  <c:v>2.9644104470586408</c:v>
                </c:pt>
                <c:pt idx="11">
                  <c:v>2.9628164113106408</c:v>
                </c:pt>
                <c:pt idx="12">
                  <c:v>2.9612213090405946</c:v>
                </c:pt>
                <c:pt idx="13">
                  <c:v>2.959626849138004</c:v>
                </c:pt>
                <c:pt idx="14">
                  <c:v>2.9580346304832084</c:v>
                </c:pt>
                <c:pt idx="15">
                  <c:v>2.956446144499997</c:v>
                </c:pt>
                <c:pt idx="16">
                  <c:v>2.9548627781120129</c:v>
                </c:pt>
                <c:pt idx="17">
                  <c:v>2.9532858170308214</c:v>
                </c:pt>
                <c:pt idx="18">
                  <c:v>2.9517164493093047</c:v>
                </c:pt>
                <c:pt idx="19">
                  <c:v>2.9501557690998519</c:v>
                </c:pt>
                <c:pt idx="20">
                  <c:v>2.9486047805627393</c:v>
                </c:pt>
                <c:pt idx="21">
                  <c:v>2.9470644018757941</c:v>
                </c:pt>
                <c:pt idx="22">
                  <c:v>2.9455354693019968</c:v>
                </c:pt>
                <c:pt idx="23">
                  <c:v>2.9440187412769854</c:v>
                </c:pt>
                <c:pt idx="24">
                  <c:v>2.9425149024834019</c:v>
                </c:pt>
                <c:pt idx="25">
                  <c:v>2.9410245678836779</c:v>
                </c:pt>
                <c:pt idx="26">
                  <c:v>2.9395482866871814</c:v>
                </c:pt>
                <c:pt idx="27">
                  <c:v>2.938086546231554</c:v>
                </c:pt>
                <c:pt idx="28">
                  <c:v>2.9366397757617002</c:v>
                </c:pt>
                <c:pt idx="29">
                  <c:v>2.9352083500930668</c:v>
                </c:pt>
                <c:pt idx="30">
                  <c:v>2.9337925931487825</c:v>
                </c:pt>
                <c:pt idx="31">
                  <c:v>2.9323927813627657</c:v>
                </c:pt>
                <c:pt idx="32">
                  <c:v>2.9310091469431736</c:v>
                </c:pt>
                <c:pt idx="33">
                  <c:v>2.9296418809925235</c:v>
                </c:pt>
                <c:pt idx="34">
                  <c:v>2.9282911364825495</c:v>
                </c:pt>
                <c:pt idx="35">
                  <c:v>2.9269570310832789</c:v>
                </c:pt>
                <c:pt idx="36">
                  <c:v>2.9256396498471053</c:v>
                </c:pt>
                <c:pt idx="37">
                  <c:v>2.9243390477496285</c:v>
                </c:pt>
                <c:pt idx="38">
                  <c:v>2.9230552520899362</c:v>
                </c:pt>
                <c:pt idx="39">
                  <c:v>2.921788264753685</c:v>
                </c:pt>
                <c:pt idx="40">
                  <c:v>2.9205380643429182</c:v>
                </c:pt>
                <c:pt idx="41">
                  <c:v>2.9193046081769727</c:v>
                </c:pt>
                <c:pt idx="42">
                  <c:v>2.9180878341692131</c:v>
                </c:pt>
                <c:pt idx="43">
                  <c:v>2.9168876625844988</c:v>
                </c:pt>
                <c:pt idx="44">
                  <c:v>2.9157039976825128</c:v>
                </c:pt>
                <c:pt idx="45">
                  <c:v>2.9145367292521356</c:v>
                </c:pt>
                <c:pt idx="46">
                  <c:v>2.913385734042083</c:v>
                </c:pt>
                <c:pt idx="47">
                  <c:v>2.9122508770930153</c:v>
                </c:pt>
              </c:numCache>
            </c:numRef>
          </c:xVal>
          <c:yVal>
            <c:numRef>
              <c:f>Detectors!$L$17:$L$64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1E-4FA1-A5DF-491284FB87FC}"/>
            </c:ext>
          </c:extLst>
        </c:ser>
        <c:ser>
          <c:idx val="2"/>
          <c:order val="1"/>
          <c:tx>
            <c:strRef>
              <c:f>Detectors!$X$15</c:f>
              <c:strCache>
                <c:ptCount val="1"/>
                <c:pt idx="0">
                  <c:v>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Detectors!$AA$17:$AA$64</c:f>
              <c:numCache>
                <c:formatCode>0.000</c:formatCode>
                <c:ptCount val="48"/>
                <c:pt idx="0">
                  <c:v>2.9798353874752883</c:v>
                </c:pt>
                <c:pt idx="1">
                  <c:v>2.9783708091741916</c:v>
                </c:pt>
                <c:pt idx="2">
                  <c:v>2.976881919630054</c:v>
                </c:pt>
                <c:pt idx="3">
                  <c:v>2.9753715189393586</c:v>
                </c:pt>
                <c:pt idx="4">
                  <c:v>2.9738423127014078</c:v>
                </c:pt>
                <c:pt idx="5">
                  <c:v>2.9722969057601243</c:v>
                </c:pt>
                <c:pt idx="6">
                  <c:v>2.9707377972227991</c:v>
                </c:pt>
                <c:pt idx="7">
                  <c:v>2.9691673766772135</c:v>
                </c:pt>
                <c:pt idx="8">
                  <c:v>2.9675879215213135</c:v>
                </c:pt>
                <c:pt idx="9">
                  <c:v>2.9660015953146988</c:v>
                </c:pt>
                <c:pt idx="10">
                  <c:v>2.9644104470586408</c:v>
                </c:pt>
                <c:pt idx="11">
                  <c:v>2.9628164113106408</c:v>
                </c:pt>
                <c:pt idx="12">
                  <c:v>2.9612213090405946</c:v>
                </c:pt>
                <c:pt idx="13">
                  <c:v>2.959626849138004</c:v>
                </c:pt>
                <c:pt idx="14">
                  <c:v>2.9580346304832084</c:v>
                </c:pt>
                <c:pt idx="15">
                  <c:v>2.956446144499997</c:v>
                </c:pt>
                <c:pt idx="16">
                  <c:v>2.9548627781120129</c:v>
                </c:pt>
                <c:pt idx="17">
                  <c:v>2.9532858170308214</c:v>
                </c:pt>
                <c:pt idx="18">
                  <c:v>2.9517164493093047</c:v>
                </c:pt>
                <c:pt idx="19">
                  <c:v>2.9501557690998519</c:v>
                </c:pt>
                <c:pt idx="20">
                  <c:v>2.9486047805627393</c:v>
                </c:pt>
                <c:pt idx="21">
                  <c:v>2.9470644018757941</c:v>
                </c:pt>
                <c:pt idx="22">
                  <c:v>2.9455354693019968</c:v>
                </c:pt>
                <c:pt idx="23">
                  <c:v>2.9440187412769854</c:v>
                </c:pt>
                <c:pt idx="24">
                  <c:v>2.9425149024834019</c:v>
                </c:pt>
                <c:pt idx="25">
                  <c:v>2.9410245678836779</c:v>
                </c:pt>
                <c:pt idx="26">
                  <c:v>2.9395482866871814</c:v>
                </c:pt>
                <c:pt idx="27">
                  <c:v>2.938086546231554</c:v>
                </c:pt>
                <c:pt idx="28">
                  <c:v>2.9366397757617002</c:v>
                </c:pt>
                <c:pt idx="29">
                  <c:v>2.9352083500930668</c:v>
                </c:pt>
                <c:pt idx="30">
                  <c:v>2.9337925931487825</c:v>
                </c:pt>
                <c:pt idx="31">
                  <c:v>2.9323927813627657</c:v>
                </c:pt>
                <c:pt idx="32">
                  <c:v>2.9310091469431736</c:v>
                </c:pt>
                <c:pt idx="33">
                  <c:v>2.9296418809925235</c:v>
                </c:pt>
                <c:pt idx="34">
                  <c:v>2.9282911364825495</c:v>
                </c:pt>
                <c:pt idx="35">
                  <c:v>2.9269570310832789</c:v>
                </c:pt>
                <c:pt idx="36">
                  <c:v>2.9256396498471053</c:v>
                </c:pt>
                <c:pt idx="37">
                  <c:v>2.9243390477496285</c:v>
                </c:pt>
                <c:pt idx="38">
                  <c:v>2.9230552520899362</c:v>
                </c:pt>
                <c:pt idx="39">
                  <c:v>2.921788264753685</c:v>
                </c:pt>
                <c:pt idx="40">
                  <c:v>2.9205380643429182</c:v>
                </c:pt>
                <c:pt idx="41">
                  <c:v>2.9193046081769727</c:v>
                </c:pt>
                <c:pt idx="42">
                  <c:v>2.9180878341692131</c:v>
                </c:pt>
                <c:pt idx="43">
                  <c:v>2.9168876625844988</c:v>
                </c:pt>
                <c:pt idx="44">
                  <c:v>2.9157039976825128</c:v>
                </c:pt>
                <c:pt idx="45">
                  <c:v>2.9145367292521356</c:v>
                </c:pt>
                <c:pt idx="46">
                  <c:v>2.913385734042083</c:v>
                </c:pt>
                <c:pt idx="47">
                  <c:v>2.9122508770930153</c:v>
                </c:pt>
              </c:numCache>
            </c:numRef>
          </c:xVal>
          <c:yVal>
            <c:numRef>
              <c:f>Detectors!$L$17:$L$64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1E-4FA1-A5DF-491284FB87FC}"/>
            </c:ext>
          </c:extLst>
        </c:ser>
        <c:ser>
          <c:idx val="3"/>
          <c:order val="2"/>
          <c:tx>
            <c:strRef>
              <c:f>Detectors!$R$15</c:f>
              <c:strCache>
                <c:ptCount val="1"/>
                <c:pt idx="0">
                  <c:v>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Detectors!$S$17:$S$64</c:f>
              <c:numCache>
                <c:formatCode>0.000</c:formatCode>
                <c:ptCount val="48"/>
                <c:pt idx="0">
                  <c:v>0.32666165176442624</c:v>
                </c:pt>
                <c:pt idx="1">
                  <c:v>0.32170135115964843</c:v>
                </c:pt>
                <c:pt idx="2">
                  <c:v>0.31669517931688579</c:v>
                </c:pt>
                <c:pt idx="3">
                  <c:v>0.31165430378717235</c:v>
                </c:pt>
                <c:pt idx="4">
                  <c:v>0.30658932948275575</c:v>
                </c:pt>
                <c:pt idx="5">
                  <c:v>0.30151028010412234</c:v>
                </c:pt>
                <c:pt idx="6">
                  <c:v>0.29642658628849522</c:v>
                </c:pt>
                <c:pt idx="7">
                  <c:v>0.29134707989351771</c:v>
                </c:pt>
                <c:pt idx="8">
                  <c:v>0.28627999380712599</c:v>
                </c:pt>
                <c:pt idx="9">
                  <c:v>0.28123296666698017</c:v>
                </c:pt>
                <c:pt idx="10">
                  <c:v>0.27621305187815437</c:v>
                </c:pt>
                <c:pt idx="11">
                  <c:v>0.27122673033389111</c:v>
                </c:pt>
                <c:pt idx="12">
                  <c:v>0.26627992626904257</c:v>
                </c:pt>
                <c:pt idx="13">
                  <c:v>0.26137802570735613</c:v>
                </c:pt>
                <c:pt idx="14">
                  <c:v>0.25652589700023415</c:v>
                </c:pt>
                <c:pt idx="15">
                  <c:v>0.25172791299437364</c:v>
                </c:pt>
                <c:pt idx="16">
                  <c:v>0.24698797440738224</c:v>
                </c:pt>
                <c:pt idx="17">
                  <c:v>0.24230953403285274</c:v>
                </c:pt>
                <c:pt idx="18">
                  <c:v>0.23769562143847914</c:v>
                </c:pt>
                <c:pt idx="19">
                  <c:v>0.23314886786179528</c:v>
                </c:pt>
                <c:pt idx="20">
                  <c:v>0.22867153104739199</c:v>
                </c:pt>
                <c:pt idx="21">
                  <c:v>0.22426551980655027</c:v>
                </c:pt>
                <c:pt idx="22">
                  <c:v>0.21993241811478362</c:v>
                </c:pt>
                <c:pt idx="23">
                  <c:v>0.21567350859461568</c:v>
                </c:pt>
                <c:pt idx="24">
                  <c:v>0.21148979525990214</c:v>
                </c:pt>
                <c:pt idx="25">
                  <c:v>0.20738202542414202</c:v>
                </c:pt>
                <c:pt idx="26">
                  <c:v>0.20335071069852942</c:v>
                </c:pt>
                <c:pt idx="27">
                  <c:v>0.19939614702608327</c:v>
                </c:pt>
                <c:pt idx="28">
                  <c:v>0.19551843371619032</c:v>
                </c:pt>
                <c:pt idx="29">
                  <c:v>0.19171749145945483</c:v>
                </c:pt>
                <c:pt idx="30">
                  <c:v>0.18799307931606182</c:v>
                </c:pt>
                <c:pt idx="31">
                  <c:v>0.18434481068210187</c:v>
                </c:pt>
                <c:pt idx="32">
                  <c:v>0.18077216824767303</c:v>
                </c:pt>
                <c:pt idx="33">
                  <c:v>0.17727451796825777</c:v>
                </c:pt>
                <c:pt idx="34">
                  <c:v>0.17385112207704986</c:v>
                </c:pt>
                <c:pt idx="35">
                  <c:v>0.17050115117076137</c:v>
                </c:pt>
                <c:pt idx="36">
                  <c:v>0.16722369540512602</c:v>
                </c:pt>
                <c:pt idx="37">
                  <c:v>0.1640177748390004</c:v>
                </c:pt>
                <c:pt idx="38">
                  <c:v>0.16088234896777565</c:v>
                </c:pt>
                <c:pt idx="39">
                  <c:v>0.15781632548788999</c:v>
                </c:pt>
                <c:pt idx="40">
                  <c:v>0.1548185683346833</c:v>
                </c:pt>
                <c:pt idx="41">
                  <c:v>0.15188790503576741</c:v>
                </c:pt>
                <c:pt idx="42">
                  <c:v>0.14902313342159232</c:v>
                </c:pt>
                <c:pt idx="43">
                  <c:v>0.14622302773404791</c:v>
                </c:pt>
                <c:pt idx="44">
                  <c:v>0.14348634417282405</c:v>
                </c:pt>
                <c:pt idx="45">
                  <c:v>0.14081182591792374</c:v>
                </c:pt>
                <c:pt idx="46">
                  <c:v>0.13819820766523319</c:v>
                </c:pt>
                <c:pt idx="47">
                  <c:v>0.13564421971044988</c:v>
                </c:pt>
              </c:numCache>
            </c:numRef>
          </c:xVal>
          <c:yVal>
            <c:numRef>
              <c:f>Detectors!$L$17:$L$64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1E-4FA1-A5DF-491284FB87FC}"/>
            </c:ext>
          </c:extLst>
        </c:ser>
        <c:ser>
          <c:idx val="0"/>
          <c:order val="3"/>
          <c:tx>
            <c:strRef>
              <c:f>Detectors!$R$15</c:f>
              <c:strCache>
                <c:ptCount val="1"/>
                <c:pt idx="0">
                  <c:v>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Detectors!$U$17:$U$64</c:f>
              <c:numCache>
                <c:formatCode>0.000</c:formatCode>
                <c:ptCount val="48"/>
                <c:pt idx="0">
                  <c:v>0.32666165176442624</c:v>
                </c:pt>
                <c:pt idx="1">
                  <c:v>0.32170135115964843</c:v>
                </c:pt>
                <c:pt idx="2">
                  <c:v>0.31669517931688579</c:v>
                </c:pt>
                <c:pt idx="3">
                  <c:v>0.31165430378717235</c:v>
                </c:pt>
                <c:pt idx="4">
                  <c:v>0.30658932948275575</c:v>
                </c:pt>
                <c:pt idx="5">
                  <c:v>0.30151028010412234</c:v>
                </c:pt>
                <c:pt idx="6">
                  <c:v>0.29642658628849522</c:v>
                </c:pt>
                <c:pt idx="7">
                  <c:v>0.29134707989351771</c:v>
                </c:pt>
                <c:pt idx="8">
                  <c:v>0.28627999380712599</c:v>
                </c:pt>
                <c:pt idx="9">
                  <c:v>0.28123296666698017</c:v>
                </c:pt>
                <c:pt idx="10">
                  <c:v>0.27621305187815437</c:v>
                </c:pt>
                <c:pt idx="11">
                  <c:v>0.27122673033389111</c:v>
                </c:pt>
                <c:pt idx="12">
                  <c:v>0.26627992626904257</c:v>
                </c:pt>
                <c:pt idx="13">
                  <c:v>0.26137802570735613</c:v>
                </c:pt>
                <c:pt idx="14">
                  <c:v>0.25652589700023415</c:v>
                </c:pt>
                <c:pt idx="15">
                  <c:v>0.25172791299437364</c:v>
                </c:pt>
                <c:pt idx="16">
                  <c:v>0.24698797440738224</c:v>
                </c:pt>
                <c:pt idx="17">
                  <c:v>0.24230953403285274</c:v>
                </c:pt>
                <c:pt idx="18">
                  <c:v>0.23769562143847914</c:v>
                </c:pt>
                <c:pt idx="19">
                  <c:v>0.23314886786179528</c:v>
                </c:pt>
                <c:pt idx="20">
                  <c:v>0.22867153104739199</c:v>
                </c:pt>
                <c:pt idx="21">
                  <c:v>0.22426551980655027</c:v>
                </c:pt>
                <c:pt idx="22">
                  <c:v>0.21993241811478362</c:v>
                </c:pt>
                <c:pt idx="23">
                  <c:v>0.21567350859461568</c:v>
                </c:pt>
                <c:pt idx="24">
                  <c:v>0.21148979525990214</c:v>
                </c:pt>
                <c:pt idx="25">
                  <c:v>0.20738202542414202</c:v>
                </c:pt>
                <c:pt idx="26">
                  <c:v>0.20335071069852942</c:v>
                </c:pt>
                <c:pt idx="27">
                  <c:v>0.19939614702608327</c:v>
                </c:pt>
                <c:pt idx="28">
                  <c:v>0.19551843371619032</c:v>
                </c:pt>
                <c:pt idx="29">
                  <c:v>0.19171749145945483</c:v>
                </c:pt>
                <c:pt idx="30">
                  <c:v>0.18799307931606182</c:v>
                </c:pt>
                <c:pt idx="31">
                  <c:v>0.18434481068210187</c:v>
                </c:pt>
                <c:pt idx="32">
                  <c:v>0.18077216824767303</c:v>
                </c:pt>
                <c:pt idx="33">
                  <c:v>0.17727451796825777</c:v>
                </c:pt>
                <c:pt idx="34">
                  <c:v>0.17385112207704986</c:v>
                </c:pt>
                <c:pt idx="35">
                  <c:v>0.17050115117076137</c:v>
                </c:pt>
                <c:pt idx="36">
                  <c:v>0.16722369540512602</c:v>
                </c:pt>
                <c:pt idx="37">
                  <c:v>0.1640177748390004</c:v>
                </c:pt>
                <c:pt idx="38">
                  <c:v>0.16088234896777565</c:v>
                </c:pt>
                <c:pt idx="39">
                  <c:v>0.15781632548788999</c:v>
                </c:pt>
                <c:pt idx="40">
                  <c:v>0.1548185683346833</c:v>
                </c:pt>
                <c:pt idx="41">
                  <c:v>0.15188790503576741</c:v>
                </c:pt>
                <c:pt idx="42">
                  <c:v>0.14902313342159232</c:v>
                </c:pt>
                <c:pt idx="43">
                  <c:v>0.14622302773404791</c:v>
                </c:pt>
                <c:pt idx="44">
                  <c:v>0.14348634417282405</c:v>
                </c:pt>
                <c:pt idx="45">
                  <c:v>0.14081182591792374</c:v>
                </c:pt>
                <c:pt idx="46">
                  <c:v>0.13819820766523319</c:v>
                </c:pt>
                <c:pt idx="47">
                  <c:v>0.13564421971044988</c:v>
                </c:pt>
              </c:numCache>
            </c:numRef>
          </c:xVal>
          <c:yVal>
            <c:numRef>
              <c:f>Detectors!$L$17:$L$64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1E-4FA1-A5DF-491284FB8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907960"/>
        <c:axId val="2132917704"/>
      </c:scatterChart>
      <c:valAx>
        <c:axId val="2132907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[lab] (MeV)</a:t>
                </a:r>
              </a:p>
            </c:rich>
          </c:tx>
          <c:layout>
            <c:manualLayout>
              <c:xMode val="edge"/>
              <c:yMode val="edge"/>
              <c:x val="0.451395648450585"/>
              <c:y val="0.935018619062509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2917704"/>
        <c:crosses val="autoZero"/>
        <c:crossBetween val="midCat"/>
        <c:majorUnit val="1"/>
      </c:valAx>
      <c:valAx>
        <c:axId val="2132917704"/>
        <c:scaling>
          <c:orientation val="minMax"/>
          <c:max val="47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1.2512030798844999E-2"/>
              <c:y val="0.46389920122800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2907960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87688040438601"/>
          <c:y val="0.43501833480201302"/>
          <c:w val="4.13859480269489E-2"/>
          <c:h val="0.15342974501833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LEDA_near kinematics</a:t>
            </a:r>
          </a:p>
        </c:rich>
      </c:tx>
      <c:layout>
        <c:manualLayout>
          <c:xMode val="edge"/>
          <c:yMode val="edge"/>
          <c:x val="0.40480784373107198"/>
          <c:y val="2.7372262773722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15384656014541E-2"/>
          <c:y val="0.11496350364963499"/>
          <c:w val="0.93269263611754305"/>
          <c:h val="0.86496350364963503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132974024"/>
        <c:axId val="2132977736"/>
      </c:scatterChart>
      <c:valAx>
        <c:axId val="21329740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2977736"/>
        <c:crosses val="autoZero"/>
        <c:crossBetween val="midCat"/>
      </c:valAx>
      <c:valAx>
        <c:axId val="2132977736"/>
        <c:scaling>
          <c:orientation val="minMax"/>
          <c:max val="47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297402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92337976983599"/>
          <c:y val="0.46532846715328502"/>
          <c:w val="4.1346153846153803E-2"/>
          <c:h val="0.16605839416058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CD_near kinematics</a:t>
            </a:r>
          </a:p>
        </c:rich>
      </c:tx>
      <c:layout>
        <c:manualLayout>
          <c:xMode val="edge"/>
          <c:yMode val="edge"/>
          <c:x val="0.41538476680799502"/>
          <c:y val="2.7027027027027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69250407028299E-2"/>
          <c:y val="0.127927815378822"/>
          <c:w val="0.88076954091099902"/>
          <c:h val="0.76756689227293395"/>
        </c:manualLayout>
      </c:layout>
      <c:scatterChart>
        <c:scatterStyle val="lineMarker"/>
        <c:varyColors val="0"/>
        <c:ser>
          <c:idx val="1"/>
          <c:order val="0"/>
          <c:tx>
            <c:strRef>
              <c:f>Detectors!$X$190</c:f>
              <c:strCache>
                <c:ptCount val="1"/>
                <c:pt idx="0">
                  <c:v>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Detectors!$Y$192:$Y$207</c:f>
              <c:numCache>
                <c:formatCode>0.000</c:formatCode>
                <c:ptCount val="16"/>
                <c:pt idx="0">
                  <c:v>2.9999339095680817</c:v>
                </c:pt>
                <c:pt idx="1">
                  <c:v>2.9999046903098954</c:v>
                </c:pt>
                <c:pt idx="2">
                  <c:v>2.9998701500292522</c:v>
                </c:pt>
                <c:pt idx="3">
                  <c:v>2.9998302966558912</c:v>
                </c:pt>
                <c:pt idx="4">
                  <c:v>2.9997851393306885</c:v>
                </c:pt>
                <c:pt idx="5">
                  <c:v>2.9997346883998843</c:v>
                </c:pt>
                <c:pt idx="6">
                  <c:v>2.9996789554085397</c:v>
                </c:pt>
                <c:pt idx="7">
                  <c:v>2.9996179530932596</c:v>
                </c:pt>
                <c:pt idx="8">
                  <c:v>2.9995516953741728</c:v>
                </c:pt>
                <c:pt idx="9">
                  <c:v>2.9994801973461933</c:v>
                </c:pt>
                <c:pt idx="10">
                  <c:v>2.9994034752695642</c:v>
                </c:pt>
                <c:pt idx="11">
                  <c:v>2.9993215465596927</c:v>
                </c:pt>
                <c:pt idx="12">
                  <c:v>2.9992344297763087</c:v>
                </c:pt>
                <c:pt idx="13">
                  <c:v>2.9991421446119291</c:v>
                </c:pt>
                <c:pt idx="14">
                  <c:v>2.9990447118796695</c:v>
                </c:pt>
                <c:pt idx="15">
                  <c:v>2.9989421535003999</c:v>
                </c:pt>
              </c:numCache>
            </c:numRef>
          </c:xVal>
          <c:yVal>
            <c:numRef>
              <c:f>Detectors!$L$192:$L$207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F3-4DE4-8A6A-107CDACF8A45}"/>
            </c:ext>
          </c:extLst>
        </c:ser>
        <c:ser>
          <c:idx val="2"/>
          <c:order val="1"/>
          <c:tx>
            <c:strRef>
              <c:f>Detectors!$X$190</c:f>
              <c:strCache>
                <c:ptCount val="1"/>
                <c:pt idx="0">
                  <c:v>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Detectors!$AA$192:$AA$207</c:f>
              <c:numCache>
                <c:formatCode>0.000</c:formatCode>
                <c:ptCount val="16"/>
                <c:pt idx="0">
                  <c:v>2.9999339095680817</c:v>
                </c:pt>
                <c:pt idx="1">
                  <c:v>2.9999046903098954</c:v>
                </c:pt>
                <c:pt idx="2">
                  <c:v>2.9998701500292522</c:v>
                </c:pt>
                <c:pt idx="3">
                  <c:v>2.9998302966558912</c:v>
                </c:pt>
                <c:pt idx="4">
                  <c:v>2.9997851393306885</c:v>
                </c:pt>
                <c:pt idx="5">
                  <c:v>2.9997346883998843</c:v>
                </c:pt>
                <c:pt idx="6">
                  <c:v>2.9996789554085397</c:v>
                </c:pt>
                <c:pt idx="7">
                  <c:v>2.9996179530932596</c:v>
                </c:pt>
                <c:pt idx="8">
                  <c:v>2.9995516953741728</c:v>
                </c:pt>
                <c:pt idx="9">
                  <c:v>2.9994801973461933</c:v>
                </c:pt>
                <c:pt idx="10">
                  <c:v>2.9994034752695642</c:v>
                </c:pt>
                <c:pt idx="11">
                  <c:v>2.9993215465596927</c:v>
                </c:pt>
                <c:pt idx="12">
                  <c:v>2.9992344297763087</c:v>
                </c:pt>
                <c:pt idx="13">
                  <c:v>2.9991421446119291</c:v>
                </c:pt>
                <c:pt idx="14">
                  <c:v>2.9990447118796695</c:v>
                </c:pt>
                <c:pt idx="15">
                  <c:v>2.9989421535003999</c:v>
                </c:pt>
              </c:numCache>
            </c:numRef>
          </c:xVal>
          <c:yVal>
            <c:numRef>
              <c:f>Detectors!$L$192:$L$207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F3-4DE4-8A6A-107CDACF8A45}"/>
            </c:ext>
          </c:extLst>
        </c:ser>
        <c:ser>
          <c:idx val="3"/>
          <c:order val="2"/>
          <c:tx>
            <c:strRef>
              <c:f>Detectors!$R$190</c:f>
              <c:strCache>
                <c:ptCount val="1"/>
                <c:pt idx="0">
                  <c:v>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Detectors!$S$192:$S$207</c:f>
              <c:numCache>
                <c:formatCode>0.000</c:formatCode>
                <c:ptCount val="16"/>
                <c:pt idx="0">
                  <c:v>0.39829866595475705</c:v>
                </c:pt>
                <c:pt idx="1">
                  <c:v>0.3981897289229549</c:v>
                </c:pt>
                <c:pt idx="2">
                  <c:v>0.39806097160132042</c:v>
                </c:pt>
                <c:pt idx="3">
                  <c:v>0.3979124324926881</c:v>
                </c:pt>
                <c:pt idx="4">
                  <c:v>0.39774415596889834</c:v>
                </c:pt>
                <c:pt idx="5">
                  <c:v>0.39755619223772631</c:v>
                </c:pt>
                <c:pt idx="6">
                  <c:v>0.39734859730552513</c:v>
                </c:pt>
                <c:pt idx="7">
                  <c:v>0.39712143293563656</c:v>
                </c:pt>
                <c:pt idx="8">
                  <c:v>0.39687476660262622</c:v>
                </c:pt>
                <c:pt idx="9">
                  <c:v>0.39660867144240519</c:v>
                </c:pt>
                <c:pt idx="10">
                  <c:v>0.39632322619830851</c:v>
                </c:pt>
                <c:pt idx="11">
                  <c:v>0.39601851516320274</c:v>
                </c:pt>
                <c:pt idx="12">
                  <c:v>0.39569462811770179</c:v>
                </c:pt>
                <c:pt idx="13">
                  <c:v>0.39535166026457647</c:v>
                </c:pt>
                <c:pt idx="14">
                  <c:v>0.39498971215944378</c:v>
                </c:pt>
                <c:pt idx="15">
                  <c:v>0.39460888963783192</c:v>
                </c:pt>
              </c:numCache>
            </c:numRef>
          </c:xVal>
          <c:yVal>
            <c:numRef>
              <c:f>Detectors!$L$192:$L$207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F3-4DE4-8A6A-107CDACF8A45}"/>
            </c:ext>
          </c:extLst>
        </c:ser>
        <c:ser>
          <c:idx val="0"/>
          <c:order val="3"/>
          <c:tx>
            <c:strRef>
              <c:f>Detectors!$R$190</c:f>
              <c:strCache>
                <c:ptCount val="1"/>
                <c:pt idx="0">
                  <c:v>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Detectors!$U$192:$U$207</c:f>
              <c:numCache>
                <c:formatCode>0.000</c:formatCode>
                <c:ptCount val="16"/>
                <c:pt idx="0">
                  <c:v>0.39829866595475705</c:v>
                </c:pt>
                <c:pt idx="1">
                  <c:v>0.3981897289229549</c:v>
                </c:pt>
                <c:pt idx="2">
                  <c:v>0.39806097160132042</c:v>
                </c:pt>
                <c:pt idx="3">
                  <c:v>0.3979124324926881</c:v>
                </c:pt>
                <c:pt idx="4">
                  <c:v>0.39774415596889834</c:v>
                </c:pt>
                <c:pt idx="5">
                  <c:v>0.39755619223772631</c:v>
                </c:pt>
                <c:pt idx="6">
                  <c:v>0.39734859730552513</c:v>
                </c:pt>
                <c:pt idx="7">
                  <c:v>0.39712143293563656</c:v>
                </c:pt>
                <c:pt idx="8">
                  <c:v>0.39687476660262622</c:v>
                </c:pt>
                <c:pt idx="9">
                  <c:v>0.39660867144240519</c:v>
                </c:pt>
                <c:pt idx="10">
                  <c:v>0.39632322619830851</c:v>
                </c:pt>
                <c:pt idx="11">
                  <c:v>0.39601851516320274</c:v>
                </c:pt>
                <c:pt idx="12">
                  <c:v>0.39569462811770179</c:v>
                </c:pt>
                <c:pt idx="13">
                  <c:v>0.39535166026457647</c:v>
                </c:pt>
                <c:pt idx="14">
                  <c:v>0.39498971215944378</c:v>
                </c:pt>
                <c:pt idx="15">
                  <c:v>0.39460888963783192</c:v>
                </c:pt>
              </c:numCache>
            </c:numRef>
          </c:xVal>
          <c:yVal>
            <c:numRef>
              <c:f>Detectors!$L$192:$L$207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F3-4DE4-8A6A-107CDACF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919944"/>
        <c:axId val="2078928680"/>
      </c:scatterChart>
      <c:valAx>
        <c:axId val="20789199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[lab] (MeV)</a:t>
                </a:r>
              </a:p>
            </c:rich>
          </c:tx>
          <c:layout>
            <c:manualLayout>
              <c:xMode val="edge"/>
              <c:yMode val="edge"/>
              <c:x val="0.449038612961841"/>
              <c:y val="0.935134283890189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928680"/>
        <c:crosses val="autoZero"/>
        <c:crossBetween val="midCat"/>
        <c:majorUnit val="5"/>
      </c:valAx>
      <c:valAx>
        <c:axId val="2078928680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6306263744059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919944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096184130829797"/>
          <c:y val="0.43603561041356298"/>
          <c:w val="4.2307692307692303E-2"/>
          <c:h val="0.15315301127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Gamow Peak</a:t>
            </a:r>
          </a:p>
        </c:rich>
      </c:tx>
      <c:layout>
        <c:manualLayout>
          <c:xMode val="edge"/>
          <c:yMode val="edge"/>
          <c:x val="0.43345977665339402"/>
          <c:y val="2.9748283752860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66758897512397E-2"/>
          <c:y val="0.12128156616621499"/>
          <c:w val="0.91761666913179396"/>
          <c:h val="0.663616116758536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'Gamow Peak'!$Q$5</c:f>
              <c:strCache>
                <c:ptCount val="1"/>
                <c:pt idx="0">
                  <c:v>Maxwell Boltzmann Distribution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'Gamow Peak'!$P$6:$P$800</c:f>
              <c:numCache>
                <c:formatCode>General</c:formatCode>
                <c:ptCount val="79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  <c:pt idx="722">
                  <c:v>3610</c:v>
                </c:pt>
                <c:pt idx="723">
                  <c:v>3615</c:v>
                </c:pt>
                <c:pt idx="724">
                  <c:v>3620</c:v>
                </c:pt>
                <c:pt idx="725">
                  <c:v>3625</c:v>
                </c:pt>
                <c:pt idx="726">
                  <c:v>3630</c:v>
                </c:pt>
                <c:pt idx="727">
                  <c:v>3635</c:v>
                </c:pt>
                <c:pt idx="728">
                  <c:v>3640</c:v>
                </c:pt>
                <c:pt idx="729">
                  <c:v>3645</c:v>
                </c:pt>
                <c:pt idx="730">
                  <c:v>3650</c:v>
                </c:pt>
                <c:pt idx="731">
                  <c:v>3655</c:v>
                </c:pt>
                <c:pt idx="732">
                  <c:v>3660</c:v>
                </c:pt>
                <c:pt idx="733">
                  <c:v>3665</c:v>
                </c:pt>
                <c:pt idx="734">
                  <c:v>3670</c:v>
                </c:pt>
                <c:pt idx="735">
                  <c:v>3675</c:v>
                </c:pt>
                <c:pt idx="736">
                  <c:v>3680</c:v>
                </c:pt>
                <c:pt idx="737">
                  <c:v>3685</c:v>
                </c:pt>
                <c:pt idx="738">
                  <c:v>3690</c:v>
                </c:pt>
                <c:pt idx="739">
                  <c:v>3695</c:v>
                </c:pt>
                <c:pt idx="740">
                  <c:v>3700</c:v>
                </c:pt>
                <c:pt idx="741">
                  <c:v>3705</c:v>
                </c:pt>
                <c:pt idx="742">
                  <c:v>3710</c:v>
                </c:pt>
                <c:pt idx="743">
                  <c:v>3715</c:v>
                </c:pt>
                <c:pt idx="744">
                  <c:v>3720</c:v>
                </c:pt>
                <c:pt idx="745">
                  <c:v>3725</c:v>
                </c:pt>
                <c:pt idx="746">
                  <c:v>3730</c:v>
                </c:pt>
                <c:pt idx="747">
                  <c:v>3735</c:v>
                </c:pt>
                <c:pt idx="748">
                  <c:v>3740</c:v>
                </c:pt>
                <c:pt idx="749">
                  <c:v>3745</c:v>
                </c:pt>
                <c:pt idx="750">
                  <c:v>3750</c:v>
                </c:pt>
                <c:pt idx="751">
                  <c:v>3755</c:v>
                </c:pt>
                <c:pt idx="752">
                  <c:v>3760</c:v>
                </c:pt>
                <c:pt idx="753">
                  <c:v>3765</c:v>
                </c:pt>
                <c:pt idx="754">
                  <c:v>3770</c:v>
                </c:pt>
                <c:pt idx="755">
                  <c:v>3775</c:v>
                </c:pt>
                <c:pt idx="756">
                  <c:v>3780</c:v>
                </c:pt>
                <c:pt idx="757">
                  <c:v>3785</c:v>
                </c:pt>
                <c:pt idx="758">
                  <c:v>3790</c:v>
                </c:pt>
                <c:pt idx="759">
                  <c:v>3795</c:v>
                </c:pt>
                <c:pt idx="760">
                  <c:v>3800</c:v>
                </c:pt>
                <c:pt idx="761">
                  <c:v>3805</c:v>
                </c:pt>
                <c:pt idx="762">
                  <c:v>3810</c:v>
                </c:pt>
                <c:pt idx="763">
                  <c:v>3815</c:v>
                </c:pt>
                <c:pt idx="764">
                  <c:v>3820</c:v>
                </c:pt>
                <c:pt idx="765">
                  <c:v>3825</c:v>
                </c:pt>
                <c:pt idx="766">
                  <c:v>3830</c:v>
                </c:pt>
                <c:pt idx="767">
                  <c:v>3835</c:v>
                </c:pt>
                <c:pt idx="768">
                  <c:v>3840</c:v>
                </c:pt>
                <c:pt idx="769">
                  <c:v>3845</c:v>
                </c:pt>
                <c:pt idx="770">
                  <c:v>3850</c:v>
                </c:pt>
                <c:pt idx="771">
                  <c:v>3855</c:v>
                </c:pt>
                <c:pt idx="772">
                  <c:v>3860</c:v>
                </c:pt>
                <c:pt idx="773">
                  <c:v>3865</c:v>
                </c:pt>
                <c:pt idx="774">
                  <c:v>3870</c:v>
                </c:pt>
                <c:pt idx="775">
                  <c:v>3875</c:v>
                </c:pt>
                <c:pt idx="776">
                  <c:v>3880</c:v>
                </c:pt>
                <c:pt idx="777">
                  <c:v>3885</c:v>
                </c:pt>
                <c:pt idx="778">
                  <c:v>3890</c:v>
                </c:pt>
                <c:pt idx="779">
                  <c:v>3895</c:v>
                </c:pt>
                <c:pt idx="780">
                  <c:v>3900</c:v>
                </c:pt>
                <c:pt idx="781">
                  <c:v>3905</c:v>
                </c:pt>
                <c:pt idx="782">
                  <c:v>3910</c:v>
                </c:pt>
                <c:pt idx="783">
                  <c:v>3915</c:v>
                </c:pt>
                <c:pt idx="784">
                  <c:v>3920</c:v>
                </c:pt>
                <c:pt idx="785">
                  <c:v>3925</c:v>
                </c:pt>
                <c:pt idx="786">
                  <c:v>3930</c:v>
                </c:pt>
                <c:pt idx="787">
                  <c:v>3935</c:v>
                </c:pt>
                <c:pt idx="788">
                  <c:v>3940</c:v>
                </c:pt>
                <c:pt idx="789">
                  <c:v>3945</c:v>
                </c:pt>
                <c:pt idx="790">
                  <c:v>3950</c:v>
                </c:pt>
                <c:pt idx="791">
                  <c:v>3955</c:v>
                </c:pt>
                <c:pt idx="792">
                  <c:v>3960</c:v>
                </c:pt>
                <c:pt idx="793">
                  <c:v>3965</c:v>
                </c:pt>
                <c:pt idx="794">
                  <c:v>3970</c:v>
                </c:pt>
              </c:numCache>
            </c:numRef>
          </c:xVal>
          <c:yVal>
            <c:numRef>
              <c:f>'Gamow Peak'!$Q$6:$Q$800</c:f>
              <c:numCache>
                <c:formatCode>0.000E+00</c:formatCode>
                <c:ptCount val="795"/>
                <c:pt idx="0">
                  <c:v>0</c:v>
                </c:pt>
                <c:pt idx="1">
                  <c:v>0.24818510024802745</c:v>
                </c:pt>
                <c:pt idx="2">
                  <c:v>5.0734681060147814E-2</c:v>
                </c:pt>
                <c:pt idx="3">
                  <c:v>8.981829271955559E-3</c:v>
                </c:pt>
                <c:pt idx="4">
                  <c:v>1.4991614136654315E-3</c:v>
                </c:pt>
                <c:pt idx="5">
                  <c:v>2.4228003829373894E-4</c:v>
                </c:pt>
                <c:pt idx="6">
                  <c:v>3.8363876852068031E-5</c:v>
                </c:pt>
                <c:pt idx="7">
                  <c:v>5.9897695629535238E-6</c:v>
                </c:pt>
                <c:pt idx="8">
                  <c:v>9.2559355027422213E-7</c:v>
                </c:pt>
                <c:pt idx="9">
                  <c:v>1.4190928519952253E-7</c:v>
                </c:pt>
                <c:pt idx="10">
                  <c:v>2.1622394628924673E-8</c:v>
                </c:pt>
                <c:pt idx="11">
                  <c:v>3.2780408666260473E-9</c:v>
                </c:pt>
                <c:pt idx="12">
                  <c:v>4.9490617837531496E-10</c:v>
                </c:pt>
                <c:pt idx="13">
                  <c:v>7.445916476220435E-11</c:v>
                </c:pt>
                <c:pt idx="14">
                  <c:v>1.1169268561162728E-11</c:v>
                </c:pt>
                <c:pt idx="15">
                  <c:v>1.6711697921468579E-12</c:v>
                </c:pt>
                <c:pt idx="16">
                  <c:v>2.4948771772125679E-13</c:v>
                </c:pt>
                <c:pt idx="17">
                  <c:v>3.7173022204326662E-14</c:v>
                </c:pt>
                <c:pt idx="18">
                  <c:v>5.5290929957913469E-15</c:v>
                </c:pt>
                <c:pt idx="19">
                  <c:v>8.2112386402991744E-16</c:v>
                </c:pt>
                <c:pt idx="20">
                  <c:v>1.2177583131081601E-16</c:v>
                </c:pt>
                <c:pt idx="21">
                  <c:v>1.8037235853128166E-17</c:v>
                </c:pt>
                <c:pt idx="22">
                  <c:v>2.668614913446511E-18</c:v>
                </c:pt>
                <c:pt idx="23">
                  <c:v>3.9441435943807906E-19</c:v>
                </c:pt>
                <c:pt idx="24">
                  <c:v>5.8238295049341098E-20</c:v>
                </c:pt>
                <c:pt idx="25">
                  <c:v>8.5918614954732424E-21</c:v>
                </c:pt>
                <c:pt idx="26">
                  <c:v>1.2665378371120436E-21</c:v>
                </c:pt>
                <c:pt idx="27">
                  <c:v>1.8656389848586623E-22</c:v>
                </c:pt>
                <c:pt idx="28">
                  <c:v>2.7462430665885758E-23</c:v>
                </c:pt>
                <c:pt idx="29">
                  <c:v>4.0399239366675539E-24</c:v>
                </c:pt>
                <c:pt idx="30">
                  <c:v>5.9394885345848455E-25</c:v>
                </c:pt>
                <c:pt idx="31">
                  <c:v>8.727372231167752E-26</c:v>
                </c:pt>
                <c:pt idx="32">
                  <c:v>1.28171619925804E-26</c:v>
                </c:pt>
                <c:pt idx="33">
                  <c:v>1.8814300906714845E-27</c:v>
                </c:pt>
                <c:pt idx="34">
                  <c:v>2.7604812765007049E-28</c:v>
                </c:pt>
                <c:pt idx="35">
                  <c:v>4.0484949420750681E-29</c:v>
                </c:pt>
                <c:pt idx="36">
                  <c:v>5.9350592763121429E-30</c:v>
                </c:pt>
                <c:pt idx="37">
                  <c:v>8.6973891854100943E-31</c:v>
                </c:pt>
                <c:pt idx="38">
                  <c:v>1.2740722947886153E-31</c:v>
                </c:pt>
                <c:pt idx="39">
                  <c:v>1.8657300595611414E-32</c:v>
                </c:pt>
                <c:pt idx="40">
                  <c:v>2.7312454600618257E-33</c:v>
                </c:pt>
                <c:pt idx="41">
                  <c:v>3.9970252951300339E-34</c:v>
                </c:pt>
                <c:pt idx="42">
                  <c:v>5.8476833152960094E-35</c:v>
                </c:pt>
                <c:pt idx="43">
                  <c:v>8.5527870563764428E-36</c:v>
                </c:pt>
                <c:pt idx="44">
                  <c:v>1.2505872634631859E-36</c:v>
                </c:pt>
                <c:pt idx="45">
                  <c:v>1.8281345292152244E-37</c:v>
                </c:pt>
                <c:pt idx="46">
                  <c:v>2.6717452261897699E-38</c:v>
                </c:pt>
                <c:pt idx="47">
                  <c:v>3.9037256365623103E-39</c:v>
                </c:pt>
                <c:pt idx="48">
                  <c:v>5.7024988725376623E-40</c:v>
                </c:pt>
                <c:pt idx="49">
                  <c:v>8.3283095912745498E-41</c:v>
                </c:pt>
                <c:pt idx="50">
                  <c:v>1.2160685439479815E-41</c:v>
                </c:pt>
                <c:pt idx="51">
                  <c:v>1.7753025307869299E-42</c:v>
                </c:pt>
                <c:pt idx="52">
                  <c:v>2.5912134396566627E-43</c:v>
                </c:pt>
                <c:pt idx="53">
                  <c:v>3.7814092488284511E-44</c:v>
                </c:pt>
                <c:pt idx="54">
                  <c:v>5.5173032989072889E-45</c:v>
                </c:pt>
                <c:pt idx="55">
                  <c:v>8.0486965715894728E-46</c:v>
                </c:pt>
                <c:pt idx="56">
                  <c:v>1.1739577184489186E-46</c:v>
                </c:pt>
                <c:pt idx="57">
                  <c:v>1.7120249969919382E-47</c:v>
                </c:pt>
                <c:pt idx="58">
                  <c:v>2.4963237117814623E-48</c:v>
                </c:pt>
                <c:pt idx="59">
                  <c:v>3.6393778084733754E-49</c:v>
                </c:pt>
                <c:pt idx="60">
                  <c:v>5.3050684704573871E-50</c:v>
                </c:pt>
                <c:pt idx="61">
                  <c:v>7.7320475727655749E-51</c:v>
                </c:pt>
                <c:pt idx="62">
                  <c:v>1.1267814178272185E-51</c:v>
                </c:pt>
                <c:pt idx="63">
                  <c:v>1.6418305703158346E-52</c:v>
                </c:pt>
                <c:pt idx="64">
                  <c:v>2.3920060935241253E-53</c:v>
                </c:pt>
                <c:pt idx="65">
                  <c:v>3.4845219496977965E-54</c:v>
                </c:pt>
                <c:pt idx="66">
                  <c:v>5.0754286351189622E-55</c:v>
                </c:pt>
                <c:pt idx="67">
                  <c:v>7.391837156984009E-56</c:v>
                </c:pt>
                <c:pt idx="68">
                  <c:v>1.0764247561911458E-56</c:v>
                </c:pt>
                <c:pt idx="69">
                  <c:v>1.567357252953627E-57</c:v>
                </c:pt>
                <c:pt idx="70">
                  <c:v>2.2819530466682322E-58</c:v>
                </c:pt>
                <c:pt idx="71">
                  <c:v>3.3220111829259312E-59</c:v>
                </c:pt>
                <c:pt idx="72">
                  <c:v>4.8356225651518651E-60</c:v>
                </c:pt>
                <c:pt idx="73">
                  <c:v>7.0382033256031027E-61</c:v>
                </c:pt>
                <c:pt idx="74">
                  <c:v>1.0243077775834665E-61</c:v>
                </c:pt>
                <c:pt idx="75">
                  <c:v>1.490594360335087E-62</c:v>
                </c:pt>
                <c:pt idx="76">
                  <c:v>2.1689516444290132E-63</c:v>
                </c:pt>
                <c:pt idx="77">
                  <c:v>3.1557505588345159E-64</c:v>
                </c:pt>
                <c:pt idx="78">
                  <c:v>4.5911220496322332E-65</c:v>
                </c:pt>
                <c:pt idx="79">
                  <c:v>6.6788134641683394E-66</c:v>
                </c:pt>
                <c:pt idx="80">
                  <c:v>9.7150489561773918E-67</c:v>
                </c:pt>
                <c:pt idx="81">
                  <c:v>1.4130474347228469E-67</c:v>
                </c:pt>
                <c:pt idx="82">
                  <c:v>2.0551114991262258E-68</c:v>
                </c:pt>
                <c:pt idx="83">
                  <c:v>2.9886959900002298E-69</c:v>
                </c:pt>
                <c:pt idx="84">
                  <c:v>4.3460685218307822E-70</c:v>
                </c:pt>
                <c:pt idx="85">
                  <c:v>6.3194694792513757E-71</c:v>
                </c:pt>
                <c:pt idx="86">
                  <c:v>9.1882883316459583E-72</c:v>
                </c:pt>
                <c:pt idx="87">
                  <c:v>1.3358547754182512E-72</c:v>
                </c:pt>
                <c:pt idx="88">
                  <c:v>1.9420266648469368E-73</c:v>
                </c:pt>
                <c:pt idx="89">
                  <c:v>2.8230793642390006E-74</c:v>
                </c:pt>
                <c:pt idx="90">
                  <c:v>4.1035862927082867E-75</c:v>
                </c:pt>
                <c:pt idx="91">
                  <c:v>5.9645439559787507E-76</c:v>
                </c:pt>
                <c:pt idx="92">
                  <c:v>8.668913960555349E-77</c:v>
                </c:pt>
                <c:pt idx="93">
                  <c:v>1.2598721760547186E-77</c:v>
                </c:pt>
                <c:pt idx="94">
                  <c:v>1.8308938625880773E-78</c:v>
                </c:pt>
                <c:pt idx="95">
                  <c:v>2.6605735931503397E-79</c:v>
                </c:pt>
                <c:pt idx="96">
                  <c:v>3.8660131039064675E-80</c:v>
                </c:pt>
                <c:pt idx="97">
                  <c:v>5.6173023969531751E-81</c:v>
                </c:pt>
                <c:pt idx="98">
                  <c:v>8.1614853656306548E-82</c:v>
                </c:pt>
                <c:pt idx="99">
                  <c:v>1.1857359771391736E-82</c:v>
                </c:pt>
                <c:pt idx="100">
                  <c:v>1.7226007483130092E-83</c:v>
                </c:pt>
                <c:pt idx="101">
                  <c:v>2.5024162409840598E-84</c:v>
                </c:pt>
                <c:pt idx="102">
                  <c:v>3.6350733661246152E-85</c:v>
                </c:pt>
                <c:pt idx="103">
                  <c:v>5.2801460895451879E-86</c:v>
                </c:pt>
                <c:pt idx="104">
                  <c:v>7.6693441677900875E-87</c:v>
                </c:pt>
                <c:pt idx="105">
                  <c:v>1.1139108622661733E-87</c:v>
                </c:pt>
                <c:pt idx="106">
                  <c:v>1.617793006366952E-88</c:v>
                </c:pt>
                <c:pt idx="107">
                  <c:v>2.3495037441213144E-89</c:v>
                </c:pt>
                <c:pt idx="108">
                  <c:v>3.4120105231215527E-90</c:v>
                </c:pt>
                <c:pt idx="109">
                  <c:v>4.9547981267498718E-91</c:v>
                </c:pt>
                <c:pt idx="110">
                  <c:v>7.1948756094168191E-92</c:v>
                </c:pt>
                <c:pt idx="111">
                  <c:v>1.0447266380178053E-92</c:v>
                </c:pt>
                <c:pt idx="112">
                  <c:v>1.5169260931202135E-93</c:v>
                </c:pt>
                <c:pt idx="113">
                  <c:v>2.2024642300585882E-94</c:v>
                </c:pt>
                <c:pt idx="114">
                  <c:v>3.197689562243582E-95</c:v>
                </c:pt>
                <c:pt idx="115">
                  <c:v>4.6424477595080407E-96</c:v>
                </c:pt>
                <c:pt idx="116">
                  <c:v>6.739711886439895E-97</c:v>
                </c:pt>
                <c:pt idx="117">
                  <c:v>9.7840688302394753E-98</c:v>
                </c:pt>
                <c:pt idx="118">
                  <c:v>1.4203056138562358E-98</c:v>
                </c:pt>
                <c:pt idx="119">
                  <c:v>2.0617144379560986E-99</c:v>
                </c:pt>
                <c:pt idx="120">
                  <c:v>2.9926772773447957E-100</c:v>
                </c:pt>
                <c:pt idx="121">
                  <c:v>4.3438636019449377E-101</c:v>
                </c:pt>
                <c:pt idx="122">
                  <c:v>6.3048918538382408E-102</c:v>
                </c:pt>
                <c:pt idx="123">
                  <c:v>9.1509148367442134E-103</c:v>
                </c:pt>
                <c:pt idx="124">
                  <c:v>1.3281191293570614E-103</c:v>
                </c:pt>
                <c:pt idx="125">
                  <c:v>1.9275046193899406E-104</c:v>
                </c:pt>
                <c:pt idx="126">
                  <c:v>2.7973056670720645E-105</c:v>
                </c:pt>
                <c:pt idx="127">
                  <c:v>4.059483164824555E-106</c:v>
                </c:pt>
                <c:pt idx="128">
                  <c:v>5.8909874916498002E-107</c:v>
                </c:pt>
                <c:pt idx="129">
                  <c:v>8.5485450062735585E-108</c:v>
                </c:pt>
                <c:pt idx="130">
                  <c:v>1.2404614011628929E-108</c:v>
                </c:pt>
                <c:pt idx="131">
                  <c:v>1.7999542155858425E-109</c:v>
                </c:pt>
                <c:pt idx="132">
                  <c:v>2.6117223627448648E-110</c:v>
                </c:pt>
                <c:pt idx="133">
                  <c:v>3.7894841433939755E-111</c:v>
                </c:pt>
                <c:pt idx="134">
                  <c:v>5.4982046961759135E-112</c:v>
                </c:pt>
                <c:pt idx="135">
                  <c:v>7.9771842125334642E-113</c:v>
                </c:pt>
                <c:pt idx="136">
                  <c:v>1.1573545479667909E-113</c:v>
                </c:pt>
                <c:pt idx="137">
                  <c:v>1.6790803669754275E-114</c:v>
                </c:pt>
                <c:pt idx="138">
                  <c:v>2.4359309575429266E-115</c:v>
                </c:pt>
                <c:pt idx="139">
                  <c:v>3.5338414728587196E-116</c:v>
                </c:pt>
                <c:pt idx="140">
                  <c:v>5.1264640074656873E-117</c:v>
                </c:pt>
                <c:pt idx="141">
                  <c:v>7.4366558287385377E-118</c:v>
                </c:pt>
                <c:pt idx="142">
                  <c:v>1.0787642114554475E-118</c:v>
                </c:pt>
                <c:pt idx="143">
                  <c:v>1.5648207926760498E-119</c:v>
                </c:pt>
                <c:pt idx="144">
                  <c:v>2.269823390497534E-120</c:v>
                </c:pt>
                <c:pt idx="145">
                  <c:v>3.2923731688009202E-121</c:v>
                </c:pt>
                <c:pt idx="146">
                  <c:v>4.7754655023999042E-122</c:v>
                </c:pt>
                <c:pt idx="147">
                  <c:v>6.9264735984245391E-123</c:v>
                </c:pt>
                <c:pt idx="148">
                  <c:v>1.0046125635052246E-123</c:v>
                </c:pt>
                <c:pt idx="149">
                  <c:v>1.4570522073045572E-124</c:v>
                </c:pt>
                <c:pt idx="150">
                  <c:v>2.1132060240998671E-125</c:v>
                </c:pt>
                <c:pt idx="151">
                  <c:v>3.0647772539408248E-126</c:v>
                </c:pt>
                <c:pt idx="152">
                  <c:v>4.4447410863718037E-127</c:v>
                </c:pt>
                <c:pt idx="153">
                  <c:v>6.4459156879436845E-128</c:v>
                </c:pt>
                <c:pt idx="154">
                  <c:v>9.3478879340057469E-129</c:v>
                </c:pt>
                <c:pt idx="155">
                  <c:v>1.3556051732275336E-129</c:v>
                </c:pt>
                <c:pt idx="156">
                  <c:v>1.9658206788521836E-130</c:v>
                </c:pt>
                <c:pt idx="157">
                  <c:v>2.8506615488651121E-131</c:v>
                </c:pt>
                <c:pt idx="158">
                  <c:v>4.1336966856379909E-132</c:v>
                </c:pt>
                <c:pt idx="159">
                  <c:v>5.9940844434639203E-133</c:v>
                </c:pt>
                <c:pt idx="160">
                  <c:v>8.6915757121916081E-134</c:v>
                </c:pt>
                <c:pt idx="161">
                  <c:v>1.2602760872007716E-134</c:v>
                </c:pt>
                <c:pt idx="162">
                  <c:v>1.8273616097093559E-135</c:v>
                </c:pt>
                <c:pt idx="163">
                  <c:v>2.6495677150696272E-136</c:v>
                </c:pt>
                <c:pt idx="164">
                  <c:v>3.8416462978172355E-137</c:v>
                </c:pt>
                <c:pt idx="165">
                  <c:v>5.5699546131252627E-138</c:v>
                </c:pt>
                <c:pt idx="166">
                  <c:v>8.0756587682201908E-139</c:v>
                </c:pt>
                <c:pt idx="167">
                  <c:v>1.1708368509101951E-139</c:v>
                </c:pt>
                <c:pt idx="168">
                  <c:v>1.697489199976369E-140</c:v>
                </c:pt>
                <c:pt idx="169">
                  <c:v>2.4609906451967618E-141</c:v>
                </c:pt>
                <c:pt idx="170">
                  <c:v>3.5678394465723904E-142</c:v>
                </c:pt>
                <c:pt idx="171">
                  <c:v>5.172412217928987E-143</c:v>
                </c:pt>
                <c:pt idx="172">
                  <c:v>7.4984850292162223E-144</c:v>
                </c:pt>
                <c:pt idx="173">
                  <c:v>1.0870426612883166E-144</c:v>
                </c:pt>
                <c:pt idx="174">
                  <c:v>1.5758409886915165E-145</c:v>
                </c:pt>
                <c:pt idx="175">
                  <c:v>2.2843940712894405E-146</c:v>
                </c:pt>
                <c:pt idx="176">
                  <c:v>3.311483271731283E-147</c:v>
                </c:pt>
                <c:pt idx="177">
                  <c:v>4.8002858125959922E-148</c:v>
                </c:pt>
                <c:pt idx="178">
                  <c:v>6.9583247851979669E-149</c:v>
                </c:pt>
                <c:pt idx="179">
                  <c:v>1.0086382690430999E-149</c:v>
                </c:pt>
                <c:pt idx="180">
                  <c:v>1.4620405245346394E-150</c:v>
                </c:pt>
                <c:pt idx="181">
                  <c:v>2.1192230888476289E-151</c:v>
                </c:pt>
                <c:pt idx="182">
                  <c:v>3.0717602425707979E-152</c:v>
                </c:pt>
                <c:pt idx="183">
                  <c:v>4.4523715347815754E-153</c:v>
                </c:pt>
                <c:pt idx="184">
                  <c:v>6.4534061072872979E-154</c:v>
                </c:pt>
                <c:pt idx="185">
                  <c:v>9.353629858372841E-155</c:v>
                </c:pt>
                <c:pt idx="186">
                  <c:v>1.3557044434931474E-155</c:v>
                </c:pt>
                <c:pt idx="187">
                  <c:v>1.9649141594493492E-156</c:v>
                </c:pt>
                <c:pt idx="188">
                  <c:v>2.8478422916640059E-157</c:v>
                </c:pt>
                <c:pt idx="189">
                  <c:v>4.1274530726705862E-158</c:v>
                </c:pt>
                <c:pt idx="190">
                  <c:v>5.9819430513969353E-159</c:v>
                </c:pt>
                <c:pt idx="191">
                  <c:v>8.6695466716115717E-160</c:v>
                </c:pt>
                <c:pt idx="192">
                  <c:v>1.2564480921817252E-160</c:v>
                </c:pt>
                <c:pt idx="193">
                  <c:v>1.8209030483682507E-161</c:v>
                </c:pt>
                <c:pt idx="194">
                  <c:v>2.6389020165788903E-162</c:v>
                </c:pt>
                <c:pt idx="195">
                  <c:v>3.8243174690347476E-163</c:v>
                </c:pt>
                <c:pt idx="196">
                  <c:v>5.5421579497124049E-164</c:v>
                </c:pt>
                <c:pt idx="197">
                  <c:v>8.0315285565673038E-165</c:v>
                </c:pt>
                <c:pt idx="198">
                  <c:v>1.1638899589628411E-165</c:v>
                </c:pt>
                <c:pt idx="199">
                  <c:v>1.686631069188297E-166</c:v>
                </c:pt>
                <c:pt idx="200">
                  <c:v>2.4441214773686202E-167</c:v>
                </c:pt>
                <c:pt idx="201">
                  <c:v>3.5417675110893904E-168</c:v>
                </c:pt>
                <c:pt idx="202">
                  <c:v>5.1322988536647347E-169</c:v>
                </c:pt>
                <c:pt idx="203">
                  <c:v>7.4370123590499941E-170</c:v>
                </c:pt>
                <c:pt idx="204">
                  <c:v>1.077655127275247E-170</c:v>
                </c:pt>
                <c:pt idx="205">
                  <c:v>1.5615499398649593E-171</c:v>
                </c:pt>
                <c:pt idx="206">
                  <c:v>2.262699022207136E-172</c:v>
                </c:pt>
                <c:pt idx="207">
                  <c:v>3.2786313201883248E-173</c:v>
                </c:pt>
                <c:pt idx="208">
                  <c:v>4.7506530005615764E-174</c:v>
                </c:pt>
                <c:pt idx="209">
                  <c:v>6.883495245661895E-175</c:v>
                </c:pt>
                <c:pt idx="210">
                  <c:v>9.9737792717310031E-176</c:v>
                </c:pt>
                <c:pt idx="211">
                  <c:v>1.4451255002843815E-176</c:v>
                </c:pt>
                <c:pt idx="212">
                  <c:v>2.0938544964566989E-177</c:v>
                </c:pt>
                <c:pt idx="213">
                  <c:v>3.0337696462151335E-178</c:v>
                </c:pt>
                <c:pt idx="214">
                  <c:v>4.3955570213098703E-179</c:v>
                </c:pt>
                <c:pt idx="215">
                  <c:v>6.3685489783391592E-180</c:v>
                </c:pt>
                <c:pt idx="216">
                  <c:v>9.227039299911993E-181</c:v>
                </c:pt>
                <c:pt idx="217">
                  <c:v>1.3368404973043552E-181</c:v>
                </c:pt>
                <c:pt idx="218">
                  <c:v>1.9368331279662298E-182</c:v>
                </c:pt>
                <c:pt idx="219">
                  <c:v>2.8060812829050401E-183</c:v>
                </c:pt>
                <c:pt idx="220">
                  <c:v>4.0654044809838125E-184</c:v>
                </c:pt>
                <c:pt idx="221">
                  <c:v>5.8898304033567917E-185</c:v>
                </c:pt>
                <c:pt idx="222">
                  <c:v>8.5329140575676577E-186</c:v>
                </c:pt>
                <c:pt idx="223">
                  <c:v>1.2361966073659331E-186</c:v>
                </c:pt>
                <c:pt idx="224">
                  <c:v>1.7909083304678786E-187</c:v>
                </c:pt>
                <c:pt idx="225">
                  <c:v>2.5945069480417094E-188</c:v>
                </c:pt>
                <c:pt idx="226">
                  <c:v>3.7586512413684524E-189</c:v>
                </c:pt>
                <c:pt idx="227">
                  <c:v>5.4450888504334026E-190</c:v>
                </c:pt>
                <c:pt idx="228">
                  <c:v>7.8881234228660042E-191</c:v>
                </c:pt>
                <c:pt idx="229">
                  <c:v>1.1427158373955498E-191</c:v>
                </c:pt>
                <c:pt idx="230">
                  <c:v>1.6553836252267352E-192</c:v>
                </c:pt>
                <c:pt idx="231">
                  <c:v>2.3980319132388828E-193</c:v>
                </c:pt>
                <c:pt idx="232">
                  <c:v>3.4738190504645367E-194</c:v>
                </c:pt>
                <c:pt idx="233">
                  <c:v>5.0321710180352906E-195</c:v>
                </c:pt>
                <c:pt idx="234">
                  <c:v>7.2895310792309393E-196</c:v>
                </c:pt>
                <c:pt idx="235">
                  <c:v>1.0559414205872471E-196</c:v>
                </c:pt>
                <c:pt idx="236">
                  <c:v>1.529593846806063E-197</c:v>
                </c:pt>
                <c:pt idx="237">
                  <c:v>2.2156876192743993E-198</c:v>
                </c:pt>
                <c:pt idx="238">
                  <c:v>3.2094976946742915E-199</c:v>
                </c:pt>
                <c:pt idx="239">
                  <c:v>4.6490238225203959E-200</c:v>
                </c:pt>
                <c:pt idx="240">
                  <c:v>6.7341482586472856E-201</c:v>
                </c:pt>
                <c:pt idx="241">
                  <c:v>9.7543830375079497E-202</c:v>
                </c:pt>
                <c:pt idx="242">
                  <c:v>1.4129057705159859E-202</c:v>
                </c:pt>
                <c:pt idx="243">
                  <c:v>2.0465524727072187E-203</c:v>
                </c:pt>
                <c:pt idx="244">
                  <c:v>2.9643459921589433E-204</c:v>
                </c:pt>
                <c:pt idx="245">
                  <c:v>4.2936956073707319E-205</c:v>
                </c:pt>
                <c:pt idx="246">
                  <c:v>6.2191351647265786E-206</c:v>
                </c:pt>
                <c:pt idx="247">
                  <c:v>9.0079330644685921E-207</c:v>
                </c:pt>
                <c:pt idx="248">
                  <c:v>1.3047182756881893E-207</c:v>
                </c:pt>
                <c:pt idx="249">
                  <c:v>1.889751986189654E-208</c:v>
                </c:pt>
                <c:pt idx="250">
                  <c:v>2.7370918584508572E-209</c:v>
                </c:pt>
                <c:pt idx="251">
                  <c:v>3.9643360413069684E-210</c:v>
                </c:pt>
                <c:pt idx="252">
                  <c:v>5.7418005433481844E-211</c:v>
                </c:pt>
                <c:pt idx="253">
                  <c:v>8.3161501847228288E-212</c:v>
                </c:pt>
                <c:pt idx="254">
                  <c:v>1.2044621394800493E-212</c:v>
                </c:pt>
                <c:pt idx="255">
                  <c:v>1.7444583972156469E-213</c:v>
                </c:pt>
                <c:pt idx="256">
                  <c:v>2.5265316360282213E-214</c:v>
                </c:pt>
                <c:pt idx="257">
                  <c:v>3.6591949780322597E-215</c:v>
                </c:pt>
                <c:pt idx="258">
                  <c:v>5.2995997889007376E-216</c:v>
                </c:pt>
                <c:pt idx="259">
                  <c:v>7.6753349089778744E-217</c:v>
                </c:pt>
                <c:pt idx="260">
                  <c:v>1.111599539742412E-217</c:v>
                </c:pt>
                <c:pt idx="261">
                  <c:v>1.6098898770231343E-218</c:v>
                </c:pt>
                <c:pt idx="262">
                  <c:v>2.3315288467738265E-219</c:v>
                </c:pt>
                <c:pt idx="263">
                  <c:v>3.3766205036685009E-220</c:v>
                </c:pt>
                <c:pt idx="264">
                  <c:v>4.8901319076940422E-221</c:v>
                </c:pt>
                <c:pt idx="265">
                  <c:v>7.081997663961709E-222</c:v>
                </c:pt>
                <c:pt idx="266">
                  <c:v>1.0256233320046475E-222</c:v>
                </c:pt>
                <c:pt idx="267">
                  <c:v>1.4853094221764973E-223</c:v>
                </c:pt>
                <c:pt idx="268">
                  <c:v>2.1510124989031995E-224</c:v>
                </c:pt>
                <c:pt idx="269">
                  <c:v>3.115056359014478E-225</c:v>
                </c:pt>
                <c:pt idx="270">
                  <c:v>4.5111356046459968E-226</c:v>
                </c:pt>
                <c:pt idx="271">
                  <c:v>6.5328528670151304E-227</c:v>
                </c:pt>
                <c:pt idx="272">
                  <c:v>9.4605615437988108E-228</c:v>
                </c:pt>
                <c:pt idx="273">
                  <c:v>1.3700235053251529E-228</c:v>
                </c:pt>
                <c:pt idx="274">
                  <c:v>1.9839750571218335E-229</c:v>
                </c:pt>
                <c:pt idx="275">
                  <c:v>2.8730388912395151E-230</c:v>
                </c:pt>
                <c:pt idx="276">
                  <c:v>4.1604847130173737E-231</c:v>
                </c:pt>
                <c:pt idx="277">
                  <c:v>6.024812084377521E-232</c:v>
                </c:pt>
                <c:pt idx="278">
                  <c:v>8.7244940479150698E-233</c:v>
                </c:pt>
                <c:pt idx="279">
                  <c:v>1.2633805482377808E-233</c:v>
                </c:pt>
                <c:pt idx="280">
                  <c:v>1.8294701656763388E-234</c:v>
                </c:pt>
                <c:pt idx="281">
                  <c:v>2.6491936624203278E-235</c:v>
                </c:pt>
                <c:pt idx="282">
                  <c:v>3.8361831482367322E-236</c:v>
                </c:pt>
                <c:pt idx="283">
                  <c:v>5.5549765303527935E-237</c:v>
                </c:pt>
                <c:pt idx="284">
                  <c:v>8.0438212705369156E-238</c:v>
                </c:pt>
                <c:pt idx="285">
                  <c:v>1.1647692690058869E-238</c:v>
                </c:pt>
                <c:pt idx="286">
                  <c:v>1.6866101980018006E-239</c:v>
                </c:pt>
                <c:pt idx="287">
                  <c:v>2.4422318195840506E-240</c:v>
                </c:pt>
                <c:pt idx="288">
                  <c:v>3.5363595344036418E-241</c:v>
                </c:pt>
                <c:pt idx="289">
                  <c:v>5.1206291183400067E-242</c:v>
                </c:pt>
                <c:pt idx="290">
                  <c:v>7.4145983575699932E-243</c:v>
                </c:pt>
                <c:pt idx="291">
                  <c:v>1.0736169459260226E-243</c:v>
                </c:pt>
                <c:pt idx="292">
                  <c:v>1.5545636932942904E-244</c:v>
                </c:pt>
                <c:pt idx="293">
                  <c:v>2.2509463118639182E-245</c:v>
                </c:pt>
                <c:pt idx="294">
                  <c:v>3.2592616249479066E-246</c:v>
                </c:pt>
                <c:pt idx="295">
                  <c:v>4.7192262360223903E-247</c:v>
                </c:pt>
                <c:pt idx="296">
                  <c:v>6.833133043964782E-248</c:v>
                </c:pt>
                <c:pt idx="297">
                  <c:v>9.8938763271936024E-249</c:v>
                </c:pt>
                <c:pt idx="298">
                  <c:v>1.4325527291496223E-249</c:v>
                </c:pt>
                <c:pt idx="299">
                  <c:v>2.0742080244325394E-250</c:v>
                </c:pt>
                <c:pt idx="300">
                  <c:v>3.0032506161761678E-251</c:v>
                </c:pt>
                <c:pt idx="301">
                  <c:v>4.3483893846560079E-252</c:v>
                </c:pt>
                <c:pt idx="302">
                  <c:v>6.2959733656980768E-253</c:v>
                </c:pt>
                <c:pt idx="303">
                  <c:v>9.1158035317100291E-254</c:v>
                </c:pt>
                <c:pt idx="304">
                  <c:v>1.3198502700441443E-254</c:v>
                </c:pt>
                <c:pt idx="305">
                  <c:v>1.9109618855319645E-255</c:v>
                </c:pt>
                <c:pt idx="306">
                  <c:v>2.7667954334373438E-256</c:v>
                </c:pt>
                <c:pt idx="307">
                  <c:v>4.0058967952875755E-257</c:v>
                </c:pt>
                <c:pt idx="308">
                  <c:v>5.7998953621038101E-258</c:v>
                </c:pt>
                <c:pt idx="309">
                  <c:v>8.3972729777749865E-259</c:v>
                </c:pt>
                <c:pt idx="310">
                  <c:v>1.2157775235965921E-259</c:v>
                </c:pt>
                <c:pt idx="311">
                  <c:v>1.7602229917618958E-260</c:v>
                </c:pt>
                <c:pt idx="312">
                  <c:v>2.5484670537365434E-261</c:v>
                </c:pt>
                <c:pt idx="313">
                  <c:v>3.6896751120983166E-262</c:v>
                </c:pt>
                <c:pt idx="314">
                  <c:v>5.3418908959623162E-263</c:v>
                </c:pt>
                <c:pt idx="315">
                  <c:v>7.7339204039131672E-264</c:v>
                </c:pt>
                <c:pt idx="316">
                  <c:v>1.1197013300105736E-264</c:v>
                </c:pt>
                <c:pt idx="317">
                  <c:v>1.621072787459972E-265</c:v>
                </c:pt>
                <c:pt idx="318">
                  <c:v>2.3469329153515595E-266</c:v>
                </c:pt>
                <c:pt idx="319">
                  <c:v>3.3977912141547601E-267</c:v>
                </c:pt>
                <c:pt idx="320">
                  <c:v>4.9191556918180572E-268</c:v>
                </c:pt>
                <c:pt idx="321">
                  <c:v>7.1216778901849615E-269</c:v>
                </c:pt>
                <c:pt idx="322">
                  <c:v>1.0310316046298282E-269</c:v>
                </c:pt>
                <c:pt idx="323">
                  <c:v>1.4926553262392076E-270</c:v>
                </c:pt>
                <c:pt idx="324">
                  <c:v>2.1609514539269139E-271</c:v>
                </c:pt>
                <c:pt idx="325">
                  <c:v>3.1284442310855044E-272</c:v>
                </c:pt>
                <c:pt idx="326">
                  <c:v>4.5290776705557562E-273</c:v>
                </c:pt>
                <c:pt idx="327">
                  <c:v>6.5567568172939875E-274</c:v>
                </c:pt>
                <c:pt idx="328">
                  <c:v>9.4921884899350739E-275</c:v>
                </c:pt>
                <c:pt idx="329">
                  <c:v>1.3741736362652101E-275</c:v>
                </c:pt>
                <c:pt idx="330">
                  <c:v>1.9893667953155948E-276</c:v>
                </c:pt>
                <c:pt idx="331">
                  <c:v>2.8799577950792017E-277</c:v>
                </c:pt>
                <c:pt idx="332">
                  <c:v>4.1692256395880556E-278</c:v>
                </c:pt>
                <c:pt idx="333">
                  <c:v>6.0356313598713491E-279</c:v>
                </c:pt>
                <c:pt idx="334">
                  <c:v>8.7375174199813412E-280</c:v>
                </c:pt>
                <c:pt idx="335">
                  <c:v>1.2648862054836083E-280</c:v>
                </c:pt>
                <c:pt idx="336">
                  <c:v>1.8311036277783323E-281</c:v>
                </c:pt>
                <c:pt idx="337">
                  <c:v>2.650772560731097E-282</c:v>
                </c:pt>
                <c:pt idx="338">
                  <c:v>3.8373383825495808E-283</c:v>
                </c:pt>
                <c:pt idx="339">
                  <c:v>5.5550225749516836E-284</c:v>
                </c:pt>
                <c:pt idx="340">
                  <c:v>8.0415481964302997E-285</c:v>
                </c:pt>
                <c:pt idx="341">
                  <c:v>1.1641035985544269E-285</c:v>
                </c:pt>
                <c:pt idx="342">
                  <c:v>1.6851622698268023E-286</c:v>
                </c:pt>
                <c:pt idx="343">
                  <c:v>2.4394390152521283E-287</c:v>
                </c:pt>
                <c:pt idx="344">
                  <c:v>3.5313141795792337E-288</c:v>
                </c:pt>
                <c:pt idx="345">
                  <c:v>5.1118831285002852E-289</c:v>
                </c:pt>
                <c:pt idx="346">
                  <c:v>7.3998624924972942E-290</c:v>
                </c:pt>
                <c:pt idx="347">
                  <c:v>1.0711852135792649E-290</c:v>
                </c:pt>
                <c:pt idx="348">
                  <c:v>1.5506139447773895E-291</c:v>
                </c:pt>
                <c:pt idx="349">
                  <c:v>2.2446105941511714E-292</c:v>
                </c:pt>
                <c:pt idx="350">
                  <c:v>3.2492007787565786E-293</c:v>
                </c:pt>
                <c:pt idx="351">
                  <c:v>4.7033826878702353E-294</c:v>
                </c:pt>
                <c:pt idx="352">
                  <c:v>6.8083570192611587E-295</c:v>
                </c:pt>
                <c:pt idx="353">
                  <c:v>9.8553618368943364E-296</c:v>
                </c:pt>
                <c:pt idx="354">
                  <c:v>1.426596268803823E-296</c:v>
                </c:pt>
                <c:pt idx="355">
                  <c:v>2.0650371114230741E-297</c:v>
                </c:pt>
                <c:pt idx="356">
                  <c:v>2.9891858306327191E-298</c:v>
                </c:pt>
                <c:pt idx="357">
                  <c:v>4.3268939958529517E-299</c:v>
                </c:pt>
                <c:pt idx="358">
                  <c:v>6.2632232530709227E-300</c:v>
                </c:pt>
                <c:pt idx="359">
                  <c:v>9.0660442610673999E-301</c:v>
                </c:pt>
                <c:pt idx="360">
                  <c:v>1.3123089557829061E-301</c:v>
                </c:pt>
                <c:pt idx="361">
                  <c:v>1.8995585083286617E-302</c:v>
                </c:pt>
                <c:pt idx="362">
                  <c:v>2.7495877907843734E-303</c:v>
                </c:pt>
                <c:pt idx="363">
                  <c:v>3.9799796320382482E-304</c:v>
                </c:pt>
                <c:pt idx="364">
                  <c:v>5.7609281719721618E-305</c:v>
                </c:pt>
                <c:pt idx="365">
                  <c:v>8.3387783928838814E-306</c:v>
                </c:pt>
                <c:pt idx="366">
                  <c:v>1.2070097394080455E-306</c:v>
                </c:pt>
                <c:pt idx="367">
                  <c:v>1.7470989208466727E-307</c:v>
                </c:pt>
                <c:pt idx="368">
                  <c:v>2.5288472896489002E-308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60-4AAF-A4CC-B45229F2AC78}"/>
            </c:ext>
          </c:extLst>
        </c:ser>
        <c:ser>
          <c:idx val="1"/>
          <c:order val="1"/>
          <c:tx>
            <c:strRef>
              <c:f>'Gamow Peak'!$R$3</c:f>
              <c:strCache>
                <c:ptCount val="1"/>
                <c:pt idx="0">
                  <c:v>Coulomb Barrier Penetrability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'Gamow Peak'!$P$6:$P$800</c:f>
              <c:numCache>
                <c:formatCode>General</c:formatCode>
                <c:ptCount val="79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  <c:pt idx="722">
                  <c:v>3610</c:v>
                </c:pt>
                <c:pt idx="723">
                  <c:v>3615</c:v>
                </c:pt>
                <c:pt idx="724">
                  <c:v>3620</c:v>
                </c:pt>
                <c:pt idx="725">
                  <c:v>3625</c:v>
                </c:pt>
                <c:pt idx="726">
                  <c:v>3630</c:v>
                </c:pt>
                <c:pt idx="727">
                  <c:v>3635</c:v>
                </c:pt>
                <c:pt idx="728">
                  <c:v>3640</c:v>
                </c:pt>
                <c:pt idx="729">
                  <c:v>3645</c:v>
                </c:pt>
                <c:pt idx="730">
                  <c:v>3650</c:v>
                </c:pt>
                <c:pt idx="731">
                  <c:v>3655</c:v>
                </c:pt>
                <c:pt idx="732">
                  <c:v>3660</c:v>
                </c:pt>
                <c:pt idx="733">
                  <c:v>3665</c:v>
                </c:pt>
                <c:pt idx="734">
                  <c:v>3670</c:v>
                </c:pt>
                <c:pt idx="735">
                  <c:v>3675</c:v>
                </c:pt>
                <c:pt idx="736">
                  <c:v>3680</c:v>
                </c:pt>
                <c:pt idx="737">
                  <c:v>3685</c:v>
                </c:pt>
                <c:pt idx="738">
                  <c:v>3690</c:v>
                </c:pt>
                <c:pt idx="739">
                  <c:v>3695</c:v>
                </c:pt>
                <c:pt idx="740">
                  <c:v>3700</c:v>
                </c:pt>
                <c:pt idx="741">
                  <c:v>3705</c:v>
                </c:pt>
                <c:pt idx="742">
                  <c:v>3710</c:v>
                </c:pt>
                <c:pt idx="743">
                  <c:v>3715</c:v>
                </c:pt>
                <c:pt idx="744">
                  <c:v>3720</c:v>
                </c:pt>
                <c:pt idx="745">
                  <c:v>3725</c:v>
                </c:pt>
                <c:pt idx="746">
                  <c:v>3730</c:v>
                </c:pt>
                <c:pt idx="747">
                  <c:v>3735</c:v>
                </c:pt>
                <c:pt idx="748">
                  <c:v>3740</c:v>
                </c:pt>
                <c:pt idx="749">
                  <c:v>3745</c:v>
                </c:pt>
                <c:pt idx="750">
                  <c:v>3750</c:v>
                </c:pt>
                <c:pt idx="751">
                  <c:v>3755</c:v>
                </c:pt>
                <c:pt idx="752">
                  <c:v>3760</c:v>
                </c:pt>
                <c:pt idx="753">
                  <c:v>3765</c:v>
                </c:pt>
                <c:pt idx="754">
                  <c:v>3770</c:v>
                </c:pt>
                <c:pt idx="755">
                  <c:v>3775</c:v>
                </c:pt>
                <c:pt idx="756">
                  <c:v>3780</c:v>
                </c:pt>
                <c:pt idx="757">
                  <c:v>3785</c:v>
                </c:pt>
                <c:pt idx="758">
                  <c:v>3790</c:v>
                </c:pt>
                <c:pt idx="759">
                  <c:v>3795</c:v>
                </c:pt>
                <c:pt idx="760">
                  <c:v>3800</c:v>
                </c:pt>
                <c:pt idx="761">
                  <c:v>3805</c:v>
                </c:pt>
                <c:pt idx="762">
                  <c:v>3810</c:v>
                </c:pt>
                <c:pt idx="763">
                  <c:v>3815</c:v>
                </c:pt>
                <c:pt idx="764">
                  <c:v>3820</c:v>
                </c:pt>
                <c:pt idx="765">
                  <c:v>3825</c:v>
                </c:pt>
                <c:pt idx="766">
                  <c:v>3830</c:v>
                </c:pt>
                <c:pt idx="767">
                  <c:v>3835</c:v>
                </c:pt>
                <c:pt idx="768">
                  <c:v>3840</c:v>
                </c:pt>
                <c:pt idx="769">
                  <c:v>3845</c:v>
                </c:pt>
                <c:pt idx="770">
                  <c:v>3850</c:v>
                </c:pt>
                <c:pt idx="771">
                  <c:v>3855</c:v>
                </c:pt>
                <c:pt idx="772">
                  <c:v>3860</c:v>
                </c:pt>
                <c:pt idx="773">
                  <c:v>3865</c:v>
                </c:pt>
                <c:pt idx="774">
                  <c:v>3870</c:v>
                </c:pt>
                <c:pt idx="775">
                  <c:v>3875</c:v>
                </c:pt>
                <c:pt idx="776">
                  <c:v>3880</c:v>
                </c:pt>
                <c:pt idx="777">
                  <c:v>3885</c:v>
                </c:pt>
                <c:pt idx="778">
                  <c:v>3890</c:v>
                </c:pt>
                <c:pt idx="779">
                  <c:v>3895</c:v>
                </c:pt>
                <c:pt idx="780">
                  <c:v>3900</c:v>
                </c:pt>
                <c:pt idx="781">
                  <c:v>3905</c:v>
                </c:pt>
                <c:pt idx="782">
                  <c:v>3910</c:v>
                </c:pt>
                <c:pt idx="783">
                  <c:v>3915</c:v>
                </c:pt>
                <c:pt idx="784">
                  <c:v>3920</c:v>
                </c:pt>
                <c:pt idx="785">
                  <c:v>3925</c:v>
                </c:pt>
                <c:pt idx="786">
                  <c:v>3930</c:v>
                </c:pt>
                <c:pt idx="787">
                  <c:v>3935</c:v>
                </c:pt>
                <c:pt idx="788">
                  <c:v>3940</c:v>
                </c:pt>
                <c:pt idx="789">
                  <c:v>3945</c:v>
                </c:pt>
                <c:pt idx="790">
                  <c:v>3950</c:v>
                </c:pt>
                <c:pt idx="791">
                  <c:v>3955</c:v>
                </c:pt>
                <c:pt idx="792">
                  <c:v>3960</c:v>
                </c:pt>
                <c:pt idx="793">
                  <c:v>3965</c:v>
                </c:pt>
                <c:pt idx="794">
                  <c:v>3970</c:v>
                </c:pt>
              </c:numCache>
            </c:numRef>
          </c:xVal>
          <c:yVal>
            <c:numRef>
              <c:f>'Gamow Peak'!$R$6:$R$800</c:f>
              <c:numCache>
                <c:formatCode>0.000E+00</c:formatCode>
                <c:ptCount val="795"/>
                <c:pt idx="0">
                  <c:v>0</c:v>
                </c:pt>
                <c:pt idx="1">
                  <c:v>4.5610981195915779E-12</c:v>
                </c:pt>
                <c:pt idx="2">
                  <c:v>2.0851169340210763E-5</c:v>
                </c:pt>
                <c:pt idx="3">
                  <c:v>1.860574011122109E-2</c:v>
                </c:pt>
                <c:pt idx="4">
                  <c:v>1.0678363778678335</c:v>
                </c:pt>
                <c:pt idx="5">
                  <c:v>16.935886436790927</c:v>
                </c:pt>
                <c:pt idx="6">
                  <c:v>130.26716500489223</c:v>
                </c:pt>
                <c:pt idx="7">
                  <c:v>635.99656187903622</c:v>
                </c:pt>
                <c:pt idx="8">
                  <c:v>2283.154032266043</c:v>
                </c:pt>
                <c:pt idx="9">
                  <c:v>6581.3725797234738</c:v>
                </c:pt>
                <c:pt idx="10">
                  <c:v>16116.760755285704</c:v>
                </c:pt>
                <c:pt idx="11">
                  <c:v>34826.718998294811</c:v>
                </c:pt>
                <c:pt idx="12">
                  <c:v>68201.429807631401</c:v>
                </c:pt>
                <c:pt idx="13">
                  <c:v>123399.10748021289</c:v>
                </c:pt>
                <c:pt idx="14">
                  <c:v>209276.86173682878</c:v>
                </c:pt>
                <c:pt idx="15">
                  <c:v>336348.01368290454</c:v>
                </c:pt>
                <c:pt idx="16">
                  <c:v>516680.84391329857</c:v>
                </c:pt>
                <c:pt idx="17">
                  <c:v>763754.56070484093</c:v>
                </c:pt>
                <c:pt idx="18">
                  <c:v>1092287.1157762138</c:v>
                </c:pt>
                <c:pt idx="19">
                  <c:v>1518047.3710441426</c:v>
                </c:pt>
                <c:pt idx="20">
                  <c:v>2057661.6848252122</c:v>
                </c:pt>
                <c:pt idx="21">
                  <c:v>2728422.6198617462</c:v>
                </c:pt>
                <c:pt idx="22">
                  <c:v>3548105.3712705183</c:v>
                </c:pt>
                <c:pt idx="23">
                  <c:v>4534795.7454942241</c:v>
                </c:pt>
                <c:pt idx="24">
                  <c:v>5706732.0991284549</c:v>
                </c:pt>
                <c:pt idx="25">
                  <c:v>7082162.5412309542</c:v>
                </c:pt>
                <c:pt idx="26">
                  <c:v>8679217.8711196948</c:v>
                </c:pt>
                <c:pt idx="27">
                  <c:v>10515800.118605772</c:v>
                </c:pt>
                <c:pt idx="28">
                  <c:v>12609486.130281402</c:v>
                </c:pt>
                <c:pt idx="29">
                  <c:v>14977445.364261186</c:v>
                </c:pt>
                <c:pt idx="30">
                  <c:v>17636370.883174185</c:v>
                </c:pt>
                <c:pt idx="31">
                  <c:v>20602422.443824019</c:v>
                </c:pt>
                <c:pt idx="32">
                  <c:v>23891180.549870502</c:v>
                </c:pt>
                <c:pt idx="33">
                  <c:v>27517610.343983609</c:v>
                </c:pt>
                <c:pt idx="34">
                  <c:v>31496034.254951231</c:v>
                </c:pt>
                <c:pt idx="35">
                  <c:v>35840112.373156808</c:v>
                </c:pt>
                <c:pt idx="36">
                  <c:v>40562829.597192414</c:v>
                </c:pt>
                <c:pt idx="37">
                  <c:v>45676488.669642515</c:v>
                </c:pt>
                <c:pt idx="38">
                  <c:v>51192708.29730498</c:v>
                </c:pt>
                <c:pt idx="39">
                  <c:v>57122425.627545245</c:v>
                </c:pt>
                <c:pt idx="40">
                  <c:v>63475902.426207587</c:v>
                </c:pt>
                <c:pt idx="41">
                  <c:v>70262734.3723398</c:v>
                </c:pt>
                <c:pt idx="42">
                  <c:v>77491862.950173259</c:v>
                </c:pt>
                <c:pt idx="43">
                  <c:v>85171589.479002491</c:v>
                </c:pt>
                <c:pt idx="44">
                  <c:v>93309590.876681611</c:v>
                </c:pt>
                <c:pt idx="45">
                  <c:v>101912936.80248819</c:v>
                </c:pt>
                <c:pt idx="46">
                  <c:v>110988107.87027101</c:v>
                </c:pt>
                <c:pt idx="47">
                  <c:v>120541014.6633537</c:v>
                </c:pt>
                <c:pt idx="48">
                  <c:v>130577017.31892887</c:v>
                </c:pt>
                <c:pt idx="49">
                  <c:v>141100945.48195297</c:v>
                </c:pt>
                <c:pt idx="50">
                  <c:v>152117118.45720351</c:v>
                </c:pt>
                <c:pt idx="51">
                  <c:v>163629365.41348171</c:v>
                </c:pt>
                <c:pt idx="52">
                  <c:v>175641045.51628366</c:v>
                </c:pt>
                <c:pt idx="53">
                  <c:v>188155067.8848955</c:v>
                </c:pt>
                <c:pt idx="54">
                  <c:v>201173911.28708789</c:v>
                </c:pt>
                <c:pt idx="55">
                  <c:v>214699643.49963826</c:v>
                </c:pt>
                <c:pt idx="56">
                  <c:v>228733940.27604908</c:v>
                </c:pt>
                <c:pt idx="57">
                  <c:v>243278103.87424037</c:v>
                </c:pt>
                <c:pt idx="58">
                  <c:v>258333081.10691977</c:v>
                </c:pt>
                <c:pt idx="59">
                  <c:v>273899480.88588607</c:v>
                </c:pt>
                <c:pt idx="60">
                  <c:v>289977591.23891991</c:v>
                </c:pt>
                <c:pt idx="61">
                  <c:v>306567395.78425562</c:v>
                </c:pt>
                <c:pt idx="62">
                  <c:v>323668589.65306467</c:v>
                </c:pt>
                <c:pt idx="63">
                  <c:v>341280594.85500669</c:v>
                </c:pt>
                <c:pt idx="64">
                  <c:v>359402575.08582854</c:v>
                </c:pt>
                <c:pt idx="65">
                  <c:v>378033449.97930503</c:v>
                </c:pt>
                <c:pt idx="66">
                  <c:v>397171908.80858409</c:v>
                </c:pt>
                <c:pt idx="67">
                  <c:v>416816423.64431447</c:v>
                </c:pt>
                <c:pt idx="68">
                  <c:v>436965261.97881019</c:v>
                </c:pt>
                <c:pt idx="69">
                  <c:v>457616498.82708287</c:v>
                </c:pt>
                <c:pt idx="70">
                  <c:v>478768028.31677455</c:v>
                </c:pt>
                <c:pt idx="71">
                  <c:v>500417574.78003389</c:v>
                </c:pt>
                <c:pt idx="72">
                  <c:v>522562703.36109275</c:v>
                </c:pt>
                <c:pt idx="73">
                  <c:v>545200830.15387332</c:v>
                </c:pt>
                <c:pt idx="74">
                  <c:v>568329231.88432288</c:v>
                </c:pt>
                <c:pt idx="75">
                  <c:v>591945055.15242064</c:v>
                </c:pt>
                <c:pt idx="76">
                  <c:v>616045325.24891019</c:v>
                </c:pt>
                <c:pt idx="77">
                  <c:v>640626954.5618329</c:v>
                </c:pt>
                <c:pt idx="78">
                  <c:v>665686750.5878489</c:v>
                </c:pt>
                <c:pt idx="79">
                  <c:v>691221423.56320858</c:v>
                </c:pt>
                <c:pt idx="80">
                  <c:v>717227593.72900808</c:v>
                </c:pt>
                <c:pt idx="81">
                  <c:v>743701798.24511766</c:v>
                </c:pt>
                <c:pt idx="82">
                  <c:v>770640497.76687407</c:v>
                </c:pt>
                <c:pt idx="83">
                  <c:v>798040082.69831002</c:v>
                </c:pt>
                <c:pt idx="84">
                  <c:v>825896879.13530493</c:v>
                </c:pt>
                <c:pt idx="85">
                  <c:v>854207154.51172495</c:v>
                </c:pt>
                <c:pt idx="86">
                  <c:v>882967122.96117508</c:v>
                </c:pt>
                <c:pt idx="87">
                  <c:v>912172950.406636</c:v>
                </c:pt>
                <c:pt idx="88">
                  <c:v>941820759.38982654</c:v>
                </c:pt>
                <c:pt idx="89">
                  <c:v>971906633.65174365</c:v>
                </c:pt>
                <c:pt idx="90">
                  <c:v>1002426622.4754285</c:v>
                </c:pt>
                <c:pt idx="91">
                  <c:v>1033376744.8015853</c:v>
                </c:pt>
                <c:pt idx="92">
                  <c:v>1064752993.1273056</c:v>
                </c:pt>
                <c:pt idx="93">
                  <c:v>1096551337.1977553</c:v>
                </c:pt>
                <c:pt idx="94">
                  <c:v>1128767727.5002685</c:v>
                </c:pt>
                <c:pt idx="95">
                  <c:v>1161398098.5699637</c:v>
                </c:pt>
                <c:pt idx="96">
                  <c:v>1194438372.1155787</c:v>
                </c:pt>
                <c:pt idx="97">
                  <c:v>1227884459.9739029</c:v>
                </c:pt>
                <c:pt idx="98">
                  <c:v>1261732266.9008214</c:v>
                </c:pt>
                <c:pt idx="99">
                  <c:v>1295977693.2066202</c:v>
                </c:pt>
                <c:pt idx="100">
                  <c:v>1330616637.2429509</c:v>
                </c:pt>
                <c:pt idx="101">
                  <c:v>1365644997.7484307</c:v>
                </c:pt>
                <c:pt idx="102">
                  <c:v>1401058676.0596569</c:v>
                </c:pt>
                <c:pt idx="103">
                  <c:v>1436853578.1940129</c:v>
                </c:pt>
                <c:pt idx="104">
                  <c:v>1473025616.8104899</c:v>
                </c:pt>
                <c:pt idx="105">
                  <c:v>1509570713.0543001</c:v>
                </c:pt>
                <c:pt idx="106">
                  <c:v>1546484798.2909896</c:v>
                </c:pt>
                <c:pt idx="107">
                  <c:v>1583763815.7353475</c:v>
                </c:pt>
                <c:pt idx="108">
                  <c:v>1621403721.9802606</c:v>
                </c:pt>
                <c:pt idx="109">
                  <c:v>1659400488.4303753</c:v>
                </c:pt>
                <c:pt idx="110">
                  <c:v>1697750102.6452589</c:v>
                </c:pt>
                <c:pt idx="111">
                  <c:v>1736448569.596478</c:v>
                </c:pt>
                <c:pt idx="112">
                  <c:v>1775491912.8428469</c:v>
                </c:pt>
                <c:pt idx="113">
                  <c:v>1814876175.627929</c:v>
                </c:pt>
                <c:pt idx="114">
                  <c:v>1854597421.9035738</c:v>
                </c:pt>
                <c:pt idx="115">
                  <c:v>1894651737.283268</c:v>
                </c:pt>
                <c:pt idx="116">
                  <c:v>1935035229.9287205</c:v>
                </c:pt>
                <c:pt idx="117">
                  <c:v>1975744031.3730931</c:v>
                </c:pt>
                <c:pt idx="118">
                  <c:v>2016774297.284034</c:v>
                </c:pt>
                <c:pt idx="119">
                  <c:v>2058122208.1695535</c:v>
                </c:pt>
                <c:pt idx="120">
                  <c:v>2099783970.0296659</c:v>
                </c:pt>
                <c:pt idx="121">
                  <c:v>2141755814.9565129</c:v>
                </c:pt>
                <c:pt idx="122">
                  <c:v>2184034001.6856523</c:v>
                </c:pt>
                <c:pt idx="123">
                  <c:v>2226614816.1009727</c:v>
                </c:pt>
                <c:pt idx="124">
                  <c:v>2269494571.6956463</c:v>
                </c:pt>
                <c:pt idx="125">
                  <c:v>2312669609.9913883</c:v>
                </c:pt>
                <c:pt idx="126">
                  <c:v>2356136300.9181943</c:v>
                </c:pt>
                <c:pt idx="127">
                  <c:v>2399891043.1566052</c:v>
                </c:pt>
                <c:pt idx="128">
                  <c:v>2443930264.4444718</c:v>
                </c:pt>
                <c:pt idx="129">
                  <c:v>2488250421.8501101</c:v>
                </c:pt>
                <c:pt idx="130">
                  <c:v>2532848002.0136018</c:v>
                </c:pt>
                <c:pt idx="131">
                  <c:v>2577719521.3579283</c:v>
                </c:pt>
                <c:pt idx="132">
                  <c:v>2622861526.2716222</c:v>
                </c:pt>
                <c:pt idx="133">
                  <c:v>2668270593.2643671</c:v>
                </c:pt>
                <c:pt idx="134">
                  <c:v>2713943329.097116</c:v>
                </c:pt>
                <c:pt idx="135">
                  <c:v>2759876370.8880568</c:v>
                </c:pt>
                <c:pt idx="136">
                  <c:v>2806066386.1957731</c:v>
                </c:pt>
                <c:pt idx="137">
                  <c:v>2852510073.0808578</c:v>
                </c:pt>
                <c:pt idx="138">
                  <c:v>2899204160.1471972</c:v>
                </c:pt>
                <c:pt idx="139">
                  <c:v>2946145406.564065</c:v>
                </c:pt>
                <c:pt idx="140">
                  <c:v>2993330602.070076</c:v>
                </c:pt>
                <c:pt idx="141">
                  <c:v>3040756566.9601164</c:v>
                </c:pt>
                <c:pt idx="142">
                  <c:v>3088420152.0561657</c:v>
                </c:pt>
                <c:pt idx="143">
                  <c:v>3136318238.6629691</c:v>
                </c:pt>
                <c:pt idx="144">
                  <c:v>3184447738.5094738</c:v>
                </c:pt>
                <c:pt idx="145">
                  <c:v>3232805593.6768532</c:v>
                </c:pt>
                <c:pt idx="146">
                  <c:v>3281388776.5139432</c:v>
                </c:pt>
                <c:pt idx="147">
                  <c:v>3330194289.5408306</c:v>
                </c:pt>
                <c:pt idx="148">
                  <c:v>3379219165.3414001</c:v>
                </c:pt>
                <c:pt idx="149">
                  <c:v>3428460466.4454093</c:v>
                </c:pt>
                <c:pt idx="150">
                  <c:v>3477915285.2008853</c:v>
                </c:pt>
                <c:pt idx="151">
                  <c:v>3527580743.6373787</c:v>
                </c:pt>
                <c:pt idx="152">
                  <c:v>3577453993.3207035</c:v>
                </c:pt>
                <c:pt idx="153">
                  <c:v>3627532215.1997585</c:v>
                </c:pt>
                <c:pt idx="154">
                  <c:v>3677812619.4459114</c:v>
                </c:pt>
                <c:pt idx="155">
                  <c:v>3728292445.2855129</c:v>
                </c:pt>
                <c:pt idx="156">
                  <c:v>3778968960.8259964</c:v>
                </c:pt>
                <c:pt idx="157">
                  <c:v>3829839462.8760204</c:v>
                </c:pt>
                <c:pt idx="158">
                  <c:v>3880901276.7601495</c:v>
                </c:pt>
                <c:pt idx="159">
                  <c:v>3932151756.1284022</c:v>
                </c:pt>
                <c:pt idx="160">
                  <c:v>3983588282.7611456</c:v>
                </c:pt>
                <c:pt idx="161">
                  <c:v>4035208266.3696756</c:v>
                </c:pt>
                <c:pt idx="162">
                  <c:v>4087009144.3927965</c:v>
                </c:pt>
                <c:pt idx="163">
                  <c:v>4138988381.7898641</c:v>
                </c:pt>
                <c:pt idx="164">
                  <c:v>4191143470.8304791</c:v>
                </c:pt>
                <c:pt idx="165">
                  <c:v>4243471930.8811936</c:v>
                </c:pt>
                <c:pt idx="166">
                  <c:v>4295971308.1895561</c:v>
                </c:pt>
                <c:pt idx="167">
                  <c:v>4348639175.6656914</c:v>
                </c:pt>
                <c:pt idx="168">
                  <c:v>4401473132.6617584</c:v>
                </c:pt>
                <c:pt idx="169">
                  <c:v>4454470804.7494459</c:v>
                </c:pt>
                <c:pt idx="170">
                  <c:v>4507629843.4958248</c:v>
                </c:pt>
                <c:pt idx="171">
                  <c:v>4560947926.237709</c:v>
                </c:pt>
                <c:pt idx="172">
                  <c:v>4614422755.8548012</c:v>
                </c:pt>
                <c:pt idx="173">
                  <c:v>4668052060.5417194</c:v>
                </c:pt>
                <c:pt idx="174">
                  <c:v>4721833593.5792437</c:v>
                </c:pt>
                <c:pt idx="175">
                  <c:v>4775765133.1048012</c:v>
                </c:pt>
                <c:pt idx="176">
                  <c:v>4829844481.8824549</c:v>
                </c:pt>
                <c:pt idx="177">
                  <c:v>4884069467.0725603</c:v>
                </c:pt>
                <c:pt idx="178">
                  <c:v>4938437940.0011415</c:v>
                </c:pt>
                <c:pt idx="179">
                  <c:v>4992947775.9292688</c:v>
                </c:pt>
                <c:pt idx="180">
                  <c:v>5047596873.8224373</c:v>
                </c:pt>
                <c:pt idx="181">
                  <c:v>5102383156.1201792</c:v>
                </c:pt>
                <c:pt idx="182">
                  <c:v>5157304568.5059414</c:v>
                </c:pt>
                <c:pt idx="183">
                  <c:v>5212359079.6774139</c:v>
                </c:pt>
                <c:pt idx="184">
                  <c:v>5267544681.1173573</c:v>
                </c:pt>
                <c:pt idx="185">
                  <c:v>5322859386.8650646</c:v>
                </c:pt>
                <c:pt idx="186">
                  <c:v>5378301233.2885313</c:v>
                </c:pt>
                <c:pt idx="187">
                  <c:v>5433868278.8574209</c:v>
                </c:pt>
                <c:pt idx="188">
                  <c:v>5489558603.9169331</c:v>
                </c:pt>
                <c:pt idx="189">
                  <c:v>5545370310.462595</c:v>
                </c:pt>
                <c:pt idx="190">
                  <c:v>5601301521.9161205</c:v>
                </c:pt>
                <c:pt idx="191">
                  <c:v>5657350382.9023485</c:v>
                </c:pt>
                <c:pt idx="192">
                  <c:v>5713515059.0273428</c:v>
                </c:pt>
                <c:pt idx="193">
                  <c:v>5769793736.6577158</c:v>
                </c:pt>
                <c:pt idx="194">
                  <c:v>5826184622.7012262</c:v>
                </c:pt>
                <c:pt idx="195">
                  <c:v>5882685944.3886909</c:v>
                </c:pt>
                <c:pt idx="196">
                  <c:v>5939295949.0572824</c:v>
                </c:pt>
                <c:pt idx="197">
                  <c:v>5996012903.9352331</c:v>
                </c:pt>
                <c:pt idx="198">
                  <c:v>6052835095.9279938</c:v>
                </c:pt>
                <c:pt idx="199">
                  <c:v>6109760831.4058933</c:v>
                </c:pt>
                <c:pt idx="200">
                  <c:v>6166788435.9933147</c:v>
                </c:pt>
                <c:pt idx="201">
                  <c:v>6223916254.359437</c:v>
                </c:pt>
                <c:pt idx="202">
                  <c:v>6281142650.0105648</c:v>
                </c:pt>
                <c:pt idx="203">
                  <c:v>6338466005.0840559</c:v>
                </c:pt>
                <c:pt idx="204">
                  <c:v>6395884720.1439171</c:v>
                </c:pt>
                <c:pt idx="205">
                  <c:v>6453397213.978035</c:v>
                </c:pt>
                <c:pt idx="206">
                  <c:v>6511001923.397089</c:v>
                </c:pt>
                <c:pt idx="207">
                  <c:v>6568697303.0351677</c:v>
                </c:pt>
                <c:pt idx="208">
                  <c:v>6626481825.1520853</c:v>
                </c:pt>
                <c:pt idx="209">
                  <c:v>6684353979.4374437</c:v>
                </c:pt>
                <c:pt idx="210">
                  <c:v>6742312272.8164072</c:v>
                </c:pt>
                <c:pt idx="211">
                  <c:v>6800355229.2572498</c:v>
                </c:pt>
                <c:pt idx="212">
                  <c:v>6858481389.5806322</c:v>
                </c:pt>
                <c:pt idx="213">
                  <c:v>6916689311.2706575</c:v>
                </c:pt>
                <c:pt idx="214">
                  <c:v>6974977568.2877035</c:v>
                </c:pt>
                <c:pt idx="215">
                  <c:v>7033344750.883008</c:v>
                </c:pt>
                <c:pt idx="216">
                  <c:v>7091789465.4150562</c:v>
                </c:pt>
                <c:pt idx="217">
                  <c:v>7150310334.1677017</c:v>
                </c:pt>
                <c:pt idx="218">
                  <c:v>7208905995.1701384</c:v>
                </c:pt>
                <c:pt idx="219">
                  <c:v>7267575102.0185785</c:v>
                </c:pt>
                <c:pt idx="220">
                  <c:v>7326316323.6997595</c:v>
                </c:pt>
                <c:pt idx="221">
                  <c:v>7385128344.4162083</c:v>
                </c:pt>
                <c:pt idx="222">
                  <c:v>7444009863.4132586</c:v>
                </c:pt>
                <c:pt idx="223">
                  <c:v>7502959594.807888</c:v>
                </c:pt>
                <c:pt idx="224">
                  <c:v>7561976267.4192696</c:v>
                </c:pt>
                <c:pt idx="225">
                  <c:v>7621058624.6011047</c:v>
                </c:pt>
                <c:pt idx="226">
                  <c:v>7680205424.0757198</c:v>
                </c:pt>
                <c:pt idx="227">
                  <c:v>7739415437.7698793</c:v>
                </c:pt>
                <c:pt idx="228">
                  <c:v>7798687451.6523666</c:v>
                </c:pt>
                <c:pt idx="229">
                  <c:v>7858020265.5732794</c:v>
                </c:pt>
                <c:pt idx="230">
                  <c:v>7917412693.1050529</c:v>
                </c:pt>
                <c:pt idx="231">
                  <c:v>7976863561.3851938</c:v>
                </c:pt>
                <c:pt idx="232">
                  <c:v>8036371710.9607334</c:v>
                </c:pt>
                <c:pt idx="233">
                  <c:v>8095935995.6343422</c:v>
                </c:pt>
                <c:pt idx="234">
                  <c:v>8155555282.3121595</c:v>
                </c:pt>
                <c:pt idx="235">
                  <c:v>8215228450.8532906</c:v>
                </c:pt>
                <c:pt idx="236">
                  <c:v>8274954393.9209442</c:v>
                </c:pt>
                <c:pt idx="237">
                  <c:v>8334732016.8352566</c:v>
                </c:pt>
                <c:pt idx="238">
                  <c:v>8394560237.4277172</c:v>
                </c:pt>
                <c:pt idx="239">
                  <c:v>8454437985.8972483</c:v>
                </c:pt>
                <c:pt idx="240">
                  <c:v>8514364204.6678972</c:v>
                </c:pt>
                <c:pt idx="241">
                  <c:v>8574337848.2481136</c:v>
                </c:pt>
                <c:pt idx="242">
                  <c:v>8634357883.0916405</c:v>
                </c:pt>
                <c:pt idx="243">
                  <c:v>8694423287.4599457</c:v>
                </c:pt>
                <c:pt idx="244">
                  <c:v>8754533051.2862835</c:v>
                </c:pt>
                <c:pt idx="245">
                  <c:v>8814686176.0412064</c:v>
                </c:pt>
                <c:pt idx="246">
                  <c:v>8874881674.5997391</c:v>
                </c:pt>
                <c:pt idx="247">
                  <c:v>8935118571.1099606</c:v>
                </c:pt>
                <c:pt idx="248">
                  <c:v>8995395900.863184</c:v>
                </c:pt>
                <c:pt idx="249">
                  <c:v>9055712710.1655407</c:v>
                </c:pt>
                <c:pt idx="250">
                  <c:v>9116068056.2111874</c:v>
                </c:pt>
                <c:pt idx="251">
                  <c:v>9176461006.9568081</c:v>
                </c:pt>
                <c:pt idx="252">
                  <c:v>9236890640.9977417</c:v>
                </c:pt>
                <c:pt idx="253">
                  <c:v>9297356047.4454079</c:v>
                </c:pt>
                <c:pt idx="254">
                  <c:v>9357856325.8062687</c:v>
                </c:pt>
                <c:pt idx="255">
                  <c:v>9418390585.8621311</c:v>
                </c:pt>
                <c:pt idx="256">
                  <c:v>9478957947.5518913</c:v>
                </c:pt>
                <c:pt idx="257">
                  <c:v>9539557540.8546486</c:v>
                </c:pt>
                <c:pt idx="258">
                  <c:v>9600188505.6741772</c:v>
                </c:pt>
                <c:pt idx="259">
                  <c:v>9660849991.7248077</c:v>
                </c:pt>
                <c:pt idx="260">
                  <c:v>9721541158.4185677</c:v>
                </c:pt>
                <c:pt idx="261">
                  <c:v>9782261174.7537365</c:v>
                </c:pt>
                <c:pt idx="262">
                  <c:v>9843009219.2046585</c:v>
                </c:pt>
                <c:pt idx="263">
                  <c:v>9903784479.6128979</c:v>
                </c:pt>
                <c:pt idx="264">
                  <c:v>9964586153.0796165</c:v>
                </c:pt>
                <c:pt idx="265">
                  <c:v>10025413445.859337</c:v>
                </c:pt>
                <c:pt idx="266">
                  <c:v>10086265573.254845</c:v>
                </c:pt>
                <c:pt idx="267">
                  <c:v>10147141759.513416</c:v>
                </c:pt>
                <c:pt idx="268">
                  <c:v>10208041237.724239</c:v>
                </c:pt>
                <c:pt idx="269">
                  <c:v>10268963249.717087</c:v>
                </c:pt>
                <c:pt idx="270">
                  <c:v>10329907045.962173</c:v>
                </c:pt>
                <c:pt idx="271">
                  <c:v>10390871885.471193</c:v>
                </c:pt>
                <c:pt idx="272">
                  <c:v>10451857035.699566</c:v>
                </c:pt>
                <c:pt idx="273">
                  <c:v>10512861772.449839</c:v>
                </c:pt>
                <c:pt idx="274">
                  <c:v>10573885379.776217</c:v>
                </c:pt>
                <c:pt idx="275">
                  <c:v>10634927149.89027</c:v>
                </c:pt>
                <c:pt idx="276">
                  <c:v>10695986383.067749</c:v>
                </c:pt>
                <c:pt idx="277">
                  <c:v>10757062387.556492</c:v>
                </c:pt>
                <c:pt idx="278">
                  <c:v>10818154479.485493</c:v>
                </c:pt>
                <c:pt idx="279">
                  <c:v>10879261982.774969</c:v>
                </c:pt>
                <c:pt idx="280">
                  <c:v>10940384229.047607</c:v>
                </c:pt>
                <c:pt idx="281">
                  <c:v>11001520557.540777</c:v>
                </c:pt>
                <c:pt idx="282">
                  <c:v>11062670315.019859</c:v>
                </c:pt>
                <c:pt idx="283">
                  <c:v>11123832855.692572</c:v>
                </c:pt>
                <c:pt idx="284">
                  <c:v>11185007541.124346</c:v>
                </c:pt>
                <c:pt idx="285">
                  <c:v>11246193740.15473</c:v>
                </c:pt>
                <c:pt idx="286">
                  <c:v>11307390828.814724</c:v>
                </c:pt>
                <c:pt idx="287">
                  <c:v>11368598190.245213</c:v>
                </c:pt>
                <c:pt idx="288">
                  <c:v>11429815214.616253</c:v>
                </c:pt>
                <c:pt idx="289">
                  <c:v>11491041299.047464</c:v>
                </c:pt>
                <c:pt idx="290">
                  <c:v>11552275847.529219</c:v>
                </c:pt>
                <c:pt idx="291">
                  <c:v>11613518270.844923</c:v>
                </c:pt>
                <c:pt idx="292">
                  <c:v>11674767986.494135</c:v>
                </c:pt>
                <c:pt idx="293">
                  <c:v>11736024418.616636</c:v>
                </c:pt>
                <c:pt idx="294">
                  <c:v>11797286997.917402</c:v>
                </c:pt>
                <c:pt idx="295">
                  <c:v>11858555161.592491</c:v>
                </c:pt>
                <c:pt idx="296">
                  <c:v>11919828353.255793</c:v>
                </c:pt>
                <c:pt idx="297">
                  <c:v>11981106022.866673</c:v>
                </c:pt>
                <c:pt idx="298">
                  <c:v>12042387626.658484</c:v>
                </c:pt>
                <c:pt idx="299">
                  <c:v>12103672627.067913</c:v>
                </c:pt>
                <c:pt idx="300">
                  <c:v>12164960492.665201</c:v>
                </c:pt>
                <c:pt idx="301">
                  <c:v>12226250698.085171</c:v>
                </c:pt>
                <c:pt idx="302">
                  <c:v>12287542723.959116</c:v>
                </c:pt>
                <c:pt idx="303">
                  <c:v>12348836056.847441</c:v>
                </c:pt>
                <c:pt idx="304">
                  <c:v>12410130189.173182</c:v>
                </c:pt>
                <c:pt idx="305">
                  <c:v>12471424619.156252</c:v>
                </c:pt>
                <c:pt idx="306">
                  <c:v>12532718850.748537</c:v>
                </c:pt>
                <c:pt idx="307">
                  <c:v>12594012393.569708</c:v>
                </c:pt>
                <c:pt idx="308">
                  <c:v>12655304762.843849</c:v>
                </c:pt>
                <c:pt idx="309">
                  <c:v>12716595479.336771</c:v>
                </c:pt>
                <c:pt idx="310">
                  <c:v>12777884069.294174</c:v>
                </c:pt>
                <c:pt idx="311">
                  <c:v>12839170064.380455</c:v>
                </c:pt>
                <c:pt idx="312">
                  <c:v>12900453001.618284</c:v>
                </c:pt>
                <c:pt idx="313">
                  <c:v>12961732423.328901</c:v>
                </c:pt>
                <c:pt idx="314">
                  <c:v>13023007877.07312</c:v>
                </c:pt>
                <c:pt idx="315">
                  <c:v>13084278915.593016</c:v>
                </c:pt>
                <c:pt idx="316">
                  <c:v>13145545096.754343</c:v>
                </c:pt>
                <c:pt idx="317">
                  <c:v>13206805983.489592</c:v>
                </c:pt>
                <c:pt idx="318">
                  <c:v>13268061143.741753</c:v>
                </c:pt>
                <c:pt idx="319">
                  <c:v>13329310150.408745</c:v>
                </c:pt>
                <c:pt idx="320">
                  <c:v>13390552581.288496</c:v>
                </c:pt>
                <c:pt idx="321">
                  <c:v>13451788019.024666</c:v>
                </c:pt>
                <c:pt idx="322">
                  <c:v>13513016051.053024</c:v>
                </c:pt>
                <c:pt idx="323">
                  <c:v>13574236269.548468</c:v>
                </c:pt>
                <c:pt idx="324">
                  <c:v>13635448271.37265</c:v>
                </c:pt>
                <c:pt idx="325">
                  <c:v>13696651658.022232</c:v>
                </c:pt>
                <c:pt idx="326">
                  <c:v>13757846035.577765</c:v>
                </c:pt>
                <c:pt idx="327">
                  <c:v>13819031014.653145</c:v>
                </c:pt>
                <c:pt idx="328">
                  <c:v>13880206210.345671</c:v>
                </c:pt>
                <c:pt idx="329">
                  <c:v>13941371242.186741</c:v>
                </c:pt>
                <c:pt idx="330">
                  <c:v>14002525734.093044</c:v>
                </c:pt>
                <c:pt idx="331">
                  <c:v>14063669314.31838</c:v>
                </c:pt>
                <c:pt idx="332">
                  <c:v>14124801615.406055</c:v>
                </c:pt>
                <c:pt idx="333">
                  <c:v>14185922274.141787</c:v>
                </c:pt>
                <c:pt idx="334">
                  <c:v>14247030931.507238</c:v>
                </c:pt>
                <c:pt idx="335">
                  <c:v>14308127232.634018</c:v>
                </c:pt>
                <c:pt idx="336">
                  <c:v>14369210826.75824</c:v>
                </c:pt>
                <c:pt idx="337">
                  <c:v>14430281367.175701</c:v>
                </c:pt>
                <c:pt idx="338">
                  <c:v>14491338511.197433</c:v>
                </c:pt>
                <c:pt idx="339">
                  <c:v>14552381920.105894</c:v>
                </c:pt>
                <c:pt idx="340">
                  <c:v>14613411259.111654</c:v>
                </c:pt>
                <c:pt idx="341">
                  <c:v>14674426197.310499</c:v>
                </c:pt>
                <c:pt idx="342">
                  <c:v>14735426407.641171</c:v>
                </c:pt>
                <c:pt idx="343">
                  <c:v>14796411566.843489</c:v>
                </c:pt>
                <c:pt idx="344">
                  <c:v>14857381355.417038</c:v>
                </c:pt>
                <c:pt idx="345">
                  <c:v>14918335457.580246</c:v>
                </c:pt>
                <c:pt idx="346">
                  <c:v>14979273561.230068</c:v>
                </c:pt>
                <c:pt idx="347">
                  <c:v>15040195357.901987</c:v>
                </c:pt>
                <c:pt idx="348">
                  <c:v>15101100542.730619</c:v>
                </c:pt>
                <c:pt idx="349">
                  <c:v>15161988814.410685</c:v>
                </c:pt>
                <c:pt idx="350">
                  <c:v>15222859875.158451</c:v>
                </c:pt>
                <c:pt idx="351">
                  <c:v>15283713430.673668</c:v>
                </c:pt>
                <c:pt idx="352">
                  <c:v>15344549190.101892</c:v>
                </c:pt>
                <c:pt idx="353">
                  <c:v>15405366865.997211</c:v>
                </c:pt>
                <c:pt idx="354">
                  <c:v>15466166174.285559</c:v>
                </c:pt>
                <c:pt idx="355">
                  <c:v>15526946834.228239</c:v>
                </c:pt>
                <c:pt idx="356">
                  <c:v>15587708568.386051</c:v>
                </c:pt>
                <c:pt idx="357">
                  <c:v>15648451102.58371</c:v>
                </c:pt>
                <c:pt idx="358">
                  <c:v>15709174165.874741</c:v>
                </c:pt>
                <c:pt idx="359">
                  <c:v>15769877490.506769</c:v>
                </c:pt>
                <c:pt idx="360">
                  <c:v>15830560811.887148</c:v>
                </c:pt>
                <c:pt idx="361">
                  <c:v>15891223868.549118</c:v>
                </c:pt>
                <c:pt idx="362">
                  <c:v>15951866402.11817</c:v>
                </c:pt>
                <c:pt idx="363">
                  <c:v>16012488157.27898</c:v>
                </c:pt>
                <c:pt idx="364">
                  <c:v>16073088881.742559</c:v>
                </c:pt>
                <c:pt idx="365">
                  <c:v>16133668326.213903</c:v>
                </c:pt>
                <c:pt idx="366">
                  <c:v>16194226244.359962</c:v>
                </c:pt>
                <c:pt idx="367">
                  <c:v>16254762392.777948</c:v>
                </c:pt>
                <c:pt idx="368">
                  <c:v>16315276530.96405</c:v>
                </c:pt>
                <c:pt idx="369">
                  <c:v>16375768421.282536</c:v>
                </c:pt>
                <c:pt idx="370">
                  <c:v>16436237828.935049</c:v>
                </c:pt>
                <c:pt idx="371">
                  <c:v>16496684521.930487</c:v>
                </c:pt>
                <c:pt idx="372">
                  <c:v>16557108271.055027</c:v>
                </c:pt>
                <c:pt idx="373">
                  <c:v>16617508849.842592</c:v>
                </c:pt>
                <c:pt idx="374">
                  <c:v>16677886034.545622</c:v>
                </c:pt>
                <c:pt idx="375">
                  <c:v>16738239604.106173</c:v>
                </c:pt>
                <c:pt idx="376">
                  <c:v>16798569340.127367</c:v>
                </c:pt>
                <c:pt idx="377">
                  <c:v>16858875026.845154</c:v>
                </c:pt>
                <c:pt idx="378">
                  <c:v>16919156451.100357</c:v>
                </c:pt>
                <c:pt idx="379">
                  <c:v>16979413402.311104</c:v>
                </c:pt>
                <c:pt idx="380">
                  <c:v>17039645672.445509</c:v>
                </c:pt>
                <c:pt idx="381">
                  <c:v>17099853055.994673</c:v>
                </c:pt>
                <c:pt idx="382">
                  <c:v>17160035349.946066</c:v>
                </c:pt>
                <c:pt idx="383">
                  <c:v>17220192353.757034</c:v>
                </c:pt>
                <c:pt idx="384">
                  <c:v>17280323869.3288</c:v>
                </c:pt>
                <c:pt idx="385">
                  <c:v>17340429700.980652</c:v>
                </c:pt>
                <c:pt idx="386">
                  <c:v>17400509655.424435</c:v>
                </c:pt>
                <c:pt idx="387">
                  <c:v>17460563541.739292</c:v>
                </c:pt>
                <c:pt idx="388">
                  <c:v>17520591171.346806</c:v>
                </c:pt>
                <c:pt idx="389">
                  <c:v>17580592357.986294</c:v>
                </c:pt>
                <c:pt idx="390">
                  <c:v>17640566917.690403</c:v>
                </c:pt>
                <c:pt idx="391">
                  <c:v>17700514668.761066</c:v>
                </c:pt>
                <c:pt idx="392">
                  <c:v>17760435431.745625</c:v>
                </c:pt>
                <c:pt idx="393">
                  <c:v>17820329029.413235</c:v>
                </c:pt>
                <c:pt idx="394">
                  <c:v>17880195286.731617</c:v>
                </c:pt>
                <c:pt idx="395">
                  <c:v>17940034030.843941</c:v>
                </c:pt>
                <c:pt idx="396">
                  <c:v>17999845091.046062</c:v>
                </c:pt>
                <c:pt idx="397">
                  <c:v>18059628298.763992</c:v>
                </c:pt>
                <c:pt idx="398">
                  <c:v>18119383487.531563</c:v>
                </c:pt>
                <c:pt idx="399">
                  <c:v>18179110492.968433</c:v>
                </c:pt>
                <c:pt idx="400">
                  <c:v>18238809152.75824</c:v>
                </c:pt>
                <c:pt idx="401">
                  <c:v>18298479306.627071</c:v>
                </c:pt>
                <c:pt idx="402">
                  <c:v>18358120796.322128</c:v>
                </c:pt>
                <c:pt idx="403">
                  <c:v>18417733465.590645</c:v>
                </c:pt>
                <c:pt idx="404">
                  <c:v>18477317160.159039</c:v>
                </c:pt>
                <c:pt idx="405">
                  <c:v>18536871727.712303</c:v>
                </c:pt>
                <c:pt idx="406">
                  <c:v>18596397017.873539</c:v>
                </c:pt>
                <c:pt idx="407">
                  <c:v>18655892882.183891</c:v>
                </c:pt>
                <c:pt idx="408">
                  <c:v>18715359174.082508</c:v>
                </c:pt>
                <c:pt idx="409">
                  <c:v>18774795748.886826</c:v>
                </c:pt>
                <c:pt idx="410">
                  <c:v>18834202463.773117</c:v>
                </c:pt>
                <c:pt idx="411">
                  <c:v>18893579177.757111</c:v>
                </c:pt>
                <c:pt idx="412">
                  <c:v>18952925751.674942</c:v>
                </c:pt>
                <c:pt idx="413">
                  <c:v>19012242048.164288</c:v>
                </c:pt>
                <c:pt idx="414">
                  <c:v>19071527931.645615</c:v>
                </c:pt>
                <c:pt idx="415">
                  <c:v>19130783268.303802</c:v>
                </c:pt>
                <c:pt idx="416">
                  <c:v>19190007926.069817</c:v>
                </c:pt>
                <c:pt idx="417">
                  <c:v>19249201774.602673</c:v>
                </c:pt>
                <c:pt idx="418">
                  <c:v>19308364685.271511</c:v>
                </c:pt>
                <c:pt idx="419">
                  <c:v>19367496531.137978</c:v>
                </c:pt>
                <c:pt idx="420">
                  <c:v>19426597186.938713</c:v>
                </c:pt>
                <c:pt idx="421">
                  <c:v>19485666529.068012</c:v>
                </c:pt>
                <c:pt idx="422">
                  <c:v>19544704435.560799</c:v>
                </c:pt>
                <c:pt idx="423">
                  <c:v>19603710786.075619</c:v>
                </c:pt>
                <c:pt idx="424">
                  <c:v>19662685461.877972</c:v>
                </c:pt>
                <c:pt idx="425">
                  <c:v>19721628345.823666</c:v>
                </c:pt>
                <c:pt idx="426">
                  <c:v>19780539322.342541</c:v>
                </c:pt>
                <c:pt idx="427">
                  <c:v>19839418277.422142</c:v>
                </c:pt>
                <c:pt idx="428">
                  <c:v>19898265098.591808</c:v>
                </c:pt>
                <c:pt idx="429">
                  <c:v>19957079674.906727</c:v>
                </c:pt>
                <c:pt idx="430">
                  <c:v>20015861896.932304</c:v>
                </c:pt>
                <c:pt idx="431">
                  <c:v>20074611656.728592</c:v>
                </c:pt>
                <c:pt idx="432">
                  <c:v>20133328847.835007</c:v>
                </c:pt>
                <c:pt idx="433">
                  <c:v>20192013365.255051</c:v>
                </c:pt>
                <c:pt idx="434">
                  <c:v>20250665105.441395</c:v>
                </c:pt>
                <c:pt idx="435">
                  <c:v>20309283966.28093</c:v>
                </c:pt>
                <c:pt idx="436">
                  <c:v>20367869847.080078</c:v>
                </c:pt>
                <c:pt idx="437">
                  <c:v>20426422648.550308</c:v>
                </c:pt>
                <c:pt idx="438">
                  <c:v>20484942272.793659</c:v>
                </c:pt>
                <c:pt idx="439">
                  <c:v>20543428623.288555</c:v>
                </c:pt>
                <c:pt idx="440">
                  <c:v>20601881604.875675</c:v>
                </c:pt>
                <c:pt idx="441">
                  <c:v>20660301123.744106</c:v>
                </c:pt>
                <c:pt idx="442">
                  <c:v>20718687087.417427</c:v>
                </c:pt>
                <c:pt idx="443">
                  <c:v>20777039404.740177</c:v>
                </c:pt>
                <c:pt idx="444">
                  <c:v>20835357985.864307</c:v>
                </c:pt>
                <c:pt idx="445">
                  <c:v>20893642742.235809</c:v>
                </c:pt>
                <c:pt idx="446">
                  <c:v>20951893586.581581</c:v>
                </c:pt>
                <c:pt idx="447">
                  <c:v>21010110432.896259</c:v>
                </c:pt>
                <c:pt idx="448">
                  <c:v>21068293196.429359</c:v>
                </c:pt>
                <c:pt idx="449">
                  <c:v>21126441793.672447</c:v>
                </c:pt>
                <c:pt idx="450">
                  <c:v>21184556142.346455</c:v>
                </c:pt>
                <c:pt idx="451">
                  <c:v>21242636161.389191</c:v>
                </c:pt>
                <c:pt idx="452">
                  <c:v>21300681770.94297</c:v>
                </c:pt>
                <c:pt idx="453">
                  <c:v>21358692892.342239</c:v>
                </c:pt>
                <c:pt idx="454">
                  <c:v>21416669448.10157</c:v>
                </c:pt>
                <c:pt idx="455">
                  <c:v>21474611361.903564</c:v>
                </c:pt>
                <c:pt idx="456">
                  <c:v>21532518558.586998</c:v>
                </c:pt>
                <c:pt idx="457">
                  <c:v>21590390964.135063</c:v>
                </c:pt>
                <c:pt idx="458">
                  <c:v>21648228505.66375</c:v>
                </c:pt>
                <c:pt idx="459">
                  <c:v>21706031111.410297</c:v>
                </c:pt>
                <c:pt idx="460">
                  <c:v>21763798710.721825</c:v>
                </c:pt>
                <c:pt idx="461">
                  <c:v>21821531234.044064</c:v>
                </c:pt>
                <c:pt idx="462">
                  <c:v>21879228612.910172</c:v>
                </c:pt>
                <c:pt idx="463">
                  <c:v>21936890779.929737</c:v>
                </c:pt>
                <c:pt idx="464">
                  <c:v>21994517668.777828</c:v>
                </c:pt>
                <c:pt idx="465">
                  <c:v>22052109214.184177</c:v>
                </c:pt>
                <c:pt idx="466">
                  <c:v>22109665351.922497</c:v>
                </c:pt>
                <c:pt idx="467">
                  <c:v>22167186018.799904</c:v>
                </c:pt>
                <c:pt idx="468">
                  <c:v>22224671152.646404</c:v>
                </c:pt>
                <c:pt idx="469">
                  <c:v>22282120692.304562</c:v>
                </c:pt>
                <c:pt idx="470">
                  <c:v>22339534577.61924</c:v>
                </c:pt>
                <c:pt idx="471">
                  <c:v>22396912749.427395</c:v>
                </c:pt>
                <c:pt idx="472">
                  <c:v>22454255149.548126</c:v>
                </c:pt>
                <c:pt idx="473">
                  <c:v>22511561720.772606</c:v>
                </c:pt>
                <c:pt idx="474">
                  <c:v>22568832406.854351</c:v>
                </c:pt>
                <c:pt idx="475">
                  <c:v>22626067152.499416</c:v>
                </c:pt>
                <c:pt idx="476">
                  <c:v>22683265903.356781</c:v>
                </c:pt>
                <c:pt idx="477">
                  <c:v>22740428606.008804</c:v>
                </c:pt>
                <c:pt idx="478">
                  <c:v>22797555207.961739</c:v>
                </c:pt>
                <c:pt idx="479">
                  <c:v>22854645657.63649</c:v>
                </c:pt>
                <c:pt idx="480">
                  <c:v>22911699904.359268</c:v>
                </c:pt>
                <c:pt idx="481">
                  <c:v>22968717898.352463</c:v>
                </c:pt>
                <c:pt idx="482">
                  <c:v>23025699590.725609</c:v>
                </c:pt>
                <c:pt idx="483">
                  <c:v>23082644933.466419</c:v>
                </c:pt>
                <c:pt idx="484">
                  <c:v>23139553879.43182</c:v>
                </c:pt>
                <c:pt idx="485">
                  <c:v>23196426382.339317</c:v>
                </c:pt>
                <c:pt idx="486">
                  <c:v>23253262396.758186</c:v>
                </c:pt>
                <c:pt idx="487">
                  <c:v>23310061878.100903</c:v>
                </c:pt>
                <c:pt idx="488">
                  <c:v>23366824782.614624</c:v>
                </c:pt>
                <c:pt idx="489">
                  <c:v>23423551067.37278</c:v>
                </c:pt>
                <c:pt idx="490">
                  <c:v>23480240690.266685</c:v>
                </c:pt>
                <c:pt idx="491">
                  <c:v>23536893609.997292</c:v>
                </c:pt>
                <c:pt idx="492">
                  <c:v>23593509786.067081</c:v>
                </c:pt>
                <c:pt idx="493">
                  <c:v>23650089178.771843</c:v>
                </c:pt>
                <c:pt idx="494">
                  <c:v>23706631749.192764</c:v>
                </c:pt>
                <c:pt idx="495">
                  <c:v>23763137459.188499</c:v>
                </c:pt>
                <c:pt idx="496">
                  <c:v>23819606271.387268</c:v>
                </c:pt>
                <c:pt idx="497">
                  <c:v>23876038149.179077</c:v>
                </c:pt>
                <c:pt idx="498">
                  <c:v>23932433056.708149</c:v>
                </c:pt>
                <c:pt idx="499">
                  <c:v>23988790958.86515</c:v>
                </c:pt>
                <c:pt idx="500">
                  <c:v>24045111821.279751</c:v>
                </c:pt>
                <c:pt idx="501">
                  <c:v>24101395610.313175</c:v>
                </c:pt>
                <c:pt idx="502">
                  <c:v>24157642293.050762</c:v>
                </c:pt>
                <c:pt idx="503">
                  <c:v>24213851837.294685</c:v>
                </c:pt>
                <c:pt idx="504">
                  <c:v>24270024211.556705</c:v>
                </c:pt>
                <c:pt idx="505">
                  <c:v>24326159385.051041</c:v>
                </c:pt>
                <c:pt idx="506">
                  <c:v>24382257327.687199</c:v>
                </c:pt>
                <c:pt idx="507">
                  <c:v>24438318010.063072</c:v>
                </c:pt>
                <c:pt idx="508">
                  <c:v>24494341403.45789</c:v>
                </c:pt>
                <c:pt idx="509">
                  <c:v>24550327479.825352</c:v>
                </c:pt>
                <c:pt idx="510">
                  <c:v>24606276211.786884</c:v>
                </c:pt>
                <c:pt idx="511">
                  <c:v>24662187572.62484</c:v>
                </c:pt>
                <c:pt idx="512">
                  <c:v>24718061536.275814</c:v>
                </c:pt>
                <c:pt idx="513">
                  <c:v>24773898077.32407</c:v>
                </c:pt>
                <c:pt idx="514">
                  <c:v>24829697170.99501</c:v>
                </c:pt>
                <c:pt idx="515">
                  <c:v>24885458793.14864</c:v>
                </c:pt>
                <c:pt idx="516">
                  <c:v>24941182920.273197</c:v>
                </c:pt>
                <c:pt idx="517">
                  <c:v>24996869529.478836</c:v>
                </c:pt>
                <c:pt idx="518">
                  <c:v>25052518598.491253</c:v>
                </c:pt>
                <c:pt idx="519">
                  <c:v>25108130105.645542</c:v>
                </c:pt>
                <c:pt idx="520">
                  <c:v>25163704029.880032</c:v>
                </c:pt>
                <c:pt idx="521">
                  <c:v>25219240350.730103</c:v>
                </c:pt>
                <c:pt idx="522">
                  <c:v>25274739048.322285</c:v>
                </c:pt>
                <c:pt idx="523">
                  <c:v>25330200103.368137</c:v>
                </c:pt>
                <c:pt idx="524">
                  <c:v>25385623497.158428</c:v>
                </c:pt>
                <c:pt idx="525">
                  <c:v>25441009211.557274</c:v>
                </c:pt>
                <c:pt idx="526">
                  <c:v>25496357228.996258</c:v>
                </c:pt>
                <c:pt idx="527">
                  <c:v>25551667532.468761</c:v>
                </c:pt>
                <c:pt idx="528">
                  <c:v>25606940105.524235</c:v>
                </c:pt>
                <c:pt idx="529">
                  <c:v>25662174932.262573</c:v>
                </c:pt>
                <c:pt idx="530">
                  <c:v>25717371997.328579</c:v>
                </c:pt>
                <c:pt idx="531">
                  <c:v>25772531285.906399</c:v>
                </c:pt>
                <c:pt idx="532">
                  <c:v>25827652783.714046</c:v>
                </c:pt>
                <c:pt idx="533">
                  <c:v>25882736476.997997</c:v>
                </c:pt>
                <c:pt idx="534">
                  <c:v>25937782352.527916</c:v>
                </c:pt>
                <c:pt idx="535">
                  <c:v>25992790397.59119</c:v>
                </c:pt>
                <c:pt idx="536">
                  <c:v>26047760599.987843</c:v>
                </c:pt>
                <c:pt idx="537">
                  <c:v>26102692948.025169</c:v>
                </c:pt>
                <c:pt idx="538">
                  <c:v>26157587430.512745</c:v>
                </c:pt>
                <c:pt idx="539">
                  <c:v>26212444036.757168</c:v>
                </c:pt>
                <c:pt idx="540">
                  <c:v>26267262756.557148</c:v>
                </c:pt>
                <c:pt idx="541">
                  <c:v>26322043580.19841</c:v>
                </c:pt>
                <c:pt idx="542">
                  <c:v>26376786498.448795</c:v>
                </c:pt>
                <c:pt idx="543">
                  <c:v>26431491502.553299</c:v>
                </c:pt>
                <c:pt idx="544">
                  <c:v>26486158584.229301</c:v>
                </c:pt>
                <c:pt idx="545">
                  <c:v>26540787735.661659</c:v>
                </c:pt>
                <c:pt idx="546">
                  <c:v>26595378949.498016</c:v>
                </c:pt>
                <c:pt idx="547">
                  <c:v>26649932218.844082</c:v>
                </c:pt>
                <c:pt idx="548">
                  <c:v>26704447537.258926</c:v>
                </c:pt>
                <c:pt idx="549">
                  <c:v>26758924898.750366</c:v>
                </c:pt>
                <c:pt idx="550">
                  <c:v>26813364297.770432</c:v>
                </c:pt>
                <c:pt idx="551">
                  <c:v>26867765729.210758</c:v>
                </c:pt>
                <c:pt idx="552">
                  <c:v>26922129188.398144</c:v>
                </c:pt>
                <c:pt idx="553">
                  <c:v>26976454671.090137</c:v>
                </c:pt>
                <c:pt idx="554">
                  <c:v>27030742173.470516</c:v>
                </c:pt>
                <c:pt idx="555">
                  <c:v>27084991692.145054</c:v>
                </c:pt>
                <c:pt idx="556">
                  <c:v>27139203224.137146</c:v>
                </c:pt>
                <c:pt idx="557">
                  <c:v>27193376766.883533</c:v>
                </c:pt>
                <c:pt idx="558">
                  <c:v>27247512318.230053</c:v>
                </c:pt>
                <c:pt idx="559">
                  <c:v>27301609876.427475</c:v>
                </c:pt>
                <c:pt idx="560">
                  <c:v>27355669440.127377</c:v>
                </c:pt>
                <c:pt idx="561">
                  <c:v>27409691008.377914</c:v>
                </c:pt>
                <c:pt idx="562">
                  <c:v>27463674580.619896</c:v>
                </c:pt>
                <c:pt idx="563">
                  <c:v>27517620156.682625</c:v>
                </c:pt>
                <c:pt idx="564">
                  <c:v>27571527736.780003</c:v>
                </c:pt>
                <c:pt idx="565">
                  <c:v>27625397321.506493</c:v>
                </c:pt>
                <c:pt idx="566">
                  <c:v>27679228911.833263</c:v>
                </c:pt>
                <c:pt idx="567">
                  <c:v>27733022509.10424</c:v>
                </c:pt>
                <c:pt idx="568">
                  <c:v>27786778115.03236</c:v>
                </c:pt>
                <c:pt idx="569">
                  <c:v>27840495731.695667</c:v>
                </c:pt>
                <c:pt idx="570">
                  <c:v>27894175361.533596</c:v>
                </c:pt>
                <c:pt idx="571">
                  <c:v>27947817007.343235</c:v>
                </c:pt>
                <c:pt idx="572">
                  <c:v>28001420672.275581</c:v>
                </c:pt>
                <c:pt idx="573">
                  <c:v>28054986359.831993</c:v>
                </c:pt>
                <c:pt idx="574">
                  <c:v>28108514073.86042</c:v>
                </c:pt>
                <c:pt idx="575">
                  <c:v>28162003818.551895</c:v>
                </c:pt>
                <c:pt idx="576">
                  <c:v>28215455598.436974</c:v>
                </c:pt>
                <c:pt idx="577">
                  <c:v>28268869418.382221</c:v>
                </c:pt>
                <c:pt idx="578">
                  <c:v>28322245283.586624</c:v>
                </c:pt>
                <c:pt idx="579">
                  <c:v>28375583199.578274</c:v>
                </c:pt>
                <c:pt idx="580">
                  <c:v>28428883172.21085</c:v>
                </c:pt>
                <c:pt idx="581">
                  <c:v>28482145207.660282</c:v>
                </c:pt>
                <c:pt idx="582">
                  <c:v>28535369312.421329</c:v>
                </c:pt>
                <c:pt idx="583">
                  <c:v>28588555493.304333</c:v>
                </c:pt>
                <c:pt idx="584">
                  <c:v>28641703757.43185</c:v>
                </c:pt>
                <c:pt idx="585">
                  <c:v>28694814112.235401</c:v>
                </c:pt>
                <c:pt idx="586">
                  <c:v>28747886565.452328</c:v>
                </c:pt>
                <c:pt idx="587">
                  <c:v>28800921125.122444</c:v>
                </c:pt>
                <c:pt idx="588">
                  <c:v>28853917799.584991</c:v>
                </c:pt>
                <c:pt idx="589">
                  <c:v>28906876597.475445</c:v>
                </c:pt>
                <c:pt idx="590">
                  <c:v>28959797527.722389</c:v>
                </c:pt>
                <c:pt idx="591">
                  <c:v>29012680599.54446</c:v>
                </c:pt>
                <c:pt idx="592">
                  <c:v>29065525822.447285</c:v>
                </c:pt>
                <c:pt idx="593">
                  <c:v>29118333206.220478</c:v>
                </c:pt>
                <c:pt idx="594">
                  <c:v>29171102760.93462</c:v>
                </c:pt>
                <c:pt idx="595">
                  <c:v>29223834496.938309</c:v>
                </c:pt>
                <c:pt idx="596">
                  <c:v>29276528424.855164</c:v>
                </c:pt>
                <c:pt idx="597">
                  <c:v>29329184555.581074</c:v>
                </c:pt>
                <c:pt idx="598">
                  <c:v>29381802900.281105</c:v>
                </c:pt>
                <c:pt idx="599">
                  <c:v>29434383470.386795</c:v>
                </c:pt>
                <c:pt idx="600">
                  <c:v>29486926277.593285</c:v>
                </c:pt>
                <c:pt idx="601">
                  <c:v>29539431333.856518</c:v>
                </c:pt>
                <c:pt idx="602">
                  <c:v>29591898651.3904</c:v>
                </c:pt>
                <c:pt idx="603">
                  <c:v>29644328242.664165</c:v>
                </c:pt>
                <c:pt idx="604">
                  <c:v>29696720120.39957</c:v>
                </c:pt>
                <c:pt idx="605">
                  <c:v>29749074297.568256</c:v>
                </c:pt>
                <c:pt idx="606">
                  <c:v>29801390787.389015</c:v>
                </c:pt>
                <c:pt idx="607">
                  <c:v>29853669603.325176</c:v>
                </c:pt>
                <c:pt idx="608">
                  <c:v>29905910759.081989</c:v>
                </c:pt>
                <c:pt idx="609">
                  <c:v>29958114268.604023</c:v>
                </c:pt>
                <c:pt idx="610">
                  <c:v>30010280146.072552</c:v>
                </c:pt>
                <c:pt idx="611">
                  <c:v>30062408405.903111</c:v>
                </c:pt>
                <c:pt idx="612">
                  <c:v>30114499062.742844</c:v>
                </c:pt>
                <c:pt idx="613">
                  <c:v>30166552131.468113</c:v>
                </c:pt>
                <c:pt idx="614">
                  <c:v>30218567627.181934</c:v>
                </c:pt>
                <c:pt idx="615">
                  <c:v>30270545565.211563</c:v>
                </c:pt>
                <c:pt idx="616">
                  <c:v>30322485961.106121</c:v>
                </c:pt>
                <c:pt idx="617">
                  <c:v>30374388830.634064</c:v>
                </c:pt>
                <c:pt idx="618">
                  <c:v>30426254189.780891</c:v>
                </c:pt>
                <c:pt idx="619">
                  <c:v>30478082054.746761</c:v>
                </c:pt>
                <c:pt idx="620">
                  <c:v>30529872441.944107</c:v>
                </c:pt>
                <c:pt idx="621">
                  <c:v>30581625367.995415</c:v>
                </c:pt>
                <c:pt idx="622">
                  <c:v>30633340849.730793</c:v>
                </c:pt>
                <c:pt idx="623">
                  <c:v>30685018904.185841</c:v>
                </c:pt>
                <c:pt idx="624">
                  <c:v>30736659548.599277</c:v>
                </c:pt>
                <c:pt idx="625">
                  <c:v>30788262800.410751</c:v>
                </c:pt>
                <c:pt idx="626">
                  <c:v>30839828677.258663</c:v>
                </c:pt>
                <c:pt idx="627">
                  <c:v>30891357196.977913</c:v>
                </c:pt>
                <c:pt idx="628">
                  <c:v>30942848377.597771</c:v>
                </c:pt>
                <c:pt idx="629">
                  <c:v>30994302237.339695</c:v>
                </c:pt>
                <c:pt idx="630">
                  <c:v>31045718794.615257</c:v>
                </c:pt>
                <c:pt idx="631">
                  <c:v>31097098068.023926</c:v>
                </c:pt>
                <c:pt idx="632">
                  <c:v>31148440076.351131</c:v>
                </c:pt>
                <c:pt idx="633">
                  <c:v>31199744838.565983</c:v>
                </c:pt>
                <c:pt idx="634">
                  <c:v>31251012373.819485</c:v>
                </c:pt>
                <c:pt idx="635">
                  <c:v>31302242701.442226</c:v>
                </c:pt>
                <c:pt idx="636">
                  <c:v>31353435840.942543</c:v>
                </c:pt>
                <c:pt idx="637">
                  <c:v>31404591812.004494</c:v>
                </c:pt>
                <c:pt idx="638">
                  <c:v>31455710634.485851</c:v>
                </c:pt>
                <c:pt idx="639">
                  <c:v>31506792328.416126</c:v>
                </c:pt>
                <c:pt idx="640">
                  <c:v>31557836913.994698</c:v>
                </c:pt>
                <c:pt idx="641">
                  <c:v>31608844411.588844</c:v>
                </c:pt>
                <c:pt idx="642">
                  <c:v>31659814841.731823</c:v>
                </c:pt>
                <c:pt idx="643">
                  <c:v>31710748225.120983</c:v>
                </c:pt>
                <c:pt idx="644">
                  <c:v>31761644582.615974</c:v>
                </c:pt>
                <c:pt idx="645">
                  <c:v>31812503935.236805</c:v>
                </c:pt>
                <c:pt idx="646">
                  <c:v>31863326304.162025</c:v>
                </c:pt>
                <c:pt idx="647">
                  <c:v>31914111710.726967</c:v>
                </c:pt>
                <c:pt idx="648">
                  <c:v>31964860176.421841</c:v>
                </c:pt>
                <c:pt idx="649">
                  <c:v>32015571722.890076</c:v>
                </c:pt>
                <c:pt idx="650">
                  <c:v>32066246371.926426</c:v>
                </c:pt>
                <c:pt idx="651">
                  <c:v>32116884145.475311</c:v>
                </c:pt>
                <c:pt idx="652">
                  <c:v>32167485065.629017</c:v>
                </c:pt>
                <c:pt idx="653">
                  <c:v>32218049154.626095</c:v>
                </c:pt>
                <c:pt idx="654">
                  <c:v>32268576434.849449</c:v>
                </c:pt>
                <c:pt idx="655">
                  <c:v>32319066928.824871</c:v>
                </c:pt>
                <c:pt idx="656">
                  <c:v>32369520659.219219</c:v>
                </c:pt>
                <c:pt idx="657">
                  <c:v>32419937648.838818</c:v>
                </c:pt>
                <c:pt idx="658">
                  <c:v>32470317920.627808</c:v>
                </c:pt>
                <c:pt idx="659">
                  <c:v>32520661497.666569</c:v>
                </c:pt>
                <c:pt idx="660">
                  <c:v>32570968403.169994</c:v>
                </c:pt>
                <c:pt idx="661">
                  <c:v>32621238660.486004</c:v>
                </c:pt>
                <c:pt idx="662">
                  <c:v>32671472293.093918</c:v>
                </c:pt>
                <c:pt idx="663">
                  <c:v>32721669324.602894</c:v>
                </c:pt>
                <c:pt idx="664">
                  <c:v>32771829778.750366</c:v>
                </c:pt>
                <c:pt idx="665">
                  <c:v>32821953679.400501</c:v>
                </c:pt>
                <c:pt idx="666">
                  <c:v>32872041050.542774</c:v>
                </c:pt>
                <c:pt idx="667">
                  <c:v>32922091916.290279</c:v>
                </c:pt>
                <c:pt idx="668">
                  <c:v>32972106300.878365</c:v>
                </c:pt>
                <c:pt idx="669">
                  <c:v>33022084228.663136</c:v>
                </c:pt>
                <c:pt idx="670">
                  <c:v>33072025724.119942</c:v>
                </c:pt>
                <c:pt idx="671">
                  <c:v>33121930811.841949</c:v>
                </c:pt>
                <c:pt idx="672">
                  <c:v>33171799516.538738</c:v>
                </c:pt>
                <c:pt idx="673">
                  <c:v>33221631863.034763</c:v>
                </c:pt>
                <c:pt idx="674">
                  <c:v>33271427876.268085</c:v>
                </c:pt>
                <c:pt idx="675">
                  <c:v>33321187581.28883</c:v>
                </c:pt>
                <c:pt idx="676">
                  <c:v>33370911003.257931</c:v>
                </c:pt>
                <c:pt idx="677">
                  <c:v>33420598167.445614</c:v>
                </c:pt>
                <c:pt idx="678">
                  <c:v>33470249099.230179</c:v>
                </c:pt>
                <c:pt idx="679">
                  <c:v>33519863824.096504</c:v>
                </c:pt>
                <c:pt idx="680">
                  <c:v>33569442367.63483</c:v>
                </c:pt>
                <c:pt idx="681">
                  <c:v>33618984755.539371</c:v>
                </c:pt>
                <c:pt idx="682">
                  <c:v>33668491013.607006</c:v>
                </c:pt>
                <c:pt idx="683">
                  <c:v>33717961167.735996</c:v>
                </c:pt>
                <c:pt idx="684">
                  <c:v>33767395243.924686</c:v>
                </c:pt>
                <c:pt idx="685">
                  <c:v>33816793268.27021</c:v>
                </c:pt>
                <c:pt idx="686">
                  <c:v>33866155266.967247</c:v>
                </c:pt>
                <c:pt idx="687">
                  <c:v>33915481266.306751</c:v>
                </c:pt>
                <c:pt idx="688">
                  <c:v>33964771292.674717</c:v>
                </c:pt>
                <c:pt idx="689">
                  <c:v>34014025372.550961</c:v>
                </c:pt>
                <c:pt idx="690">
                  <c:v>34063243532.507851</c:v>
                </c:pt>
                <c:pt idx="691">
                  <c:v>34112425799.209213</c:v>
                </c:pt>
                <c:pt idx="692">
                  <c:v>34161572199.408943</c:v>
                </c:pt>
                <c:pt idx="693">
                  <c:v>34210682759.950031</c:v>
                </c:pt>
                <c:pt idx="694">
                  <c:v>34259757507.763214</c:v>
                </c:pt>
                <c:pt idx="695">
                  <c:v>34308796469.865925</c:v>
                </c:pt>
                <c:pt idx="696">
                  <c:v>34357799673.361084</c:v>
                </c:pt>
                <c:pt idx="697">
                  <c:v>34406767145.435944</c:v>
                </c:pt>
                <c:pt idx="698">
                  <c:v>34455698913.361023</c:v>
                </c:pt>
                <c:pt idx="699">
                  <c:v>34504595004.488892</c:v>
                </c:pt>
                <c:pt idx="700">
                  <c:v>34553455446.253128</c:v>
                </c:pt>
                <c:pt idx="701">
                  <c:v>34602280266.167183</c:v>
                </c:pt>
                <c:pt idx="702">
                  <c:v>34651069491.823334</c:v>
                </c:pt>
                <c:pt idx="703">
                  <c:v>34699823150.89151</c:v>
                </c:pt>
                <c:pt idx="704">
                  <c:v>34748541271.118332</c:v>
                </c:pt>
                <c:pt idx="705">
                  <c:v>34797223880.325943</c:v>
                </c:pt>
                <c:pt idx="706">
                  <c:v>34845871006.411049</c:v>
                </c:pt>
                <c:pt idx="707">
                  <c:v>34894482677.343819</c:v>
                </c:pt>
                <c:pt idx="708">
                  <c:v>34943058921.166878</c:v>
                </c:pt>
                <c:pt idx="709">
                  <c:v>34991599765.994217</c:v>
                </c:pt>
                <c:pt idx="710">
                  <c:v>35040105240.01033</c:v>
                </c:pt>
                <c:pt idx="711">
                  <c:v>35088575371.469017</c:v>
                </c:pt>
                <c:pt idx="712">
                  <c:v>35137010188.692574</c:v>
                </c:pt>
                <c:pt idx="713">
                  <c:v>35185409720.070618</c:v>
                </c:pt>
                <c:pt idx="714">
                  <c:v>35233773994.059265</c:v>
                </c:pt>
                <c:pt idx="715">
                  <c:v>35282103039.18013</c:v>
                </c:pt>
                <c:pt idx="716">
                  <c:v>35330396884.019257</c:v>
                </c:pt>
                <c:pt idx="717">
                  <c:v>35378655557.226318</c:v>
                </c:pt>
                <c:pt idx="718">
                  <c:v>35426879087.513573</c:v>
                </c:pt>
                <c:pt idx="719">
                  <c:v>35475067503.654991</c:v>
                </c:pt>
                <c:pt idx="720">
                  <c:v>35523220834.485291</c:v>
                </c:pt>
                <c:pt idx="721">
                  <c:v>35571339108.89901</c:v>
                </c:pt>
                <c:pt idx="722">
                  <c:v>35619422355.849655</c:v>
                </c:pt>
                <c:pt idx="723">
                  <c:v>35667470604.348747</c:v>
                </c:pt>
                <c:pt idx="724">
                  <c:v>35715483883.464951</c:v>
                </c:pt>
                <c:pt idx="725">
                  <c:v>35763462222.323219</c:v>
                </c:pt>
                <c:pt idx="726">
                  <c:v>35811405650.103851</c:v>
                </c:pt>
                <c:pt idx="727">
                  <c:v>35859314196.041695</c:v>
                </c:pt>
                <c:pt idx="728">
                  <c:v>35907187889.425224</c:v>
                </c:pt>
                <c:pt idx="729">
                  <c:v>35955026759.595757</c:v>
                </c:pt>
                <c:pt idx="730">
                  <c:v>36002830835.946548</c:v>
                </c:pt>
                <c:pt idx="731">
                  <c:v>36050600147.921997</c:v>
                </c:pt>
                <c:pt idx="732">
                  <c:v>36098334725.016792</c:v>
                </c:pt>
                <c:pt idx="733">
                  <c:v>36146034596.775116</c:v>
                </c:pt>
                <c:pt idx="734">
                  <c:v>36193699792.789787</c:v>
                </c:pt>
                <c:pt idx="735">
                  <c:v>36241330342.701515</c:v>
                </c:pt>
                <c:pt idx="736">
                  <c:v>36288926276.198074</c:v>
                </c:pt>
                <c:pt idx="737">
                  <c:v>36336487623.013496</c:v>
                </c:pt>
                <c:pt idx="738">
                  <c:v>36384014412.927299</c:v>
                </c:pt>
                <c:pt idx="739">
                  <c:v>36431506675.763718</c:v>
                </c:pt>
                <c:pt idx="740">
                  <c:v>36478964441.390961</c:v>
                </c:pt>
                <c:pt idx="741">
                  <c:v>36526387739.720367</c:v>
                </c:pt>
                <c:pt idx="742">
                  <c:v>36573776600.70575</c:v>
                </c:pt>
                <c:pt idx="743">
                  <c:v>36621131054.342583</c:v>
                </c:pt>
                <c:pt idx="744">
                  <c:v>36668451130.667259</c:v>
                </c:pt>
                <c:pt idx="745">
                  <c:v>36715736859.756393</c:v>
                </c:pt>
                <c:pt idx="746">
                  <c:v>36762988271.72612</c:v>
                </c:pt>
                <c:pt idx="747">
                  <c:v>36810205396.731247</c:v>
                </c:pt>
                <c:pt idx="748">
                  <c:v>36857388264.964668</c:v>
                </c:pt>
                <c:pt idx="749">
                  <c:v>36904536906.656639</c:v>
                </c:pt>
                <c:pt idx="750">
                  <c:v>36951651352.074005</c:v>
                </c:pt>
                <c:pt idx="751">
                  <c:v>36998731631.519547</c:v>
                </c:pt>
                <c:pt idx="752">
                  <c:v>37045777775.331337</c:v>
                </c:pt>
                <c:pt idx="753">
                  <c:v>37092789813.882004</c:v>
                </c:pt>
                <c:pt idx="754">
                  <c:v>37139767777.578033</c:v>
                </c:pt>
                <c:pt idx="755">
                  <c:v>37186711696.8592</c:v>
                </c:pt>
                <c:pt idx="756">
                  <c:v>37233621602.197769</c:v>
                </c:pt>
                <c:pt idx="757">
                  <c:v>37280497524.097984</c:v>
                </c:pt>
                <c:pt idx="758">
                  <c:v>37327339493.095291</c:v>
                </c:pt>
                <c:pt idx="759">
                  <c:v>37374147539.75576</c:v>
                </c:pt>
                <c:pt idx="760">
                  <c:v>37420921694.67543</c:v>
                </c:pt>
                <c:pt idx="761">
                  <c:v>37467661988.479683</c:v>
                </c:pt>
                <c:pt idx="762">
                  <c:v>37514368451.822639</c:v>
                </c:pt>
                <c:pt idx="763">
                  <c:v>37561041115.386444</c:v>
                </c:pt>
                <c:pt idx="764">
                  <c:v>37607680009.880791</c:v>
                </c:pt>
                <c:pt idx="765">
                  <c:v>37654285166.042175</c:v>
                </c:pt>
                <c:pt idx="766">
                  <c:v>37700856614.633392</c:v>
                </c:pt>
                <c:pt idx="767">
                  <c:v>37747394386.442871</c:v>
                </c:pt>
                <c:pt idx="768">
                  <c:v>37793898512.284172</c:v>
                </c:pt>
                <c:pt idx="769">
                  <c:v>37840369022.995247</c:v>
                </c:pt>
                <c:pt idx="770">
                  <c:v>37886805949.438034</c:v>
                </c:pt>
                <c:pt idx="771">
                  <c:v>37933209322.497734</c:v>
                </c:pt>
                <c:pt idx="772">
                  <c:v>37979579173.082329</c:v>
                </c:pt>
                <c:pt idx="773">
                  <c:v>38025915532.121994</c:v>
                </c:pt>
                <c:pt idx="774">
                  <c:v>38072218430.568504</c:v>
                </c:pt>
                <c:pt idx="775">
                  <c:v>38118487899.394722</c:v>
                </c:pt>
                <c:pt idx="776">
                  <c:v>38164723969.594048</c:v>
                </c:pt>
                <c:pt idx="777">
                  <c:v>38210926672.179832</c:v>
                </c:pt>
                <c:pt idx="778">
                  <c:v>38257096038.184868</c:v>
                </c:pt>
                <c:pt idx="779">
                  <c:v>38303232098.660881</c:v>
                </c:pt>
                <c:pt idx="780">
                  <c:v>38349334884.677895</c:v>
                </c:pt>
                <c:pt idx="781">
                  <c:v>38395404427.323853</c:v>
                </c:pt>
                <c:pt idx="782">
                  <c:v>38441440757.703995</c:v>
                </c:pt>
                <c:pt idx="783">
                  <c:v>38487443906.940384</c:v>
                </c:pt>
                <c:pt idx="784">
                  <c:v>38533413906.171364</c:v>
                </c:pt>
                <c:pt idx="785">
                  <c:v>38579350786.551086</c:v>
                </c:pt>
                <c:pt idx="786">
                  <c:v>38625254579.249008</c:v>
                </c:pt>
                <c:pt idx="787">
                  <c:v>38671125315.449364</c:v>
                </c:pt>
                <c:pt idx="788">
                  <c:v>38716963026.350716</c:v>
                </c:pt>
                <c:pt idx="789">
                  <c:v>38762767743.165421</c:v>
                </c:pt>
                <c:pt idx="790">
                  <c:v>38808539497.119202</c:v>
                </c:pt>
                <c:pt idx="791">
                  <c:v>38854278319.450638</c:v>
                </c:pt>
                <c:pt idx="792">
                  <c:v>38899984241.410667</c:v>
                </c:pt>
                <c:pt idx="793">
                  <c:v>38945657294.262184</c:v>
                </c:pt>
                <c:pt idx="794">
                  <c:v>38991297509.279503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60-4AAF-A4CC-B45229F2AC78}"/>
            </c:ext>
          </c:extLst>
        </c:ser>
        <c:ser>
          <c:idx val="2"/>
          <c:order val="2"/>
          <c:tx>
            <c:strRef>
              <c:f>'Gamow Peak'!$S$3</c:f>
              <c:strCache>
                <c:ptCount val="1"/>
                <c:pt idx="0">
                  <c:v>Gamow Curve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'Gamow Peak'!$P$6:$P$800</c:f>
              <c:numCache>
                <c:formatCode>General</c:formatCode>
                <c:ptCount val="79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  <c:pt idx="722">
                  <c:v>3610</c:v>
                </c:pt>
                <c:pt idx="723">
                  <c:v>3615</c:v>
                </c:pt>
                <c:pt idx="724">
                  <c:v>3620</c:v>
                </c:pt>
                <c:pt idx="725">
                  <c:v>3625</c:v>
                </c:pt>
                <c:pt idx="726">
                  <c:v>3630</c:v>
                </c:pt>
                <c:pt idx="727">
                  <c:v>3635</c:v>
                </c:pt>
                <c:pt idx="728">
                  <c:v>3640</c:v>
                </c:pt>
                <c:pt idx="729">
                  <c:v>3645</c:v>
                </c:pt>
                <c:pt idx="730">
                  <c:v>3650</c:v>
                </c:pt>
                <c:pt idx="731">
                  <c:v>3655</c:v>
                </c:pt>
                <c:pt idx="732">
                  <c:v>3660</c:v>
                </c:pt>
                <c:pt idx="733">
                  <c:v>3665</c:v>
                </c:pt>
                <c:pt idx="734">
                  <c:v>3670</c:v>
                </c:pt>
                <c:pt idx="735">
                  <c:v>3675</c:v>
                </c:pt>
                <c:pt idx="736">
                  <c:v>3680</c:v>
                </c:pt>
                <c:pt idx="737">
                  <c:v>3685</c:v>
                </c:pt>
                <c:pt idx="738">
                  <c:v>3690</c:v>
                </c:pt>
                <c:pt idx="739">
                  <c:v>3695</c:v>
                </c:pt>
                <c:pt idx="740">
                  <c:v>3700</c:v>
                </c:pt>
                <c:pt idx="741">
                  <c:v>3705</c:v>
                </c:pt>
                <c:pt idx="742">
                  <c:v>3710</c:v>
                </c:pt>
                <c:pt idx="743">
                  <c:v>3715</c:v>
                </c:pt>
                <c:pt idx="744">
                  <c:v>3720</c:v>
                </c:pt>
                <c:pt idx="745">
                  <c:v>3725</c:v>
                </c:pt>
                <c:pt idx="746">
                  <c:v>3730</c:v>
                </c:pt>
                <c:pt idx="747">
                  <c:v>3735</c:v>
                </c:pt>
                <c:pt idx="748">
                  <c:v>3740</c:v>
                </c:pt>
                <c:pt idx="749">
                  <c:v>3745</c:v>
                </c:pt>
                <c:pt idx="750">
                  <c:v>3750</c:v>
                </c:pt>
                <c:pt idx="751">
                  <c:v>3755</c:v>
                </c:pt>
                <c:pt idx="752">
                  <c:v>3760</c:v>
                </c:pt>
                <c:pt idx="753">
                  <c:v>3765</c:v>
                </c:pt>
                <c:pt idx="754">
                  <c:v>3770</c:v>
                </c:pt>
                <c:pt idx="755">
                  <c:v>3775</c:v>
                </c:pt>
                <c:pt idx="756">
                  <c:v>3780</c:v>
                </c:pt>
                <c:pt idx="757">
                  <c:v>3785</c:v>
                </c:pt>
                <c:pt idx="758">
                  <c:v>3790</c:v>
                </c:pt>
                <c:pt idx="759">
                  <c:v>3795</c:v>
                </c:pt>
                <c:pt idx="760">
                  <c:v>3800</c:v>
                </c:pt>
                <c:pt idx="761">
                  <c:v>3805</c:v>
                </c:pt>
                <c:pt idx="762">
                  <c:v>3810</c:v>
                </c:pt>
                <c:pt idx="763">
                  <c:v>3815</c:v>
                </c:pt>
                <c:pt idx="764">
                  <c:v>3820</c:v>
                </c:pt>
                <c:pt idx="765">
                  <c:v>3825</c:v>
                </c:pt>
                <c:pt idx="766">
                  <c:v>3830</c:v>
                </c:pt>
                <c:pt idx="767">
                  <c:v>3835</c:v>
                </c:pt>
                <c:pt idx="768">
                  <c:v>3840</c:v>
                </c:pt>
                <c:pt idx="769">
                  <c:v>3845</c:v>
                </c:pt>
                <c:pt idx="770">
                  <c:v>3850</c:v>
                </c:pt>
                <c:pt idx="771">
                  <c:v>3855</c:v>
                </c:pt>
                <c:pt idx="772">
                  <c:v>3860</c:v>
                </c:pt>
                <c:pt idx="773">
                  <c:v>3865</c:v>
                </c:pt>
                <c:pt idx="774">
                  <c:v>3870</c:v>
                </c:pt>
                <c:pt idx="775">
                  <c:v>3875</c:v>
                </c:pt>
                <c:pt idx="776">
                  <c:v>3880</c:v>
                </c:pt>
                <c:pt idx="777">
                  <c:v>3885</c:v>
                </c:pt>
                <c:pt idx="778">
                  <c:v>3890</c:v>
                </c:pt>
                <c:pt idx="779">
                  <c:v>3895</c:v>
                </c:pt>
                <c:pt idx="780">
                  <c:v>3900</c:v>
                </c:pt>
                <c:pt idx="781">
                  <c:v>3905</c:v>
                </c:pt>
                <c:pt idx="782">
                  <c:v>3910</c:v>
                </c:pt>
                <c:pt idx="783">
                  <c:v>3915</c:v>
                </c:pt>
                <c:pt idx="784">
                  <c:v>3920</c:v>
                </c:pt>
                <c:pt idx="785">
                  <c:v>3925</c:v>
                </c:pt>
                <c:pt idx="786">
                  <c:v>3930</c:v>
                </c:pt>
                <c:pt idx="787">
                  <c:v>3935</c:v>
                </c:pt>
                <c:pt idx="788">
                  <c:v>3940</c:v>
                </c:pt>
                <c:pt idx="789">
                  <c:v>3945</c:v>
                </c:pt>
                <c:pt idx="790">
                  <c:v>3950</c:v>
                </c:pt>
                <c:pt idx="791">
                  <c:v>3955</c:v>
                </c:pt>
                <c:pt idx="792">
                  <c:v>3960</c:v>
                </c:pt>
                <c:pt idx="793">
                  <c:v>3965</c:v>
                </c:pt>
                <c:pt idx="794">
                  <c:v>3970</c:v>
                </c:pt>
              </c:numCache>
            </c:numRef>
          </c:xVal>
          <c:yVal>
            <c:numRef>
              <c:f>'Gamow Peak'!$S$6:$S$800</c:f>
              <c:numCache>
                <c:formatCode>0.000E+00</c:formatCode>
                <c:ptCount val="795"/>
                <c:pt idx="0">
                  <c:v>0</c:v>
                </c:pt>
                <c:pt idx="1">
                  <c:v>0.16790273600195116</c:v>
                </c:pt>
                <c:pt idx="2">
                  <c:v>22510.352339169833</c:v>
                </c:pt>
                <c:pt idx="3">
                  <c:v>512294.68759588181</c:v>
                </c:pt>
                <c:pt idx="4">
                  <c:v>707960.85387259407</c:v>
                </c:pt>
                <c:pt idx="5">
                  <c:v>261941.80188777248</c:v>
                </c:pt>
                <c:pt idx="6">
                  <c:v>46069.614248639395</c:v>
                </c:pt>
                <c:pt idx="7">
                  <c:v>5072.2086346331907</c:v>
                </c:pt>
                <c:pt idx="8">
                  <c:v>406.47011858845178</c:v>
                </c:pt>
                <c:pt idx="9">
                  <c:v>25.95303672524728</c:v>
                </c:pt>
                <c:pt idx="10">
                  <c:v>1.3991527036702713</c:v>
                </c:pt>
                <c:pt idx="11">
                  <c:v>6.6230788237343352E-2</c:v>
                </c:pt>
                <c:pt idx="12">
                  <c:v>2.8295660745643681E-3</c:v>
                </c:pt>
                <c:pt idx="13">
                  <c:v>1.1130663991074605E-4</c:v>
                </c:pt>
                <c:pt idx="14">
                  <c:v>4.0920232608086175E-6</c:v>
                </c:pt>
                <c:pt idx="15">
                  <c:v>1.4220482680319637E-7</c:v>
                </c:pt>
                <c:pt idx="16">
                  <c:v>4.7130152068663316E-9</c:v>
                </c:pt>
                <c:pt idx="17">
                  <c:v>1.5001671136182711E-10</c:v>
                </c:pt>
                <c:pt idx="18">
                  <c:v>4.6119688689589271E-12</c:v>
                </c:pt>
                <c:pt idx="19">
                  <c:v>1.3757309005767919E-13</c:v>
                </c:pt>
                <c:pt idx="20">
                  <c:v>3.9969042876599103E-15</c:v>
                </c:pt>
                <c:pt idx="21">
                  <c:v>1.1345514221726252E-16</c:v>
                </c:pt>
                <c:pt idx="22">
                  <c:v>3.1548813002828376E-18</c:v>
                </c:pt>
                <c:pt idx="23">
                  <c:v>8.613364122498031E-20</c:v>
                </c:pt>
                <c:pt idx="24">
                  <c:v>2.3132552881102359E-21</c:v>
                </c:pt>
                <c:pt idx="25">
                  <c:v>6.1213700045034144E-23</c:v>
                </c:pt>
                <c:pt idx="26">
                  <c:v>1.5983245538736235E-24</c:v>
                </c:pt>
                <c:pt idx="27">
                  <c:v>4.1229618922000446E-26</c:v>
                </c:pt>
                <c:pt idx="28">
                  <c:v>1.0518435513337564E-27</c:v>
                </c:pt>
                <c:pt idx="29">
                  <c:v>2.6564591556014797E-29</c:v>
                </c:pt>
                <c:pt idx="30">
                  <c:v>6.6470624890853103E-31</c:v>
                </c:pt>
                <c:pt idx="31">
                  <c:v>1.6491276078856413E-32</c:v>
                </c:pt>
                <c:pt idx="32">
                  <c:v>4.0594249261528774E-34</c:v>
                </c:pt>
                <c:pt idx="33">
                  <c:v>9.9201408700495472E-36</c:v>
                </c:pt>
                <c:pt idx="34">
                  <c:v>2.4079367059671301E-37</c:v>
                </c:pt>
                <c:pt idx="35">
                  <c:v>5.8083656407167331E-39</c:v>
                </c:pt>
                <c:pt idx="36">
                  <c:v>1.3929388275294765E-40</c:v>
                </c:pt>
                <c:pt idx="37">
                  <c:v>3.3223791469160256E-42</c:v>
                </c:pt>
                <c:pt idx="38">
                  <c:v>7.8842357498352391E-44</c:v>
                </c:pt>
                <c:pt idx="39">
                  <c:v>1.8621028454067775E-45</c:v>
                </c:pt>
                <c:pt idx="40">
                  <c:v>4.3783402187384981E-47</c:v>
                </c:pt>
                <c:pt idx="41">
                  <c:v>1.0251663394451489E-48</c:v>
                </c:pt>
                <c:pt idx="42">
                  <c:v>2.3909232052464019E-50</c:v>
                </c:pt>
                <c:pt idx="43">
                  <c:v>5.5554867051784447E-52</c:v>
                </c:pt>
                <c:pt idx="44">
                  <c:v>1.2863368217089397E-53</c:v>
                </c:pt>
                <c:pt idx="45">
                  <c:v>2.9685697078083343E-55</c:v>
                </c:pt>
                <c:pt idx="46">
                  <c:v>6.8293168022231599E-57</c:v>
                </c:pt>
                <c:pt idx="47">
                  <c:v>1.5664497636161957E-58</c:v>
                </c:pt>
                <c:pt idx="48">
                  <c:v>3.5828730547960216E-60</c:v>
                </c:pt>
                <c:pt idx="49">
                  <c:v>8.1730453129628897E-62</c:v>
                </c:pt>
                <c:pt idx="50">
                  <c:v>1.8596508787063057E-63</c:v>
                </c:pt>
                <c:pt idx="51">
                  <c:v>4.2211182781264103E-65</c:v>
                </c:pt>
                <c:pt idx="52">
                  <c:v>9.5592140165105186E-67</c:v>
                </c:pt>
                <c:pt idx="53">
                  <c:v>2.1600415124796107E-68</c:v>
                </c:pt>
                <c:pt idx="54">
                  <c:v>4.8706950083472337E-70</c:v>
                </c:pt>
                <c:pt idx="55">
                  <c:v>1.0960985676400796E-71</c:v>
                </c:pt>
                <c:pt idx="56">
                  <c:v>2.4619344608624853E-73</c:v>
                </c:pt>
                <c:pt idx="57">
                  <c:v>5.5195998080060097E-75</c:v>
                </c:pt>
                <c:pt idx="58">
                  <c:v>1.2353123466786238E-76</c:v>
                </c:pt>
                <c:pt idx="59">
                  <c:v>2.7600434895679847E-78</c:v>
                </c:pt>
                <c:pt idx="60">
                  <c:v>6.1567998619951062E-80</c:v>
                </c:pt>
                <c:pt idx="61">
                  <c:v>1.3712682462534349E-81</c:v>
                </c:pt>
                <c:pt idx="62">
                  <c:v>3.0496134233335644E-83</c:v>
                </c:pt>
                <c:pt idx="63">
                  <c:v>6.7724746936536351E-85</c:v>
                </c:pt>
                <c:pt idx="64">
                  <c:v>1.5019452090587754E-86</c:v>
                </c:pt>
                <c:pt idx="65">
                  <c:v>3.3264996355804619E-88</c:v>
                </c:pt>
                <c:pt idx="66">
                  <c:v>7.3581555476856295E-90</c:v>
                </c:pt>
                <c:pt idx="67">
                  <c:v>1.6256192540379442E-91</c:v>
                </c:pt>
                <c:pt idx="68">
                  <c:v>3.5872062325216646E-93</c:v>
                </c:pt>
                <c:pt idx="69">
                  <c:v>7.9067823201073366E-95</c:v>
                </c:pt>
                <c:pt idx="70">
                  <c:v>1.7408707286029461E-96</c:v>
                </c:pt>
                <c:pt idx="71">
                  <c:v>3.8288918026576033E-98</c:v>
                </c:pt>
                <c:pt idx="72">
                  <c:v>8.4126965825392564E-100</c:v>
                </c:pt>
                <c:pt idx="73">
                  <c:v>1.8465790276692933E-101</c:v>
                </c:pt>
                <c:pt idx="74">
                  <c:v>4.0493507057822988E-103</c:v>
                </c:pt>
                <c:pt idx="75">
                  <c:v>8.87158711640862E-105</c:v>
                </c:pt>
                <c:pt idx="76">
                  <c:v>1.9419081445357233E-106</c:v>
                </c:pt>
                <c:pt idx="77">
                  <c:v>4.2469767725384344E-108</c:v>
                </c:pt>
                <c:pt idx="78">
                  <c:v>9.2804019358620357E-110</c:v>
                </c:pt>
                <c:pt idx="79">
                  <c:v>2.026285887746774E-111</c:v>
                </c:pt>
                <c:pt idx="80">
                  <c:v>4.420715141767444E-113</c:v>
                </c:pt>
                <c:pt idx="81">
                  <c:v>9.6372383365340283E-115</c:v>
                </c:pt>
                <c:pt idx="82">
                  <c:v>2.0993790808908268E-116</c:v>
                </c:pt>
                <c:pt idx="83">
                  <c:v>4.5700068747012178E-118</c:v>
                </c:pt>
                <c:pt idx="84">
                  <c:v>9.9412202308164745E-120</c:v>
                </c:pt>
                <c:pt idx="85">
                  <c:v>2.1610665884582242E-121</c:v>
                </c:pt>
                <c:pt idx="86">
                  <c:v>4.6947300032015724E-123</c:v>
                </c:pt>
                <c:pt idx="87">
                  <c:v>1.0192370004047543E-124</c:v>
                </c:pt>
                <c:pt idx="88">
                  <c:v>2.2114115942537565E-126</c:v>
                </c:pt>
                <c:pt idx="89">
                  <c:v>4.7951398155152498E-128</c:v>
                </c:pt>
                <c:pt idx="90">
                  <c:v>1.0391480381918951E-129</c:v>
                </c:pt>
                <c:pt idx="91">
                  <c:v>2.2506342035818531E-131</c:v>
                </c:pt>
                <c:pt idx="92">
                  <c:v>4.8718104612422386E-133</c:v>
                </c:pt>
                <c:pt idx="93">
                  <c:v>1.0539990336888472E-134</c:v>
                </c:pt>
                <c:pt idx="94">
                  <c:v>2.2790851448025746E-136</c:v>
                </c:pt>
                <c:pt idx="95">
                  <c:v>4.925579361076327E-138</c:v>
                </c:pt>
                <c:pt idx="96">
                  <c:v>1.0639867861979427E-139</c:v>
                </c:pt>
                <c:pt idx="97">
                  <c:v>2.2972211050743189E-141</c:v>
                </c:pt>
                <c:pt idx="98">
                  <c:v>4.9574954245881603E-143</c:v>
                </c:pt>
                <c:pt idx="99">
                  <c:v>1.0693501476386419E-144</c:v>
                </c:pt>
                <c:pt idx="100">
                  <c:v>2.3055820428514577E-146</c:v>
                </c:pt>
                <c:pt idx="101">
                  <c:v>4.9687716967448597E-148</c:v>
                </c:pt>
                <c:pt idx="102">
                  <c:v>1.0703601567712773E-149</c:v>
                </c:pt>
                <c:pt idx="103">
                  <c:v>2.3047706692431306E-151</c:v>
                </c:pt>
                <c:pt idx="104">
                  <c:v>4.9607427565201653E-153</c:v>
                </c:pt>
                <c:pt idx="105">
                  <c:v>1.0673112089492953E-154</c:v>
                </c:pt>
                <c:pt idx="106">
                  <c:v>2.2954341750730274E-156</c:v>
                </c:pt>
                <c:pt idx="107">
                  <c:v>4.9348269649148031E-158</c:v>
                </c:pt>
                <c:pt idx="108">
                  <c:v>1.0605132690748038E-159</c:v>
                </c:pt>
                <c:pt idx="109">
                  <c:v>2.278248194351852E-161</c:v>
                </c:pt>
                <c:pt idx="110">
                  <c:v>4.8924934924202331E-163</c:v>
                </c:pt>
                <c:pt idx="111">
                  <c:v>1.0502851030502425E-164</c:v>
                </c:pt>
                <c:pt idx="112">
                  <c:v>2.2539029324675295E-166</c:v>
                </c:pt>
                <c:pt idx="113">
                  <c:v>4.835233936207673E-168</c:v>
                </c:pt>
                <c:pt idx="114">
                  <c:v>1.0369484801676602E-169</c:v>
                </c:pt>
                <c:pt idx="115">
                  <c:v>2.2230913440218238E-171</c:v>
                </c:pt>
                <c:pt idx="116">
                  <c:v>4.764538255553677E-173</c:v>
                </c:pt>
                <c:pt idx="117">
                  <c:v>1.0208232835805312E-174</c:v>
                </c:pt>
                <c:pt idx="118">
                  <c:v>2.1864992169030547E-176</c:v>
                </c:pt>
                <c:pt idx="119">
                  <c:v>4.6818747021272874E-178</c:v>
                </c:pt>
                <c:pt idx="120">
                  <c:v>1.0022234566277088E-179</c:v>
                </c:pt>
                <c:pt idx="121">
                  <c:v>2.1447970025598235E-181</c:v>
                </c:pt>
                <c:pt idx="122">
                  <c:v>4.5886733929254087E-183</c:v>
                </c:pt>
                <c:pt idx="123">
                  <c:v>9.8145370795402083E-185</c:v>
                </c:pt>
                <c:pt idx="124">
                  <c:v>2.098633224736309E-186</c:v>
                </c:pt>
                <c:pt idx="125">
                  <c:v>4.4863131623747401E-188</c:v>
                </c:pt>
                <c:pt idx="126">
                  <c:v>9.5880689697180591E-190</c:v>
                </c:pt>
                <c:pt idx="127">
                  <c:v>2.0486292979387922E-191</c:v>
                </c:pt>
                <c:pt idx="128">
                  <c:v>4.3761113318713069E-193</c:v>
                </c:pt>
                <c:pt idx="129">
                  <c:v>9.3456202233829573E-195</c:v>
                </c:pt>
                <c:pt idx="130">
                  <c:v>1.995375590778731E-196</c:v>
                </c:pt>
                <c:pt idx="131">
                  <c:v>4.2593160461484174E-198</c:v>
                </c:pt>
                <c:pt idx="132">
                  <c:v>9.0898273905421567E-200</c:v>
                </c:pt>
                <c:pt idx="133">
                  <c:v>1.9394285766577216E-201</c:v>
                </c:pt>
                <c:pt idx="134">
                  <c:v>4.1371008435326214E-203</c:v>
                </c:pt>
                <c:pt idx="135">
                  <c:v>8.8231633394364729E-205</c:v>
                </c:pt>
                <c:pt idx="136">
                  <c:v>1.8813089238683353E-206</c:v>
                </c:pt>
                <c:pt idx="137">
                  <c:v>4.0105611490631632E-208</c:v>
                </c:pt>
                <c:pt idx="138">
                  <c:v>8.5479309421713838E-210</c:v>
                </c:pt>
                <c:pt idx="139">
                  <c:v>1.8215003882217779E-211</c:v>
                </c:pt>
                <c:pt idx="140">
                  <c:v>3.8807124038713611E-213</c:v>
                </c:pt>
                <c:pt idx="141">
                  <c:v>8.266260091978491E-215</c:v>
                </c:pt>
                <c:pt idx="142">
                  <c:v>1.7604493830702265E-216</c:v>
                </c:pt>
                <c:pt idx="143">
                  <c:v>3.7484895698607474E-218</c:v>
                </c:pt>
                <c:pt idx="144">
                  <c:v>7.9801075084138468E-220</c:v>
                </c:pt>
                <c:pt idx="145">
                  <c:v>1.6985651135960908E-221</c:v>
                </c:pt>
                <c:pt idx="146">
                  <c:v>3.614747774513512E-223</c:v>
                </c:pt>
                <c:pt idx="147">
                  <c:v>7.6912588422296428E-225</c:v>
                </c:pt>
                <c:pt idx="148">
                  <c:v>1.636220174081854E-226</c:v>
                </c:pt>
                <c:pt idx="149">
                  <c:v>3.4802638859619158E-228</c:v>
                </c:pt>
                <c:pt idx="150">
                  <c:v>7.4013326454514497E-230</c:v>
                </c:pt>
                <c:pt idx="151">
                  <c:v>1.5737515183162355E-231</c:v>
                </c:pt>
                <c:pt idx="152">
                  <c:v>3.3457388326947565E-233</c:v>
                </c:pt>
                <c:pt idx="153">
                  <c:v>7.1117858235218099E-235</c:v>
                </c:pt>
                <c:pt idx="154">
                  <c:v>1.5114617241272246E-236</c:v>
                </c:pt>
                <c:pt idx="155">
                  <c:v>3.2118005051250483E-238</c:v>
                </c:pt>
                <c:pt idx="156">
                  <c:v>6.8239202345068568E-240</c:v>
                </c:pt>
                <c:pt idx="157">
                  <c:v>1.4496204831589238E-241</c:v>
                </c:pt>
                <c:pt idx="158">
                  <c:v>3.0790070975268089E-243</c:v>
                </c:pt>
                <c:pt idx="159">
                  <c:v>6.5388901449615457E-245</c:v>
                </c:pt>
                <c:pt idx="160">
                  <c:v>1.388466256349034E-246</c:v>
                </c:pt>
                <c:pt idx="161">
                  <c:v>2.9478507683716645E-248</c:v>
                </c:pt>
                <c:pt idx="162">
                  <c:v>6.2577102928842314E-250</c:v>
                </c:pt>
                <c:pt idx="163">
                  <c:v>1.3282080440971796E-251</c:v>
                </c:pt>
                <c:pt idx="164">
                  <c:v>2.8187615149024465E-253</c:v>
                </c:pt>
                <c:pt idx="165">
                  <c:v>5.9812643453059744E-255</c:v>
                </c:pt>
                <c:pt idx="166">
                  <c:v>1.2690272278253825E-256</c:v>
                </c:pt>
                <c:pt idx="167">
                  <c:v>2.6921111738265552E-258</c:v>
                </c:pt>
                <c:pt idx="168">
                  <c:v>5.7103135713550004E-260</c:v>
                </c:pt>
                <c:pt idx="169">
                  <c:v>1.2110794465635234E-261</c:v>
                </c:pt>
                <c:pt idx="170">
                  <c:v>2.5682174743757802E-263</c:v>
                </c:pt>
                <c:pt idx="171">
                  <c:v>5.4455055814405565E-265</c:v>
                </c:pt>
                <c:pt idx="172">
                  <c:v>1.1544964783479106E-266</c:v>
                </c:pt>
                <c:pt idx="173">
                  <c:v>2.4473480827227351E-268</c:v>
                </c:pt>
                <c:pt idx="174">
                  <c:v>5.1873830095632746E-270</c:v>
                </c:pt>
                <c:pt idx="175">
                  <c:v>1.0993881016773989E-271</c:v>
                </c:pt>
                <c:pt idx="176">
                  <c:v>2.3297245880085717E-273</c:v>
                </c:pt>
                <c:pt idx="177">
                  <c:v>4.9363920389377562E-275</c:v>
                </c:pt>
                <c:pt idx="178">
                  <c:v>1.045843917045427E-276</c:v>
                </c:pt>
                <c:pt idx="179">
                  <c:v>2.2155263900681306E-278</c:v>
                </c:pt>
                <c:pt idx="180">
                  <c:v>4.6928906914073285E-280</c:v>
                </c:pt>
                <c:pt idx="181">
                  <c:v>9.9393511273911121E-282</c:v>
                </c:pt>
                <c:pt idx="182">
                  <c:v>2.1048944575101013E-283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60-4AAF-A4CC-B45229F2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129192"/>
        <c:axId val="2133135640"/>
      </c:scatterChart>
      <c:valAx>
        <c:axId val="21331291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Energy (keV)</a:t>
                </a:r>
              </a:p>
            </c:rich>
          </c:tx>
          <c:layout>
            <c:manualLayout>
              <c:xMode val="edge"/>
              <c:yMode val="edge"/>
              <c:x val="0.465145454726904"/>
              <c:y val="0.86956593812501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135640"/>
        <c:crosses val="autoZero"/>
        <c:crossBetween val="midCat"/>
        <c:majorUnit val="100"/>
      </c:valAx>
      <c:valAx>
        <c:axId val="2133135640"/>
        <c:scaling>
          <c:orientation val="minMax"/>
          <c:max val="2.0000000000000002E-5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Probability</a:t>
                </a:r>
              </a:p>
            </c:rich>
          </c:tx>
          <c:layout>
            <c:manualLayout>
              <c:xMode val="edge"/>
              <c:yMode val="edge"/>
              <c:x val="1.6476552598225599E-2"/>
              <c:y val="0.32036631290653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out"/>
        <c:minorTickMark val="none"/>
        <c:tickLblPos val="nextTo"/>
        <c:crossAx val="2133129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055666995998"/>
          <c:y val="0.93821582370853496"/>
          <c:w val="0.61977146392822602"/>
          <c:h val="4.8054919908466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1180555555555596" footer="0.51180555555555596"/>
    <c:pageSetup paperSize="9" firstPageNumber="0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Kinematic curves of M2(M1,M3)M4 reaction</a:t>
            </a:r>
          </a:p>
        </c:rich>
      </c:tx>
      <c:layout>
        <c:manualLayout>
          <c:xMode val="edge"/>
          <c:yMode val="edge"/>
          <c:x val="0.29145728643216101"/>
          <c:y val="3.089887640449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8031948882"/>
          <c:y val="0.16011252425549899"/>
          <c:w val="0.83919580830670903"/>
          <c:h val="0.60393320552512697"/>
        </c:manualLayout>
      </c:layout>
      <c:scatterChart>
        <c:scatterStyle val="smoothMarker"/>
        <c:varyColors val="0"/>
        <c:ser>
          <c:idx val="0"/>
          <c:order val="0"/>
          <c:tx>
            <c:v>Ejectile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'Kinematic Curves'!$S$3:$S$182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'Kinematic Curves'!$V$3:$V$182</c:f>
              <c:numCache>
                <c:formatCode>0.000</c:formatCode>
                <c:ptCount val="180"/>
                <c:pt idx="0">
                  <c:v>0.39760524388994567</c:v>
                </c:pt>
                <c:pt idx="1">
                  <c:v>0.39751441038917712</c:v>
                </c:pt>
                <c:pt idx="2">
                  <c:v>0.39736305196461302</c:v>
                </c:pt>
                <c:pt idx="3">
                  <c:v>0.39715121472149606</c:v>
                </c:pt>
                <c:pt idx="4">
                  <c:v>0.39687896318750238</c:v>
                </c:pt>
                <c:pt idx="5">
                  <c:v>0.39654638029308631</c:v>
                </c:pt>
                <c:pt idx="6">
                  <c:v>0.39615356734621993</c:v>
                </c:pt>
                <c:pt idx="7">
                  <c:v>0.39570064400153176</c:v>
                </c:pt>
                <c:pt idx="8">
                  <c:v>0.39518774822386005</c:v>
                </c:pt>
                <c:pt idx="9">
                  <c:v>0.39461503624622751</c:v>
                </c:pt>
                <c:pt idx="10">
                  <c:v>0.39398268252225022</c:v>
                </c:pt>
                <c:pt idx="11">
                  <c:v>0.39329087967299836</c:v>
                </c:pt>
                <c:pt idx="12">
                  <c:v>0.39253983842832146</c:v>
                </c:pt>
                <c:pt idx="13">
                  <c:v>0.39172978756265847</c:v>
                </c:pt>
                <c:pt idx="14">
                  <c:v>0.39086097382534973</c:v>
                </c:pt>
                <c:pt idx="15">
                  <c:v>0.3899336618654759</c:v>
                </c:pt>
                <c:pt idx="16">
                  <c:v>0.38894813415124352</c:v>
                </c:pt>
                <c:pt idx="17">
                  <c:v>0.38790469088394103</c:v>
                </c:pt>
                <c:pt idx="18">
                  <c:v>0.38680364990649602</c:v>
                </c:pt>
                <c:pt idx="19">
                  <c:v>0.38564534660665617</c:v>
                </c:pt>
                <c:pt idx="20">
                  <c:v>0.3844301338148271</c:v>
                </c:pt>
                <c:pt idx="21">
                  <c:v>0.38315838169659733</c:v>
                </c:pt>
                <c:pt idx="22">
                  <c:v>0.38183047763998185</c:v>
                </c:pt>
                <c:pt idx="23">
                  <c:v>0.38044682613742009</c:v>
                </c:pt>
                <c:pt idx="24">
                  <c:v>0.37900784866256332</c:v>
                </c:pt>
                <c:pt idx="25">
                  <c:v>0.37751398354189014</c:v>
                </c:pt>
                <c:pt idx="26">
                  <c:v>0.37596568582118783</c:v>
                </c:pt>
                <c:pt idx="27">
                  <c:v>0.37436342712694048</c:v>
                </c:pt>
                <c:pt idx="28">
                  <c:v>0.37270769552266808</c:v>
                </c:pt>
                <c:pt idx="29">
                  <c:v>0.37099899536025666</c:v>
                </c:pt>
                <c:pt idx="30">
                  <c:v>0.36923784712632807</c:v>
                </c:pt>
                <c:pt idx="31">
                  <c:v>0.36742478728369532</c:v>
                </c:pt>
                <c:pt idx="32">
                  <c:v>0.36556036810794973</c:v>
                </c:pt>
                <c:pt idx="33">
                  <c:v>0.36364515751923304</c:v>
                </c:pt>
                <c:pt idx="34">
                  <c:v>0.36167973890924421</c:v>
                </c:pt>
                <c:pt idx="35">
                  <c:v>0.35966471096353114</c:v>
                </c:pt>
                <c:pt idx="36">
                  <c:v>0.35760068747912571</c:v>
                </c:pt>
                <c:pt idx="37">
                  <c:v>0.35548829717757618</c:v>
                </c:pt>
                <c:pt idx="38">
                  <c:v>0.3533281835134317</c:v>
                </c:pt>
                <c:pt idx="39">
                  <c:v>0.35112100447823968</c:v>
                </c:pt>
                <c:pt idx="40">
                  <c:v>0.34886743240011564</c:v>
                </c:pt>
                <c:pt idx="41">
                  <c:v>0.34656815373894539</c:v>
                </c:pt>
                <c:pt idx="42">
                  <c:v>0.34422386887728301</c:v>
                </c:pt>
                <c:pt idx="43">
                  <c:v>0.3418352919070069</c:v>
                </c:pt>
                <c:pt idx="44">
                  <c:v>0.33940315041180052</c:v>
                </c:pt>
                <c:pt idx="45">
                  <c:v>0.3369281852455242</c:v>
                </c:pt>
                <c:pt idx="46">
                  <c:v>0.33441115030654328</c:v>
                </c:pt>
                <c:pt idx="47">
                  <c:v>0.33185281230808306</c:v>
                </c:pt>
                <c:pt idx="48">
                  <c:v>0.32925395054468126</c:v>
                </c:pt>
                <c:pt idx="49">
                  <c:v>0.3266153566548064</c:v>
                </c:pt>
                <c:pt idx="50">
                  <c:v>0.32393783437971824</c:v>
                </c:pt>
                <c:pt idx="51">
                  <c:v>0.32122219931863932</c:v>
                </c:pt>
                <c:pt idx="52">
                  <c:v>0.31846927868031616</c:v>
                </c:pt>
                <c:pt idx="53">
                  <c:v>0.31567991103104376</c:v>
                </c:pt>
                <c:pt idx="54">
                  <c:v>0.31285494603922909</c:v>
                </c:pt>
                <c:pt idx="55">
                  <c:v>0.30999524421657426</c:v>
                </c:pt>
                <c:pt idx="56">
                  <c:v>0.30710167665595756</c:v>
                </c:pt>
                <c:pt idx="57">
                  <c:v>0.30417512476608838</c:v>
                </c:pt>
                <c:pt idx="58">
                  <c:v>0.30121648000302254</c:v>
                </c:pt>
                <c:pt idx="59">
                  <c:v>0.29822664359861589</c:v>
                </c:pt>
                <c:pt idx="60">
                  <c:v>0.2952065262860003</c:v>
                </c:pt>
                <c:pt idx="61">
                  <c:v>0.29215704802216597</c:v>
                </c:pt>
                <c:pt idx="62">
                  <c:v>0.28907913770773275</c:v>
                </c:pt>
                <c:pt idx="63">
                  <c:v>0.28597373290399902</c:v>
                </c:pt>
                <c:pt idx="64">
                  <c:v>0.28284177954735057</c:v>
                </c:pt>
                <c:pt idx="65">
                  <c:v>0.27968423166111994</c:v>
                </c:pt>
                <c:pt idx="66">
                  <c:v>0.27650205106498094</c:v>
                </c:pt>
                <c:pt idx="67">
                  <c:v>0.27329620708196956</c:v>
                </c:pt>
                <c:pt idx="68">
                  <c:v>0.2700676762432192</c:v>
                </c:pt>
                <c:pt idx="69">
                  <c:v>0.26681744199049839</c:v>
                </c:pt>
                <c:pt idx="70">
                  <c:v>0.26354649437664623</c:v>
                </c:pt>
                <c:pt idx="71">
                  <c:v>0.26025582976399253</c:v>
                </c:pt>
                <c:pt idx="72">
                  <c:v>0.25694645052085546</c:v>
                </c:pt>
                <c:pt idx="73">
                  <c:v>0.25361936471621127</c:v>
                </c:pt>
                <c:pt idx="74">
                  <c:v>0.25027558581262627</c:v>
                </c:pt>
                <c:pt idx="75">
                  <c:v>0.24691613235754631</c:v>
                </c:pt>
                <c:pt idx="76">
                  <c:v>0.24354202767303762</c:v>
                </c:pt>
                <c:pt idx="77">
                  <c:v>0.24015429954407294</c:v>
                </c:pt>
                <c:pt idx="78">
                  <c:v>0.23675397990545771</c:v>
                </c:pt>
                <c:pt idx="79">
                  <c:v>0.23334210452749371</c:v>
                </c:pt>
                <c:pt idx="80">
                  <c:v>0.22991971270047259</c:v>
                </c:pt>
                <c:pt idx="81">
                  <c:v>0.22648784691809828</c:v>
                </c:pt>
                <c:pt idx="82">
                  <c:v>0.22304755255993336</c:v>
                </c:pt>
                <c:pt idx="83">
                  <c:v>0.21959987757296617</c:v>
                </c:pt>
                <c:pt idx="84">
                  <c:v>0.21614587215239617</c:v>
                </c:pt>
                <c:pt idx="85">
                  <c:v>0.21268658842173419</c:v>
                </c:pt>
                <c:pt idx="86">
                  <c:v>0.20922308011231538</c:v>
                </c:pt>
                <c:pt idx="87">
                  <c:v>0.2057564022423225</c:v>
                </c:pt>
                <c:pt idx="88">
                  <c:v>0.20228761079541718</c:v>
                </c:pt>
                <c:pt idx="89">
                  <c:v>0.19881776239907717</c:v>
                </c:pt>
                <c:pt idx="90">
                  <c:v>0.19534791400273727</c:v>
                </c:pt>
                <c:pt idx="91">
                  <c:v>0.19187912255583206</c:v>
                </c:pt>
                <c:pt idx="92">
                  <c:v>0.18841244468583912</c:v>
                </c:pt>
                <c:pt idx="93">
                  <c:v>0.18494893637642018</c:v>
                </c:pt>
                <c:pt idx="94">
                  <c:v>0.18148965264575809</c:v>
                </c:pt>
                <c:pt idx="95">
                  <c:v>0.17803564722518825</c:v>
                </c:pt>
                <c:pt idx="96">
                  <c:v>0.17458797223822103</c:v>
                </c:pt>
                <c:pt idx="97">
                  <c:v>0.17114767788005616</c:v>
                </c:pt>
                <c:pt idx="98">
                  <c:v>0.16771581209768185</c:v>
                </c:pt>
                <c:pt idx="99">
                  <c:v>0.16429342027066071</c:v>
                </c:pt>
                <c:pt idx="100">
                  <c:v>0.16088154489269671</c:v>
                </c:pt>
                <c:pt idx="101">
                  <c:v>0.15748122525408151</c:v>
                </c:pt>
                <c:pt idx="102">
                  <c:v>0.15409349712511675</c:v>
                </c:pt>
                <c:pt idx="103">
                  <c:v>0.15071939244060806</c:v>
                </c:pt>
                <c:pt idx="104">
                  <c:v>0.14735993898552818</c:v>
                </c:pt>
                <c:pt idx="105">
                  <c:v>0.14401616008194318</c:v>
                </c:pt>
                <c:pt idx="106">
                  <c:v>0.14068907427729896</c:v>
                </c:pt>
                <c:pt idx="107">
                  <c:v>0.13737969503416195</c:v>
                </c:pt>
                <c:pt idx="108">
                  <c:v>0.13408903042150819</c:v>
                </c:pt>
                <c:pt idx="109">
                  <c:v>0.13081808280765608</c:v>
                </c:pt>
                <c:pt idx="110">
                  <c:v>0.12756784855493519</c:v>
                </c:pt>
                <c:pt idx="111">
                  <c:v>0.12433931771618467</c:v>
                </c:pt>
                <c:pt idx="112">
                  <c:v>0.12113347373317347</c:v>
                </c:pt>
                <c:pt idx="113">
                  <c:v>0.11795129313703444</c:v>
                </c:pt>
                <c:pt idx="114">
                  <c:v>0.11479374525080384</c:v>
                </c:pt>
                <c:pt idx="115">
                  <c:v>0.1116617918941554</c:v>
                </c:pt>
                <c:pt idx="116">
                  <c:v>0.10855638709042172</c:v>
                </c:pt>
                <c:pt idx="117">
                  <c:v>0.10547847677598847</c:v>
                </c:pt>
                <c:pt idx="118">
                  <c:v>0.10242899851215415</c:v>
                </c:pt>
                <c:pt idx="119">
                  <c:v>9.940888119953864E-2</c:v>
                </c:pt>
                <c:pt idx="120">
                  <c:v>9.6419044795131914E-2</c:v>
                </c:pt>
                <c:pt idx="121">
                  <c:v>9.3460400032066085E-2</c:v>
                </c:pt>
                <c:pt idx="122">
                  <c:v>9.0533848142196865E-2</c:v>
                </c:pt>
                <c:pt idx="123">
                  <c:v>8.7640280581580188E-2</c:v>
                </c:pt>
                <c:pt idx="124">
                  <c:v>8.4780578758925459E-2</c:v>
                </c:pt>
                <c:pt idx="125">
                  <c:v>8.1955613767110622E-2</c:v>
                </c:pt>
                <c:pt idx="126">
                  <c:v>7.9166246117838096E-2</c:v>
                </c:pt>
                <c:pt idx="127">
                  <c:v>7.6413325479515154E-2</c:v>
                </c:pt>
                <c:pt idx="128">
                  <c:v>7.3697690418436324E-2</c:v>
                </c:pt>
                <c:pt idx="129">
                  <c:v>7.1020168143348064E-2</c:v>
                </c:pt>
                <c:pt idx="130">
                  <c:v>6.8381574253473243E-2</c:v>
                </c:pt>
                <c:pt idx="131">
                  <c:v>6.5782712490071268E-2</c:v>
                </c:pt>
                <c:pt idx="132">
                  <c:v>6.3224374491611085E-2</c:v>
                </c:pt>
                <c:pt idx="133">
                  <c:v>6.07073395526301E-2</c:v>
                </c:pt>
                <c:pt idx="134">
                  <c:v>5.8232374386353938E-2</c:v>
                </c:pt>
                <c:pt idx="135">
                  <c:v>5.5800232891147585E-2</c:v>
                </c:pt>
                <c:pt idx="136">
                  <c:v>5.3411655920871361E-2</c:v>
                </c:pt>
                <c:pt idx="137">
                  <c:v>5.1067371059208964E-2</c:v>
                </c:pt>
                <c:pt idx="138">
                  <c:v>4.8768092398038816E-2</c:v>
                </c:pt>
                <c:pt idx="139">
                  <c:v>4.6514520319914848E-2</c:v>
                </c:pt>
                <c:pt idx="140">
                  <c:v>4.4307341284722752E-2</c:v>
                </c:pt>
                <c:pt idx="141">
                  <c:v>4.2147227620578202E-2</c:v>
                </c:pt>
                <c:pt idx="142">
                  <c:v>4.0034837319028675E-2</c:v>
                </c:pt>
                <c:pt idx="143">
                  <c:v>3.7970813834623342E-2</c:v>
                </c:pt>
                <c:pt idx="144">
                  <c:v>3.595578588891004E-2</c:v>
                </c:pt>
                <c:pt idx="145">
                  <c:v>3.3990367278921199E-2</c:v>
                </c:pt>
                <c:pt idx="146">
                  <c:v>3.2075156690204776E-2</c:v>
                </c:pt>
                <c:pt idx="147">
                  <c:v>3.0210737514459119E-2</c:v>
                </c:pt>
                <c:pt idx="148">
                  <c:v>2.8397677671826306E-2</c:v>
                </c:pt>
                <c:pt idx="149">
                  <c:v>2.6636529437897776E-2</c:v>
                </c:pt>
                <c:pt idx="150">
                  <c:v>2.4927829275486337E-2</c:v>
                </c:pt>
                <c:pt idx="151">
                  <c:v>2.3272097671213895E-2</c:v>
                </c:pt>
                <c:pt idx="152">
                  <c:v>2.1669838976966661E-2</c:v>
                </c:pt>
                <c:pt idx="153">
                  <c:v>2.0121541256264214E-2</c:v>
                </c:pt>
                <c:pt idx="154">
                  <c:v>1.8627676135591079E-2</c:v>
                </c:pt>
                <c:pt idx="155">
                  <c:v>1.7188698660734358E-2</c:v>
                </c:pt>
                <c:pt idx="156">
                  <c:v>1.5805047158172547E-2</c:v>
                </c:pt>
                <c:pt idx="157">
                  <c:v>1.4477143101557129E-2</c:v>
                </c:pt>
                <c:pt idx="158">
                  <c:v>1.3205390983327382E-2</c:v>
                </c:pt>
                <c:pt idx="159">
                  <c:v>1.1990178191498328E-2</c:v>
                </c:pt>
                <c:pt idx="160">
                  <c:v>1.0831874891658311E-2</c:v>
                </c:pt>
                <c:pt idx="161">
                  <c:v>9.7308339142132654E-3</c:v>
                </c:pt>
                <c:pt idx="162">
                  <c:v>8.6873906469108995E-3</c:v>
                </c:pt>
                <c:pt idx="163">
                  <c:v>7.7018629326785285E-3</c:v>
                </c:pt>
                <c:pt idx="164">
                  <c:v>6.7745509728049181E-3</c:v>
                </c:pt>
                <c:pt idx="165">
                  <c:v>5.9057372354960856E-3</c:v>
                </c:pt>
                <c:pt idx="166">
                  <c:v>5.0956863698328539E-3</c:v>
                </c:pt>
                <c:pt idx="167">
                  <c:v>4.3446451251559987E-3</c:v>
                </c:pt>
                <c:pt idx="168">
                  <c:v>3.6528422759041861E-3</c:v>
                </c:pt>
                <c:pt idx="169">
                  <c:v>3.0204885519269113E-3</c:v>
                </c:pt>
                <c:pt idx="170">
                  <c:v>2.4477765742942754E-3</c:v>
                </c:pt>
                <c:pt idx="171">
                  <c:v>1.9348807966226215E-3</c:v>
                </c:pt>
                <c:pt idx="172">
                  <c:v>1.4819574519343891E-3</c:v>
                </c:pt>
                <c:pt idx="173">
                  <c:v>1.0891445050679217E-3</c:v>
                </c:pt>
                <c:pt idx="174">
                  <c:v>7.5656161065209226E-4</c:v>
                </c:pt>
                <c:pt idx="175">
                  <c:v>4.8431007665835962E-4</c:v>
                </c:pt>
                <c:pt idx="176">
                  <c:v>2.724728335413244E-4</c:v>
                </c:pt>
                <c:pt idx="177">
                  <c:v>1.2111440897736393E-4</c:v>
                </c:pt>
                <c:pt idx="178">
                  <c:v>3.0280908208834969E-5</c:v>
                </c:pt>
                <c:pt idx="179">
                  <c:v>6.3933523605800854E-33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FF-4C56-9824-C0CC88D8BB8F}"/>
            </c:ext>
          </c:extLst>
        </c:ser>
        <c:ser>
          <c:idx val="1"/>
          <c:order val="1"/>
          <c:tx>
            <c:v>Recoil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'Kinematic Curves'!$S$3:$S$182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'Kinematic Curves'!$W$3:$W$182</c:f>
              <c:numCache>
                <c:formatCode>0.000</c:formatCode>
                <c:ptCount val="180"/>
                <c:pt idx="0">
                  <c:v>2.6023947561100544</c:v>
                </c:pt>
                <c:pt idx="1">
                  <c:v>2.6024855896108212</c:v>
                </c:pt>
                <c:pt idx="2">
                  <c:v>2.6026369480353853</c:v>
                </c:pt>
                <c:pt idx="3">
                  <c:v>2.6028487852785025</c:v>
                </c:pt>
                <c:pt idx="4">
                  <c:v>2.6031210368124955</c:v>
                </c:pt>
                <c:pt idx="5">
                  <c:v>2.6034536197069116</c:v>
                </c:pt>
                <c:pt idx="6">
                  <c:v>2.6038464326537785</c:v>
                </c:pt>
                <c:pt idx="7">
                  <c:v>2.6042993559984682</c:v>
                </c:pt>
                <c:pt idx="8">
                  <c:v>2.604812251776139</c:v>
                </c:pt>
                <c:pt idx="9">
                  <c:v>2.6053849637537709</c:v>
                </c:pt>
                <c:pt idx="10">
                  <c:v>2.6060173174777477</c:v>
                </c:pt>
                <c:pt idx="11">
                  <c:v>2.6067091203270003</c:v>
                </c:pt>
                <c:pt idx="12">
                  <c:v>2.607460161571677</c:v>
                </c:pt>
                <c:pt idx="13">
                  <c:v>2.6082702124373394</c:v>
                </c:pt>
                <c:pt idx="14">
                  <c:v>2.6091390261746499</c:v>
                </c:pt>
                <c:pt idx="15">
                  <c:v>2.6100663381345233</c:v>
                </c:pt>
                <c:pt idx="16">
                  <c:v>2.6110518658487547</c:v>
                </c:pt>
                <c:pt idx="17">
                  <c:v>2.6120953091160568</c:v>
                </c:pt>
                <c:pt idx="18">
                  <c:v>2.6131963500935029</c:v>
                </c:pt>
                <c:pt idx="19">
                  <c:v>2.6143546533933417</c:v>
                </c:pt>
                <c:pt idx="20">
                  <c:v>2.6155698661851714</c:v>
                </c:pt>
                <c:pt idx="21">
                  <c:v>2.6168416183034009</c:v>
                </c:pt>
                <c:pt idx="22">
                  <c:v>2.6181695223600161</c:v>
                </c:pt>
                <c:pt idx="23">
                  <c:v>2.6195531738625784</c:v>
                </c:pt>
                <c:pt idx="24">
                  <c:v>2.6209921513374348</c:v>
                </c:pt>
                <c:pt idx="25">
                  <c:v>2.622486016458109</c:v>
                </c:pt>
                <c:pt idx="26">
                  <c:v>2.6240343141788114</c:v>
                </c:pt>
                <c:pt idx="27">
                  <c:v>2.6256365728730584</c:v>
                </c:pt>
                <c:pt idx="28">
                  <c:v>2.6272923044773302</c:v>
                </c:pt>
                <c:pt idx="29">
                  <c:v>2.6290010046397425</c:v>
                </c:pt>
                <c:pt idx="30">
                  <c:v>2.6307621528736695</c:v>
                </c:pt>
                <c:pt idx="31">
                  <c:v>2.6325752127163016</c:v>
                </c:pt>
                <c:pt idx="32">
                  <c:v>2.634439631892048</c:v>
                </c:pt>
                <c:pt idx="33">
                  <c:v>2.6363548424807655</c:v>
                </c:pt>
                <c:pt idx="34">
                  <c:v>2.6383202610907541</c:v>
                </c:pt>
                <c:pt idx="35">
                  <c:v>2.6403352890364675</c:v>
                </c:pt>
                <c:pt idx="36">
                  <c:v>2.6423993125208725</c:v>
                </c:pt>
                <c:pt idx="37">
                  <c:v>2.644511702822423</c:v>
                </c:pt>
                <c:pt idx="38">
                  <c:v>2.6466718164865659</c:v>
                </c:pt>
                <c:pt idx="39">
                  <c:v>2.6488789955217591</c:v>
                </c:pt>
                <c:pt idx="40">
                  <c:v>2.6511325675998831</c:v>
                </c:pt>
                <c:pt idx="41">
                  <c:v>2.6534318462610513</c:v>
                </c:pt>
                <c:pt idx="42">
                  <c:v>2.6557761311227162</c:v>
                </c:pt>
                <c:pt idx="43">
                  <c:v>2.6581647080929911</c:v>
                </c:pt>
                <c:pt idx="44">
                  <c:v>2.6605968495881966</c:v>
                </c:pt>
                <c:pt idx="45">
                  <c:v>2.6630718147544732</c:v>
                </c:pt>
                <c:pt idx="46">
                  <c:v>2.6655888496934543</c:v>
                </c:pt>
                <c:pt idx="47">
                  <c:v>2.6681471876919152</c:v>
                </c:pt>
                <c:pt idx="48">
                  <c:v>2.6707460494553179</c:v>
                </c:pt>
                <c:pt idx="49">
                  <c:v>2.6733846433451918</c:v>
                </c:pt>
                <c:pt idx="50">
                  <c:v>2.6760621656202805</c:v>
                </c:pt>
                <c:pt idx="51">
                  <c:v>2.6787778006813596</c:v>
                </c:pt>
                <c:pt idx="52">
                  <c:v>2.6815307213196817</c:v>
                </c:pt>
                <c:pt idx="53">
                  <c:v>2.6843200889689554</c:v>
                </c:pt>
                <c:pt idx="54">
                  <c:v>2.6871450539607702</c:v>
                </c:pt>
                <c:pt idx="55">
                  <c:v>2.6900047557834248</c:v>
                </c:pt>
                <c:pt idx="56">
                  <c:v>2.6928983233440413</c:v>
                </c:pt>
                <c:pt idx="57">
                  <c:v>2.6958248752339098</c:v>
                </c:pt>
                <c:pt idx="58">
                  <c:v>2.6987835199969759</c:v>
                </c:pt>
                <c:pt idx="59">
                  <c:v>2.7017733564013828</c:v>
                </c:pt>
                <c:pt idx="60">
                  <c:v>2.7047934737139983</c:v>
                </c:pt>
                <c:pt idx="61">
                  <c:v>2.707842951977832</c:v>
                </c:pt>
                <c:pt idx="62">
                  <c:v>2.7109208622922654</c:v>
                </c:pt>
                <c:pt idx="63">
                  <c:v>2.7140262670959996</c:v>
                </c:pt>
                <c:pt idx="64">
                  <c:v>2.7171582204526481</c:v>
                </c:pt>
                <c:pt idx="65">
                  <c:v>2.7203157683388777</c:v>
                </c:pt>
                <c:pt idx="66">
                  <c:v>2.7234979489350168</c:v>
                </c:pt>
                <c:pt idx="67">
                  <c:v>2.7267037929180278</c:v>
                </c:pt>
                <c:pt idx="68">
                  <c:v>2.729932323756779</c:v>
                </c:pt>
                <c:pt idx="69">
                  <c:v>2.7331825580095002</c:v>
                </c:pt>
                <c:pt idx="70">
                  <c:v>2.7364535056233521</c:v>
                </c:pt>
                <c:pt idx="71">
                  <c:v>2.7397441702360048</c:v>
                </c:pt>
                <c:pt idx="72">
                  <c:v>2.7430535494791428</c:v>
                </c:pt>
                <c:pt idx="73">
                  <c:v>2.7463806352837876</c:v>
                </c:pt>
                <c:pt idx="74">
                  <c:v>2.7497244141873725</c:v>
                </c:pt>
                <c:pt idx="75">
                  <c:v>2.7530838676424523</c:v>
                </c:pt>
                <c:pt idx="76">
                  <c:v>2.7564579723269604</c:v>
                </c:pt>
                <c:pt idx="77">
                  <c:v>2.7598457004559256</c:v>
                </c:pt>
                <c:pt idx="78">
                  <c:v>2.7632460200945412</c:v>
                </c:pt>
                <c:pt idx="79">
                  <c:v>2.766657895472505</c:v>
                </c:pt>
                <c:pt idx="80">
                  <c:v>2.770080287299526</c:v>
                </c:pt>
                <c:pt idx="81">
                  <c:v>2.7735121530818998</c:v>
                </c:pt>
                <c:pt idx="82">
                  <c:v>2.7769524474400642</c:v>
                </c:pt>
                <c:pt idx="83">
                  <c:v>2.7804001224270318</c:v>
                </c:pt>
                <c:pt idx="84">
                  <c:v>2.7838541278476017</c:v>
                </c:pt>
                <c:pt idx="85">
                  <c:v>2.7873134115782636</c:v>
                </c:pt>
                <c:pt idx="86">
                  <c:v>2.7907769198876835</c:v>
                </c:pt>
                <c:pt idx="87">
                  <c:v>2.7942435977576756</c:v>
                </c:pt>
                <c:pt idx="88">
                  <c:v>2.7977123892045808</c:v>
                </c:pt>
                <c:pt idx="89">
                  <c:v>2.8011822376009214</c:v>
                </c:pt>
                <c:pt idx="90">
                  <c:v>2.8046520859972617</c:v>
                </c:pt>
                <c:pt idx="91">
                  <c:v>2.8081208774441655</c:v>
                </c:pt>
                <c:pt idx="92">
                  <c:v>2.8115875553141594</c:v>
                </c:pt>
                <c:pt idx="93">
                  <c:v>2.8150510636235779</c:v>
                </c:pt>
                <c:pt idx="94">
                  <c:v>2.8185103473542399</c:v>
                </c:pt>
                <c:pt idx="95">
                  <c:v>2.8219643527748102</c:v>
                </c:pt>
                <c:pt idx="96">
                  <c:v>2.8254120277617774</c:v>
                </c:pt>
                <c:pt idx="97">
                  <c:v>2.8288523221199426</c:v>
                </c:pt>
                <c:pt idx="98">
                  <c:v>2.8322841879023168</c:v>
                </c:pt>
                <c:pt idx="99">
                  <c:v>2.835706579729337</c:v>
                </c:pt>
                <c:pt idx="100">
                  <c:v>2.8391184551073017</c:v>
                </c:pt>
                <c:pt idx="101">
                  <c:v>2.8425187747459177</c:v>
                </c:pt>
                <c:pt idx="102">
                  <c:v>2.8459065028748811</c:v>
                </c:pt>
                <c:pt idx="103">
                  <c:v>2.8492806075593906</c:v>
                </c:pt>
                <c:pt idx="104">
                  <c:v>2.8526400610144704</c:v>
                </c:pt>
                <c:pt idx="105">
                  <c:v>2.8559838399180548</c:v>
                </c:pt>
                <c:pt idx="106">
                  <c:v>2.8593109257226992</c:v>
                </c:pt>
                <c:pt idx="107">
                  <c:v>2.8626203049658372</c:v>
                </c:pt>
                <c:pt idx="108">
                  <c:v>2.8659109695784903</c:v>
                </c:pt>
                <c:pt idx="109">
                  <c:v>2.8691819171923423</c:v>
                </c:pt>
                <c:pt idx="110">
                  <c:v>2.8724321514450635</c:v>
                </c:pt>
                <c:pt idx="111">
                  <c:v>2.8756606822838138</c:v>
                </c:pt>
                <c:pt idx="112">
                  <c:v>2.8788665262668252</c:v>
                </c:pt>
                <c:pt idx="113">
                  <c:v>2.8820487068629634</c:v>
                </c:pt>
                <c:pt idx="114">
                  <c:v>2.8852062547491939</c:v>
                </c:pt>
                <c:pt idx="115">
                  <c:v>2.8883382081058429</c:v>
                </c:pt>
                <c:pt idx="116">
                  <c:v>2.8914436129095766</c:v>
                </c:pt>
                <c:pt idx="117">
                  <c:v>2.89452152322401</c:v>
                </c:pt>
                <c:pt idx="118">
                  <c:v>2.8975710014878451</c:v>
                </c:pt>
                <c:pt idx="119">
                  <c:v>2.9005911188004596</c:v>
                </c:pt>
                <c:pt idx="120">
                  <c:v>2.9035809552048661</c:v>
                </c:pt>
                <c:pt idx="121">
                  <c:v>2.9065395999679327</c:v>
                </c:pt>
                <c:pt idx="122">
                  <c:v>2.9094661518578016</c:v>
                </c:pt>
                <c:pt idx="123">
                  <c:v>2.9123597194184172</c:v>
                </c:pt>
                <c:pt idx="124">
                  <c:v>2.9152194212410727</c:v>
                </c:pt>
                <c:pt idx="125">
                  <c:v>2.9180443862328866</c:v>
                </c:pt>
                <c:pt idx="126">
                  <c:v>2.9208337538821603</c:v>
                </c:pt>
                <c:pt idx="127">
                  <c:v>2.9235866745204846</c:v>
                </c:pt>
                <c:pt idx="128">
                  <c:v>2.9263023095815628</c:v>
                </c:pt>
                <c:pt idx="129">
                  <c:v>2.9289798318566498</c:v>
                </c:pt>
                <c:pt idx="130">
                  <c:v>2.931618425746525</c:v>
                </c:pt>
                <c:pt idx="131">
                  <c:v>2.9342172875099277</c:v>
                </c:pt>
                <c:pt idx="132">
                  <c:v>2.9367756255083863</c:v>
                </c:pt>
                <c:pt idx="133">
                  <c:v>2.9392926604473679</c:v>
                </c:pt>
                <c:pt idx="134">
                  <c:v>2.9417676256136436</c:v>
                </c:pt>
                <c:pt idx="135">
                  <c:v>2.94419976710885</c:v>
                </c:pt>
                <c:pt idx="136">
                  <c:v>2.9465883440791272</c:v>
                </c:pt>
                <c:pt idx="137">
                  <c:v>2.9489326289407876</c:v>
                </c:pt>
                <c:pt idx="138">
                  <c:v>2.9512319076019593</c:v>
                </c:pt>
                <c:pt idx="139">
                  <c:v>2.9534854796800842</c:v>
                </c:pt>
                <c:pt idx="140">
                  <c:v>2.9556926587152752</c:v>
                </c:pt>
                <c:pt idx="141">
                  <c:v>2.9578527723794203</c:v>
                </c:pt>
                <c:pt idx="142">
                  <c:v>2.9599651626809695</c:v>
                </c:pt>
                <c:pt idx="143">
                  <c:v>2.962029186165374</c:v>
                </c:pt>
                <c:pt idx="144">
                  <c:v>2.9640442141110879</c:v>
                </c:pt>
                <c:pt idx="145">
                  <c:v>2.9660096327210765</c:v>
                </c:pt>
                <c:pt idx="146">
                  <c:v>2.9679248433097931</c:v>
                </c:pt>
                <c:pt idx="147">
                  <c:v>2.96978926248554</c:v>
                </c:pt>
                <c:pt idx="148">
                  <c:v>2.9716023223281716</c:v>
                </c:pt>
                <c:pt idx="149">
                  <c:v>2.9733634705621008</c:v>
                </c:pt>
                <c:pt idx="150">
                  <c:v>2.9750721707245127</c:v>
                </c:pt>
                <c:pt idx="151">
                  <c:v>2.9767279023287849</c:v>
                </c:pt>
                <c:pt idx="152">
                  <c:v>2.9783301610230315</c:v>
                </c:pt>
                <c:pt idx="153">
                  <c:v>2.9798784587437335</c:v>
                </c:pt>
                <c:pt idx="154">
                  <c:v>2.9813723238644068</c:v>
                </c:pt>
                <c:pt idx="155">
                  <c:v>2.9828113013392645</c:v>
                </c:pt>
                <c:pt idx="156">
                  <c:v>2.984194952841825</c:v>
                </c:pt>
                <c:pt idx="157">
                  <c:v>2.9855228568984407</c:v>
                </c:pt>
                <c:pt idx="158">
                  <c:v>2.9867946090166697</c:v>
                </c:pt>
                <c:pt idx="159">
                  <c:v>2.9880098218085003</c:v>
                </c:pt>
                <c:pt idx="160">
                  <c:v>2.98916812510834</c:v>
                </c:pt>
                <c:pt idx="161">
                  <c:v>2.9902691660857847</c:v>
                </c:pt>
                <c:pt idx="162">
                  <c:v>2.9913126093530873</c:v>
                </c:pt>
                <c:pt idx="163">
                  <c:v>2.9922981370673196</c:v>
                </c:pt>
                <c:pt idx="164">
                  <c:v>2.993225449027193</c:v>
                </c:pt>
                <c:pt idx="165">
                  <c:v>2.9940942627645031</c:v>
                </c:pt>
                <c:pt idx="166">
                  <c:v>2.9949043136301654</c:v>
                </c:pt>
                <c:pt idx="167">
                  <c:v>2.9956553548748412</c:v>
                </c:pt>
                <c:pt idx="168">
                  <c:v>2.9963471577240939</c:v>
                </c:pt>
                <c:pt idx="169">
                  <c:v>2.9969795114480711</c:v>
                </c:pt>
                <c:pt idx="170">
                  <c:v>2.9975522234257048</c:v>
                </c:pt>
                <c:pt idx="171">
                  <c:v>2.9980651192033752</c:v>
                </c:pt>
                <c:pt idx="172">
                  <c:v>2.9985180425480631</c:v>
                </c:pt>
                <c:pt idx="173">
                  <c:v>2.99891085549493</c:v>
                </c:pt>
                <c:pt idx="174">
                  <c:v>2.9992434383893465</c:v>
                </c:pt>
                <c:pt idx="175">
                  <c:v>2.9995156899233399</c:v>
                </c:pt>
                <c:pt idx="176">
                  <c:v>2.9997275271664567</c:v>
                </c:pt>
                <c:pt idx="177">
                  <c:v>2.9998788855910208</c:v>
                </c:pt>
                <c:pt idx="178">
                  <c:v>2.9999697190917898</c:v>
                </c:pt>
                <c:pt idx="179">
                  <c:v>2.9999999999999973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FF-4C56-9824-C0CC88D8B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267256"/>
        <c:axId val="2123451624"/>
      </c:scatterChart>
      <c:valAx>
        <c:axId val="2124267256"/>
        <c:scaling>
          <c:orientation val="minMax"/>
          <c:max val="18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Angle [cm] (deg)</a:t>
                </a:r>
              </a:p>
            </c:rich>
          </c:tx>
          <c:layout>
            <c:manualLayout>
              <c:xMode val="edge"/>
              <c:yMode val="edge"/>
              <c:x val="0.46231142589588398"/>
              <c:y val="0.83988852517030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451624"/>
        <c:crosses val="autoZero"/>
        <c:crossBetween val="midCat"/>
      </c:valAx>
      <c:valAx>
        <c:axId val="2123451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[lab] (MeV)</a:t>
                </a:r>
              </a:p>
            </c:rich>
          </c:tx>
          <c:layout>
            <c:manualLayout>
              <c:xMode val="edge"/>
              <c:yMode val="edge"/>
              <c:x val="2.1775544388609701E-2"/>
              <c:y val="0.356742015394143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4267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216067212703901"/>
          <c:y val="0.92415818809165695"/>
          <c:w val="0.21775544388609699"/>
          <c:h val="5.89887640449437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Kinematic curves of M2(M1,M3)M4 reaction</a:t>
            </a:r>
          </a:p>
        </c:rich>
      </c:tx>
      <c:layout>
        <c:manualLayout>
          <c:xMode val="edge"/>
          <c:yMode val="edge"/>
          <c:x val="0.26755852842809402"/>
          <c:y val="3.089887640449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7360351431901"/>
          <c:y val="0.16573050756270899"/>
          <c:w val="0.83779281315991705"/>
          <c:h val="0.598315222217917"/>
        </c:manualLayout>
      </c:layout>
      <c:scatterChart>
        <c:scatterStyle val="smoothMarker"/>
        <c:varyColors val="0"/>
        <c:ser>
          <c:idx val="0"/>
          <c:order val="0"/>
          <c:tx>
            <c:v>Ejectile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'Kin Curves with Eloss'!$T$2:$T$181</c:f>
              <c:numCache>
                <c:formatCode>0.00</c:formatCode>
                <c:ptCount val="180"/>
                <c:pt idx="0">
                  <c:v>0.49999999999999989</c:v>
                </c:pt>
                <c:pt idx="1">
                  <c:v>0.99999999999999978</c:v>
                </c:pt>
                <c:pt idx="2">
                  <c:v>1.5</c:v>
                </c:pt>
                <c:pt idx="3">
                  <c:v>2</c:v>
                </c:pt>
                <c:pt idx="4">
                  <c:v>2.4999999999999996</c:v>
                </c:pt>
                <c:pt idx="5">
                  <c:v>3</c:v>
                </c:pt>
                <c:pt idx="6">
                  <c:v>3.4999999999999996</c:v>
                </c:pt>
                <c:pt idx="7">
                  <c:v>3.9999999999999991</c:v>
                </c:pt>
                <c:pt idx="8">
                  <c:v>4.5</c:v>
                </c:pt>
                <c:pt idx="9">
                  <c:v>4.9999999999999991</c:v>
                </c:pt>
                <c:pt idx="10">
                  <c:v>5.4999999999999991</c:v>
                </c:pt>
                <c:pt idx="11">
                  <c:v>6</c:v>
                </c:pt>
                <c:pt idx="12">
                  <c:v>6.5</c:v>
                </c:pt>
                <c:pt idx="13">
                  <c:v>6.9999999999999991</c:v>
                </c:pt>
                <c:pt idx="14">
                  <c:v>7.4999999999999982</c:v>
                </c:pt>
                <c:pt idx="15">
                  <c:v>7.9999999999999982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9.9999999999999982</c:v>
                </c:pt>
                <c:pt idx="20">
                  <c:v>10.499999999999996</c:v>
                </c:pt>
                <c:pt idx="21">
                  <c:v>10.999999999999998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12.999999999999998</c:v>
                </c:pt>
                <c:pt idx="26">
                  <c:v>13.499999999999996</c:v>
                </c:pt>
                <c:pt idx="27">
                  <c:v>14</c:v>
                </c:pt>
                <c:pt idx="28">
                  <c:v>14.500000000000002</c:v>
                </c:pt>
                <c:pt idx="29">
                  <c:v>14.999999999999996</c:v>
                </c:pt>
                <c:pt idx="30">
                  <c:v>15.5</c:v>
                </c:pt>
                <c:pt idx="31">
                  <c:v>15.999999999999996</c:v>
                </c:pt>
                <c:pt idx="32">
                  <c:v>16.499999999999996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18.499999999999996</c:v>
                </c:pt>
                <c:pt idx="37">
                  <c:v>18.999999999999996</c:v>
                </c:pt>
                <c:pt idx="38">
                  <c:v>19.499999999999996</c:v>
                </c:pt>
                <c:pt idx="39">
                  <c:v>19.999999999999993</c:v>
                </c:pt>
                <c:pt idx="40">
                  <c:v>20.499999999999996</c:v>
                </c:pt>
                <c:pt idx="41">
                  <c:v>21</c:v>
                </c:pt>
                <c:pt idx="42">
                  <c:v>21.5</c:v>
                </c:pt>
                <c:pt idx="43">
                  <c:v>21.999999999999993</c:v>
                </c:pt>
                <c:pt idx="44">
                  <c:v>22.499999999999993</c:v>
                </c:pt>
                <c:pt idx="45">
                  <c:v>22.999999999999996</c:v>
                </c:pt>
                <c:pt idx="46">
                  <c:v>23.499999999999996</c:v>
                </c:pt>
                <c:pt idx="47">
                  <c:v>24</c:v>
                </c:pt>
                <c:pt idx="48">
                  <c:v>24.5</c:v>
                </c:pt>
                <c:pt idx="49">
                  <c:v>24.999999999999993</c:v>
                </c:pt>
                <c:pt idx="50">
                  <c:v>25.499999999999996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27.499999999999993</c:v>
                </c:pt>
                <c:pt idx="55">
                  <c:v>27.999999999999996</c:v>
                </c:pt>
                <c:pt idx="56">
                  <c:v>28.5</c:v>
                </c:pt>
                <c:pt idx="57">
                  <c:v>28.999999999999996</c:v>
                </c:pt>
                <c:pt idx="58">
                  <c:v>29.499999999999996</c:v>
                </c:pt>
                <c:pt idx="59">
                  <c:v>29.999999999999993</c:v>
                </c:pt>
                <c:pt idx="60">
                  <c:v>30.5</c:v>
                </c:pt>
                <c:pt idx="61">
                  <c:v>30.999999999999993</c:v>
                </c:pt>
                <c:pt idx="62">
                  <c:v>31.499999999999993</c:v>
                </c:pt>
                <c:pt idx="63">
                  <c:v>32</c:v>
                </c:pt>
                <c:pt idx="64">
                  <c:v>32.499999999999993</c:v>
                </c:pt>
                <c:pt idx="65">
                  <c:v>32.999999999999993</c:v>
                </c:pt>
                <c:pt idx="66">
                  <c:v>33.499999999999993</c:v>
                </c:pt>
                <c:pt idx="67">
                  <c:v>34</c:v>
                </c:pt>
                <c:pt idx="68">
                  <c:v>34.5</c:v>
                </c:pt>
                <c:pt idx="69">
                  <c:v>34.999999999999993</c:v>
                </c:pt>
                <c:pt idx="70">
                  <c:v>35.499999999999993</c:v>
                </c:pt>
                <c:pt idx="71">
                  <c:v>35.999999999999993</c:v>
                </c:pt>
                <c:pt idx="72">
                  <c:v>36.499999999999993</c:v>
                </c:pt>
                <c:pt idx="73">
                  <c:v>37</c:v>
                </c:pt>
                <c:pt idx="74">
                  <c:v>37.499999999999993</c:v>
                </c:pt>
                <c:pt idx="75">
                  <c:v>37.999999999999993</c:v>
                </c:pt>
                <c:pt idx="76">
                  <c:v>38.5</c:v>
                </c:pt>
                <c:pt idx="77">
                  <c:v>38.999999999999993</c:v>
                </c:pt>
                <c:pt idx="78">
                  <c:v>39.5</c:v>
                </c:pt>
                <c:pt idx="79">
                  <c:v>39.999999999999993</c:v>
                </c:pt>
                <c:pt idx="80">
                  <c:v>40.499999999999993</c:v>
                </c:pt>
                <c:pt idx="81">
                  <c:v>41</c:v>
                </c:pt>
                <c:pt idx="82">
                  <c:v>41.499999999999993</c:v>
                </c:pt>
                <c:pt idx="83">
                  <c:v>41.999999999999993</c:v>
                </c:pt>
                <c:pt idx="84">
                  <c:v>42.499999999999993</c:v>
                </c:pt>
                <c:pt idx="85">
                  <c:v>43</c:v>
                </c:pt>
                <c:pt idx="86">
                  <c:v>43.499999999999993</c:v>
                </c:pt>
                <c:pt idx="87">
                  <c:v>43.999999999999993</c:v>
                </c:pt>
                <c:pt idx="88">
                  <c:v>44.499999999999993</c:v>
                </c:pt>
                <c:pt idx="89">
                  <c:v>44.999999999999993</c:v>
                </c:pt>
                <c:pt idx="90">
                  <c:v>45.499999999999993</c:v>
                </c:pt>
                <c:pt idx="91">
                  <c:v>45.999999999999986</c:v>
                </c:pt>
                <c:pt idx="92">
                  <c:v>46.499999999999993</c:v>
                </c:pt>
                <c:pt idx="93">
                  <c:v>46.999999999999993</c:v>
                </c:pt>
                <c:pt idx="94">
                  <c:v>47.5</c:v>
                </c:pt>
                <c:pt idx="95">
                  <c:v>47.999999999999993</c:v>
                </c:pt>
                <c:pt idx="96">
                  <c:v>48.499999999999993</c:v>
                </c:pt>
                <c:pt idx="97">
                  <c:v>48.999999999999993</c:v>
                </c:pt>
                <c:pt idx="98">
                  <c:v>49.499999999999993</c:v>
                </c:pt>
                <c:pt idx="99">
                  <c:v>49.999999999999993</c:v>
                </c:pt>
                <c:pt idx="100">
                  <c:v>50.499999999999993</c:v>
                </c:pt>
                <c:pt idx="101">
                  <c:v>51</c:v>
                </c:pt>
                <c:pt idx="102">
                  <c:v>51.499999999999993</c:v>
                </c:pt>
                <c:pt idx="103">
                  <c:v>52</c:v>
                </c:pt>
                <c:pt idx="104">
                  <c:v>52.5</c:v>
                </c:pt>
                <c:pt idx="105">
                  <c:v>52.999999999999993</c:v>
                </c:pt>
                <c:pt idx="106">
                  <c:v>53.499999999999993</c:v>
                </c:pt>
                <c:pt idx="107">
                  <c:v>53.999999999999993</c:v>
                </c:pt>
                <c:pt idx="108">
                  <c:v>54.499999999999993</c:v>
                </c:pt>
                <c:pt idx="109">
                  <c:v>54.999999999999986</c:v>
                </c:pt>
                <c:pt idx="110">
                  <c:v>55.499999999999986</c:v>
                </c:pt>
                <c:pt idx="111">
                  <c:v>55.999999999999993</c:v>
                </c:pt>
                <c:pt idx="112">
                  <c:v>56.499999999999993</c:v>
                </c:pt>
                <c:pt idx="113">
                  <c:v>57</c:v>
                </c:pt>
                <c:pt idx="114">
                  <c:v>57.499999999999986</c:v>
                </c:pt>
                <c:pt idx="115">
                  <c:v>57.999999999999993</c:v>
                </c:pt>
                <c:pt idx="116">
                  <c:v>58.499999999999986</c:v>
                </c:pt>
                <c:pt idx="117">
                  <c:v>59.000000000000007</c:v>
                </c:pt>
                <c:pt idx="118">
                  <c:v>59.499999999999986</c:v>
                </c:pt>
                <c:pt idx="119">
                  <c:v>59.999999999999986</c:v>
                </c:pt>
                <c:pt idx="120">
                  <c:v>60.5</c:v>
                </c:pt>
                <c:pt idx="121">
                  <c:v>60.999999999999986</c:v>
                </c:pt>
                <c:pt idx="122">
                  <c:v>61.499999999999993</c:v>
                </c:pt>
                <c:pt idx="123">
                  <c:v>61.999999999999986</c:v>
                </c:pt>
                <c:pt idx="124">
                  <c:v>62.499999999999993</c:v>
                </c:pt>
                <c:pt idx="125">
                  <c:v>62.999999999999986</c:v>
                </c:pt>
                <c:pt idx="126">
                  <c:v>63.499999999999993</c:v>
                </c:pt>
                <c:pt idx="127">
                  <c:v>63.999999999999986</c:v>
                </c:pt>
                <c:pt idx="128">
                  <c:v>64.499999999999986</c:v>
                </c:pt>
                <c:pt idx="129">
                  <c:v>64.999999999999986</c:v>
                </c:pt>
                <c:pt idx="130">
                  <c:v>65.499999999999986</c:v>
                </c:pt>
                <c:pt idx="131">
                  <c:v>65.999999999999986</c:v>
                </c:pt>
                <c:pt idx="132">
                  <c:v>66.499999999999986</c:v>
                </c:pt>
                <c:pt idx="133">
                  <c:v>66.999999999999986</c:v>
                </c:pt>
                <c:pt idx="134">
                  <c:v>67.499999999999986</c:v>
                </c:pt>
                <c:pt idx="135">
                  <c:v>67.999999999999986</c:v>
                </c:pt>
                <c:pt idx="136">
                  <c:v>68.499999999999986</c:v>
                </c:pt>
                <c:pt idx="137">
                  <c:v>68.999999999999972</c:v>
                </c:pt>
                <c:pt idx="138">
                  <c:v>69.499999999999986</c:v>
                </c:pt>
                <c:pt idx="139">
                  <c:v>69.999999999999972</c:v>
                </c:pt>
                <c:pt idx="140">
                  <c:v>70.499999999999972</c:v>
                </c:pt>
                <c:pt idx="141">
                  <c:v>70.999999999999986</c:v>
                </c:pt>
                <c:pt idx="142">
                  <c:v>71.499999999999986</c:v>
                </c:pt>
                <c:pt idx="143">
                  <c:v>71.999999999999972</c:v>
                </c:pt>
                <c:pt idx="144">
                  <c:v>72.5</c:v>
                </c:pt>
                <c:pt idx="145">
                  <c:v>72.999999999999972</c:v>
                </c:pt>
                <c:pt idx="146">
                  <c:v>73.499999999999986</c:v>
                </c:pt>
                <c:pt idx="147">
                  <c:v>73.999999999999972</c:v>
                </c:pt>
                <c:pt idx="148">
                  <c:v>74.499999999999972</c:v>
                </c:pt>
                <c:pt idx="149">
                  <c:v>74.999999999999972</c:v>
                </c:pt>
                <c:pt idx="150">
                  <c:v>75.499999999999972</c:v>
                </c:pt>
                <c:pt idx="151">
                  <c:v>75.999999999999986</c:v>
                </c:pt>
                <c:pt idx="152">
                  <c:v>76.499999999999972</c:v>
                </c:pt>
                <c:pt idx="153">
                  <c:v>76.999999999999986</c:v>
                </c:pt>
                <c:pt idx="154">
                  <c:v>77.499999999999972</c:v>
                </c:pt>
                <c:pt idx="155">
                  <c:v>77.999999999999957</c:v>
                </c:pt>
                <c:pt idx="156">
                  <c:v>78.499999999999972</c:v>
                </c:pt>
                <c:pt idx="157">
                  <c:v>78.999999999999957</c:v>
                </c:pt>
                <c:pt idx="158">
                  <c:v>79.499999999999972</c:v>
                </c:pt>
                <c:pt idx="159">
                  <c:v>79.999999999999957</c:v>
                </c:pt>
                <c:pt idx="160">
                  <c:v>80.499999999999972</c:v>
                </c:pt>
                <c:pt idx="161">
                  <c:v>80.999999999999957</c:v>
                </c:pt>
                <c:pt idx="162">
                  <c:v>81.499999999999972</c:v>
                </c:pt>
                <c:pt idx="163">
                  <c:v>81.999999999999957</c:v>
                </c:pt>
                <c:pt idx="164">
                  <c:v>82.499999999999943</c:v>
                </c:pt>
                <c:pt idx="165">
                  <c:v>82.999999999999957</c:v>
                </c:pt>
                <c:pt idx="166">
                  <c:v>83.499999999999929</c:v>
                </c:pt>
                <c:pt idx="167">
                  <c:v>83.999999999999957</c:v>
                </c:pt>
                <c:pt idx="168">
                  <c:v>84.499999999999943</c:v>
                </c:pt>
                <c:pt idx="169">
                  <c:v>84.999999999999915</c:v>
                </c:pt>
                <c:pt idx="170">
                  <c:v>85.499999999999901</c:v>
                </c:pt>
                <c:pt idx="171">
                  <c:v>85.999999999999929</c:v>
                </c:pt>
                <c:pt idx="172">
                  <c:v>86.499999999999872</c:v>
                </c:pt>
                <c:pt idx="173">
                  <c:v>86.999999999999872</c:v>
                </c:pt>
                <c:pt idx="174">
                  <c:v>87.499999999999858</c:v>
                </c:pt>
                <c:pt idx="175">
                  <c:v>87.999999999999787</c:v>
                </c:pt>
                <c:pt idx="176">
                  <c:v>88.499999999999716</c:v>
                </c:pt>
                <c:pt idx="177">
                  <c:v>88.999999999999687</c:v>
                </c:pt>
                <c:pt idx="178">
                  <c:v>89.499999999999375</c:v>
                </c:pt>
                <c:pt idx="179">
                  <c:v>28.888060902069228</c:v>
                </c:pt>
              </c:numCache>
            </c:numRef>
          </c:xVal>
          <c:yVal>
            <c:numRef>
              <c:f>'Kin Curves with Eloss'!$V$2:$V$181</c:f>
              <c:numCache>
                <c:formatCode>0.000</c:formatCode>
                <c:ptCount val="180"/>
                <c:pt idx="0">
                  <c:v>0.31808419511195646</c:v>
                </c:pt>
                <c:pt idx="1">
                  <c:v>0.31801152831134161</c:v>
                </c:pt>
                <c:pt idx="2">
                  <c:v>0.31789044157169044</c:v>
                </c:pt>
                <c:pt idx="3">
                  <c:v>0.31772097177719671</c:v>
                </c:pt>
                <c:pt idx="4">
                  <c:v>0.31750317055000177</c:v>
                </c:pt>
                <c:pt idx="5">
                  <c:v>0.31723710423446899</c:v>
                </c:pt>
                <c:pt idx="6">
                  <c:v>0.31692285387697594</c:v>
                </c:pt>
                <c:pt idx="7">
                  <c:v>0.31656051520122541</c:v>
                </c:pt>
                <c:pt idx="8">
                  <c:v>0.31615019857908799</c:v>
                </c:pt>
                <c:pt idx="9">
                  <c:v>0.3156920289969819</c:v>
                </c:pt>
                <c:pt idx="10">
                  <c:v>0.31518614601780021</c:v>
                </c:pt>
                <c:pt idx="11">
                  <c:v>0.31463270373839863</c:v>
                </c:pt>
                <c:pt idx="12">
                  <c:v>0.3140318707426572</c:v>
                </c:pt>
                <c:pt idx="13">
                  <c:v>0.3133838300501266</c:v>
                </c:pt>
                <c:pt idx="14">
                  <c:v>0.31268877906027964</c:v>
                </c:pt>
                <c:pt idx="15">
                  <c:v>0.31194692949238068</c:v>
                </c:pt>
                <c:pt idx="16">
                  <c:v>0.31115850732099476</c:v>
                </c:pt>
                <c:pt idx="17">
                  <c:v>0.31032375270715279</c:v>
                </c:pt>
                <c:pt idx="18">
                  <c:v>0.30944291992519674</c:v>
                </c:pt>
                <c:pt idx="19">
                  <c:v>0.30851627728532488</c:v>
                </c:pt>
                <c:pt idx="20">
                  <c:v>0.30754410705186158</c:v>
                </c:pt>
                <c:pt idx="21">
                  <c:v>0.30652670535727783</c:v>
                </c:pt>
                <c:pt idx="22">
                  <c:v>0.30546438211198529</c:v>
                </c:pt>
                <c:pt idx="23">
                  <c:v>0.30435746090993587</c:v>
                </c:pt>
                <c:pt idx="24">
                  <c:v>0.30320627893005048</c:v>
                </c:pt>
                <c:pt idx="25">
                  <c:v>0.30201118683351208</c:v>
                </c:pt>
                <c:pt idx="26">
                  <c:v>0.30077254865695019</c:v>
                </c:pt>
                <c:pt idx="27">
                  <c:v>0.29949074170155221</c:v>
                </c:pt>
                <c:pt idx="28">
                  <c:v>0.29816615641813432</c:v>
                </c:pt>
                <c:pt idx="29">
                  <c:v>0.29679919628820528</c:v>
                </c:pt>
                <c:pt idx="30">
                  <c:v>0.29539027770106235</c:v>
                </c:pt>
                <c:pt idx="31">
                  <c:v>0.29393982982695621</c:v>
                </c:pt>
                <c:pt idx="32">
                  <c:v>0.29244829448635967</c:v>
                </c:pt>
                <c:pt idx="33">
                  <c:v>0.29091612601538647</c:v>
                </c:pt>
                <c:pt idx="34">
                  <c:v>0.28934379112739528</c:v>
                </c:pt>
                <c:pt idx="35">
                  <c:v>0.28773176877082479</c:v>
                </c:pt>
                <c:pt idx="36">
                  <c:v>0.28608054998330046</c:v>
                </c:pt>
                <c:pt idx="37">
                  <c:v>0.28439063774206091</c:v>
                </c:pt>
                <c:pt idx="38">
                  <c:v>0.28266254681074526</c:v>
                </c:pt>
                <c:pt idx="39">
                  <c:v>0.28089680358259173</c:v>
                </c:pt>
                <c:pt idx="40">
                  <c:v>0.27909394592009246</c:v>
                </c:pt>
                <c:pt idx="41">
                  <c:v>0.27725452299115638</c:v>
                </c:pt>
                <c:pt idx="42">
                  <c:v>0.27537909510182629</c:v>
                </c:pt>
                <c:pt idx="43">
                  <c:v>0.2734682335256054</c:v>
                </c:pt>
                <c:pt idx="44">
                  <c:v>0.27152252032944035</c:v>
                </c:pt>
                <c:pt idx="45">
                  <c:v>0.26954254819641937</c:v>
                </c:pt>
                <c:pt idx="46">
                  <c:v>0.26752892024523456</c:v>
                </c:pt>
                <c:pt idx="47">
                  <c:v>0.2654822498464664</c:v>
                </c:pt>
                <c:pt idx="48">
                  <c:v>0.26340316043574491</c:v>
                </c:pt>
                <c:pt idx="49">
                  <c:v>0.26129228532384519</c:v>
                </c:pt>
                <c:pt idx="50">
                  <c:v>0.25915026750377451</c:v>
                </c:pt>
                <c:pt idx="51">
                  <c:v>0.25697775945491141</c:v>
                </c:pt>
                <c:pt idx="52">
                  <c:v>0.25477542294425287</c:v>
                </c:pt>
                <c:pt idx="53">
                  <c:v>0.25254392882483501</c:v>
                </c:pt>
                <c:pt idx="54">
                  <c:v>0.25028395683138321</c:v>
                </c:pt>
                <c:pt idx="55">
                  <c:v>0.24799619537325943</c:v>
                </c:pt>
                <c:pt idx="56">
                  <c:v>0.24568134132476593</c:v>
                </c:pt>
                <c:pt idx="57">
                  <c:v>0.24334009981287069</c:v>
                </c:pt>
                <c:pt idx="58">
                  <c:v>0.24097318400241796</c:v>
                </c:pt>
                <c:pt idx="59">
                  <c:v>0.23858131487889267</c:v>
                </c:pt>
                <c:pt idx="60">
                  <c:v>0.23616522102880014</c:v>
                </c:pt>
                <c:pt idx="61">
                  <c:v>0.23372563841773275</c:v>
                </c:pt>
                <c:pt idx="62">
                  <c:v>0.23126331016618618</c:v>
                </c:pt>
                <c:pt idx="63">
                  <c:v>0.22877898632319918</c:v>
                </c:pt>
                <c:pt idx="64">
                  <c:v>0.22627342363788042</c:v>
                </c:pt>
                <c:pt idx="65">
                  <c:v>0.22374738532889593</c:v>
                </c:pt>
                <c:pt idx="66">
                  <c:v>0.22120164085198471</c:v>
                </c:pt>
                <c:pt idx="67">
                  <c:v>0.21863696566557567</c:v>
                </c:pt>
                <c:pt idx="68">
                  <c:v>0.21605414099457526</c:v>
                </c:pt>
                <c:pt idx="69">
                  <c:v>0.21345395359239866</c:v>
                </c:pt>
                <c:pt idx="70">
                  <c:v>0.21083719550131688</c:v>
                </c:pt>
                <c:pt idx="71">
                  <c:v>0.20820466381119399</c:v>
                </c:pt>
                <c:pt idx="72">
                  <c:v>0.20555716041668434</c:v>
                </c:pt>
                <c:pt idx="73">
                  <c:v>0.20289549177296889</c:v>
                </c:pt>
                <c:pt idx="74">
                  <c:v>0.20022046865010093</c:v>
                </c:pt>
                <c:pt idx="75">
                  <c:v>0.197532905886037</c:v>
                </c:pt>
                <c:pt idx="76">
                  <c:v>0.19483362213843006</c:v>
                </c:pt>
                <c:pt idx="77">
                  <c:v>0.19212343963525827</c:v>
                </c:pt>
                <c:pt idx="78">
                  <c:v>0.18940318392436609</c:v>
                </c:pt>
                <c:pt idx="79">
                  <c:v>0.18667368362199491</c:v>
                </c:pt>
                <c:pt idx="80">
                  <c:v>0.18393577016037804</c:v>
                </c:pt>
                <c:pt idx="81">
                  <c:v>0.18119027753447856</c:v>
                </c:pt>
                <c:pt idx="82">
                  <c:v>0.17843804204794664</c:v>
                </c:pt>
                <c:pt idx="83">
                  <c:v>0.17567990205837292</c:v>
                </c:pt>
                <c:pt idx="84">
                  <c:v>0.17291669772191698</c:v>
                </c:pt>
                <c:pt idx="85">
                  <c:v>0.17014927073738731</c:v>
                </c:pt>
                <c:pt idx="86">
                  <c:v>0.16737846408985224</c:v>
                </c:pt>
                <c:pt idx="87">
                  <c:v>0.16460512179385794</c:v>
                </c:pt>
                <c:pt idx="88">
                  <c:v>0.16183008863633375</c:v>
                </c:pt>
                <c:pt idx="89">
                  <c:v>0.15905420991926172</c:v>
                </c:pt>
                <c:pt idx="90">
                  <c:v>0.15627833120218979</c:v>
                </c:pt>
                <c:pt idx="91">
                  <c:v>0.15350329804466561</c:v>
                </c:pt>
                <c:pt idx="92">
                  <c:v>0.15072995574867123</c:v>
                </c:pt>
                <c:pt idx="93">
                  <c:v>0.14795914910113614</c:v>
                </c:pt>
                <c:pt idx="94">
                  <c:v>0.1451917221166065</c:v>
                </c:pt>
                <c:pt idx="95">
                  <c:v>0.1424285177801505</c:v>
                </c:pt>
                <c:pt idx="96">
                  <c:v>0.13967037779057678</c:v>
                </c:pt>
                <c:pt idx="97">
                  <c:v>0.13691814230404487</c:v>
                </c:pt>
                <c:pt idx="98">
                  <c:v>0.13417264967814543</c:v>
                </c:pt>
                <c:pt idx="99">
                  <c:v>0.13143473621652851</c:v>
                </c:pt>
                <c:pt idx="100">
                  <c:v>0.12870523591415733</c:v>
                </c:pt>
                <c:pt idx="101">
                  <c:v>0.12598498020326518</c:v>
                </c:pt>
                <c:pt idx="102">
                  <c:v>0.12327479770009338</c:v>
                </c:pt>
                <c:pt idx="103">
                  <c:v>0.12057551395248638</c:v>
                </c:pt>
                <c:pt idx="104">
                  <c:v>0.11788795118842249</c:v>
                </c:pt>
                <c:pt idx="105">
                  <c:v>0.11521292806555451</c:v>
                </c:pt>
                <c:pt idx="106">
                  <c:v>0.11255125942183913</c:v>
                </c:pt>
                <c:pt idx="107">
                  <c:v>0.10990375602732955</c:v>
                </c:pt>
                <c:pt idx="108">
                  <c:v>0.10727122433720652</c:v>
                </c:pt>
                <c:pt idx="109">
                  <c:v>0.10465446624612487</c:v>
                </c:pt>
                <c:pt idx="110">
                  <c:v>0.10205427884394815</c:v>
                </c:pt>
                <c:pt idx="111">
                  <c:v>9.9471454172947726E-2</c:v>
                </c:pt>
                <c:pt idx="112">
                  <c:v>9.6906778986538725E-2</c:v>
                </c:pt>
                <c:pt idx="113">
                  <c:v>9.4361034509627559E-2</c:v>
                </c:pt>
                <c:pt idx="114">
                  <c:v>9.183499620064306E-2</c:v>
                </c:pt>
                <c:pt idx="115">
                  <c:v>8.9329433515324339E-2</c:v>
                </c:pt>
                <c:pt idx="116">
                  <c:v>8.6845109672337314E-2</c:v>
                </c:pt>
                <c:pt idx="117">
                  <c:v>8.4382781420790753E-2</c:v>
                </c:pt>
                <c:pt idx="118">
                  <c:v>8.1943198809723297E-2</c:v>
                </c:pt>
                <c:pt idx="119">
                  <c:v>7.9527104959630904E-2</c:v>
                </c:pt>
                <c:pt idx="120">
                  <c:v>7.7135235836105515E-2</c:v>
                </c:pt>
                <c:pt idx="121">
                  <c:v>7.4768320025652882E-2</c:v>
                </c:pt>
                <c:pt idx="122">
                  <c:v>7.2427078513757459E-2</c:v>
                </c:pt>
                <c:pt idx="123">
                  <c:v>7.0112224465264134E-2</c:v>
                </c:pt>
                <c:pt idx="124">
                  <c:v>6.7824463007140359E-2</c:v>
                </c:pt>
                <c:pt idx="125">
                  <c:v>6.5564491013688483E-2</c:v>
                </c:pt>
                <c:pt idx="126">
                  <c:v>6.333299689427048E-2</c:v>
                </c:pt>
                <c:pt idx="127">
                  <c:v>6.1130660383612104E-2</c:v>
                </c:pt>
                <c:pt idx="128">
                  <c:v>5.8958152334749027E-2</c:v>
                </c:pt>
                <c:pt idx="129">
                  <c:v>5.6816134514678429E-2</c:v>
                </c:pt>
                <c:pt idx="130">
                  <c:v>5.4705259402778574E-2</c:v>
                </c:pt>
                <c:pt idx="131">
                  <c:v>5.2626169992056993E-2</c:v>
                </c:pt>
                <c:pt idx="132">
                  <c:v>5.0579499593288869E-2</c:v>
                </c:pt>
                <c:pt idx="133">
                  <c:v>4.8565871642104089E-2</c:v>
                </c:pt>
                <c:pt idx="134">
                  <c:v>4.6585899509083137E-2</c:v>
                </c:pt>
                <c:pt idx="135">
                  <c:v>4.4640186312918072E-2</c:v>
                </c:pt>
                <c:pt idx="136">
                  <c:v>4.2729324736697077E-2</c:v>
                </c:pt>
                <c:pt idx="137">
                  <c:v>4.0853896847367163E-2</c:v>
                </c:pt>
                <c:pt idx="138">
                  <c:v>3.901447391843104E-2</c:v>
                </c:pt>
                <c:pt idx="139">
                  <c:v>3.7211616255931869E-2</c:v>
                </c:pt>
                <c:pt idx="140">
                  <c:v>3.5445873027778199E-2</c:v>
                </c:pt>
                <c:pt idx="141">
                  <c:v>3.3717782096462555E-2</c:v>
                </c:pt>
                <c:pt idx="142">
                  <c:v>3.2027869855222935E-2</c:v>
                </c:pt>
                <c:pt idx="143">
                  <c:v>3.0376651067698671E-2</c:v>
                </c:pt>
                <c:pt idx="144">
                  <c:v>2.8764628711128025E-2</c:v>
                </c:pt>
                <c:pt idx="145">
                  <c:v>2.7192293823136961E-2</c:v>
                </c:pt>
                <c:pt idx="146">
                  <c:v>2.5660125352163825E-2</c:v>
                </c:pt>
                <c:pt idx="147">
                  <c:v>2.4168590011567292E-2</c:v>
                </c:pt>
                <c:pt idx="148">
                  <c:v>2.2718142137461039E-2</c:v>
                </c:pt>
                <c:pt idx="149">
                  <c:v>2.1309223550318213E-2</c:v>
                </c:pt>
                <c:pt idx="150">
                  <c:v>1.9942263420389066E-2</c:v>
                </c:pt>
                <c:pt idx="151">
                  <c:v>1.8617678136971114E-2</c:v>
                </c:pt>
                <c:pt idx="152">
                  <c:v>1.7335871181573318E-2</c:v>
                </c:pt>
                <c:pt idx="153">
                  <c:v>1.6097233005011372E-2</c:v>
                </c:pt>
                <c:pt idx="154">
                  <c:v>1.4902140908472857E-2</c:v>
                </c:pt>
                <c:pt idx="155">
                  <c:v>1.375095892858748E-2</c:v>
                </c:pt>
                <c:pt idx="156">
                  <c:v>1.2644037726538033E-2</c:v>
                </c:pt>
                <c:pt idx="157">
                  <c:v>1.1581714481245705E-2</c:v>
                </c:pt>
                <c:pt idx="158">
                  <c:v>1.05643127866619E-2</c:v>
                </c:pt>
                <c:pt idx="159">
                  <c:v>9.5921425531986567E-3</c:v>
                </c:pt>
                <c:pt idx="160">
                  <c:v>8.6654999133266471E-3</c:v>
                </c:pt>
                <c:pt idx="161">
                  <c:v>7.7846671313706144E-3</c:v>
                </c:pt>
                <c:pt idx="162">
                  <c:v>6.9499125175287186E-3</c:v>
                </c:pt>
                <c:pt idx="163">
                  <c:v>6.1614903461428231E-3</c:v>
                </c:pt>
                <c:pt idx="164">
                  <c:v>5.4196407782439327E-3</c:v>
                </c:pt>
                <c:pt idx="165">
                  <c:v>4.7245897883968664E-3</c:v>
                </c:pt>
                <c:pt idx="166">
                  <c:v>4.0765490958662824E-3</c:v>
                </c:pt>
                <c:pt idx="167">
                  <c:v>3.4757161001247976E-3</c:v>
                </c:pt>
                <c:pt idx="168">
                  <c:v>2.9222738207233486E-3</c:v>
                </c:pt>
                <c:pt idx="169">
                  <c:v>2.4163908415415288E-3</c:v>
                </c:pt>
                <c:pt idx="170">
                  <c:v>1.9582212594354193E-3</c:v>
                </c:pt>
                <c:pt idx="171">
                  <c:v>1.547904637298097E-3</c:v>
                </c:pt>
                <c:pt idx="172">
                  <c:v>1.1855659615475109E-3</c:v>
                </c:pt>
                <c:pt idx="173">
                  <c:v>8.7131560405433726E-4</c:v>
                </c:pt>
                <c:pt idx="174">
                  <c:v>6.0524928852167354E-4</c:v>
                </c:pt>
                <c:pt idx="175">
                  <c:v>3.8744806132668758E-4</c:v>
                </c:pt>
                <c:pt idx="176">
                  <c:v>2.1797826683305941E-4</c:v>
                </c:pt>
                <c:pt idx="177">
                  <c:v>9.6891527181891109E-5</c:v>
                </c:pt>
                <c:pt idx="178">
                  <c:v>2.4224726567067968E-5</c:v>
                </c:pt>
                <c:pt idx="179">
                  <c:v>5.1146818884640673E-33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AF-4087-970D-0297481CD8FE}"/>
            </c:ext>
          </c:extLst>
        </c:ser>
        <c:ser>
          <c:idx val="1"/>
          <c:order val="1"/>
          <c:tx>
            <c:v>Recoil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'Kin Curves with Eloss'!$U$2:$U$181</c:f>
              <c:numCache>
                <c:formatCode>0.00</c:formatCode>
                <c:ptCount val="180"/>
                <c:pt idx="0">
                  <c:v>178.96315997696095</c:v>
                </c:pt>
                <c:pt idx="1">
                  <c:v>177.92633244615652</c:v>
                </c:pt>
                <c:pt idx="2">
                  <c:v>176.88952989427256</c:v>
                </c:pt>
                <c:pt idx="3">
                  <c:v>175.85276479690157</c:v>
                </c:pt>
                <c:pt idx="4">
                  <c:v>174.81604961300727</c:v>
                </c:pt>
                <c:pt idx="5">
                  <c:v>173.77939677940216</c:v>
                </c:pt>
                <c:pt idx="6">
                  <c:v>172.74281870524285</c:v>
                </c:pt>
                <c:pt idx="7">
                  <c:v>171.70632776654733</c:v>
                </c:pt>
                <c:pt idx="8">
                  <c:v>170.6699363007385</c:v>
                </c:pt>
                <c:pt idx="9">
                  <c:v>169.63365660121832</c:v>
                </c:pt>
                <c:pt idx="10">
                  <c:v>168.59750091197679</c:v>
                </c:pt>
                <c:pt idx="11">
                  <c:v>167.56148142223989</c:v>
                </c:pt>
                <c:pt idx="12">
                  <c:v>166.52561026116072</c:v>
                </c:pt>
                <c:pt idx="13">
                  <c:v>165.48989949255773</c:v>
                </c:pt>
                <c:pt idx="14">
                  <c:v>164.45436110970419</c:v>
                </c:pt>
                <c:pt idx="15">
                  <c:v>163.41900703017279</c:v>
                </c:pt>
                <c:pt idx="16">
                  <c:v>162.38384909073898</c:v>
                </c:pt>
                <c:pt idx="17">
                  <c:v>161.34889904234726</c:v>
                </c:pt>
                <c:pt idx="18">
                  <c:v>160.3141685451435</c:v>
                </c:pt>
                <c:pt idx="19">
                  <c:v>159.27966916357735</c:v>
                </c:pt>
                <c:pt idx="20">
                  <c:v>158.24541236157793</c:v>
                </c:pt>
                <c:pt idx="21">
                  <c:v>157.21140949780602</c:v>
                </c:pt>
                <c:pt idx="22">
                  <c:v>156.17767182098638</c:v>
                </c:pt>
                <c:pt idx="23">
                  <c:v>155.14421046532308</c:v>
                </c:pt>
                <c:pt idx="24">
                  <c:v>154.11103644600081</c:v>
                </c:pt>
                <c:pt idx="25">
                  <c:v>153.07816065477499</c:v>
                </c:pt>
                <c:pt idx="26">
                  <c:v>152.04559385565389</c:v>
                </c:pt>
                <c:pt idx="27">
                  <c:v>151.01334668067472</c:v>
                </c:pt>
                <c:pt idx="28">
                  <c:v>149.98142962577685</c:v>
                </c:pt>
                <c:pt idx="29">
                  <c:v>148.94985304677402</c:v>
                </c:pt>
                <c:pt idx="30">
                  <c:v>147.91862715542786</c:v>
                </c:pt>
                <c:pt idx="31">
                  <c:v>146.88776201562541</c:v>
                </c:pt>
                <c:pt idx="32">
                  <c:v>145.85726753966162</c:v>
                </c:pt>
                <c:pt idx="33">
                  <c:v>144.82715348462952</c:v>
                </c:pt>
                <c:pt idx="34">
                  <c:v>143.7974294489191</c:v>
                </c:pt>
                <c:pt idx="35">
                  <c:v>142.76810486882704</c:v>
                </c:pt>
                <c:pt idx="36">
                  <c:v>141.73918901527816</c:v>
                </c:pt>
                <c:pt idx="37">
                  <c:v>140.71069099066034</c:v>
                </c:pt>
                <c:pt idx="38">
                  <c:v>139.68261972577341</c:v>
                </c:pt>
                <c:pt idx="39">
                  <c:v>138.65498397689385</c:v>
                </c:pt>
                <c:pt idx="40">
                  <c:v>137.6277923229552</c:v>
                </c:pt>
                <c:pt idx="41">
                  <c:v>136.6010531628458</c:v>
                </c:pt>
                <c:pt idx="42">
                  <c:v>135.57477471282374</c:v>
                </c:pt>
                <c:pt idx="43">
                  <c:v>134.54896500404965</c:v>
                </c:pt>
                <c:pt idx="44">
                  <c:v>133.52363188023799</c:v>
                </c:pt>
                <c:pt idx="45">
                  <c:v>132.49878299542638</c:v>
                </c:pt>
                <c:pt idx="46">
                  <c:v>131.4744258118638</c:v>
                </c:pt>
                <c:pt idx="47">
                  <c:v>130.45056759801668</c:v>
                </c:pt>
                <c:pt idx="48">
                  <c:v>129.42721542669329</c:v>
                </c:pt>
                <c:pt idx="49">
                  <c:v>128.40437617328627</c:v>
                </c:pt>
                <c:pt idx="50">
                  <c:v>127.38205651413186</c:v>
                </c:pt>
                <c:pt idx="51">
                  <c:v>126.36026292498667</c:v>
                </c:pt>
                <c:pt idx="52">
                  <c:v>125.33900167962003</c:v>
                </c:pt>
                <c:pt idx="53">
                  <c:v>124.31827884852186</c:v>
                </c:pt>
                <c:pt idx="54">
                  <c:v>123.29810029772517</c:v>
                </c:pt>
                <c:pt idx="55">
                  <c:v>122.27847168774167</c:v>
                </c:pt>
                <c:pt idx="56">
                  <c:v>121.25939847261009</c:v>
                </c:pt>
                <c:pt idx="57">
                  <c:v>120.2408858990554</c:v>
                </c:pt>
                <c:pt idx="58">
                  <c:v>119.22293900575804</c:v>
                </c:pt>
                <c:pt idx="59">
                  <c:v>118.20556262273186</c:v>
                </c:pt>
                <c:pt idx="60">
                  <c:v>117.18876137080869</c:v>
                </c:pt>
                <c:pt idx="61">
                  <c:v>116.17253966122901</c:v>
                </c:pt>
                <c:pt idx="62">
                  <c:v>115.15690169533615</c:v>
                </c:pt>
                <c:pt idx="63">
                  <c:v>114.14185146437295</c:v>
                </c:pt>
                <c:pt idx="64">
                  <c:v>113.12739274937896</c:v>
                </c:pt>
                <c:pt idx="65">
                  <c:v>112.11352912118626</c:v>
                </c:pt>
                <c:pt idx="66">
                  <c:v>111.10026394051228</c:v>
                </c:pt>
                <c:pt idx="67">
                  <c:v>110.08760035814747</c:v>
                </c:pt>
                <c:pt idx="68">
                  <c:v>109.07554131523594</c:v>
                </c:pt>
                <c:pt idx="69">
                  <c:v>108.06408954364711</c:v>
                </c:pt>
                <c:pt idx="70">
                  <c:v>107.0532475664363</c:v>
                </c:pt>
                <c:pt idx="71">
                  <c:v>106.04301769839191</c:v>
                </c:pt>
                <c:pt idx="72">
                  <c:v>105.0334020466676</c:v>
                </c:pt>
                <c:pt idx="73">
                  <c:v>104.02440251149666</c:v>
                </c:pt>
                <c:pt idx="74">
                  <c:v>103.01602078698691</c:v>
                </c:pt>
                <c:pt idx="75">
                  <c:v>102.00825836199361</c:v>
                </c:pt>
                <c:pt idx="76">
                  <c:v>101.00111652106824</c:v>
                </c:pt>
                <c:pt idx="77">
                  <c:v>99.994596345480986</c:v>
                </c:pt>
                <c:pt idx="78">
                  <c:v>98.988698714314495</c:v>
                </c:pt>
                <c:pt idx="79">
                  <c:v>97.983424305626741</c:v>
                </c:pt>
                <c:pt idx="80">
                  <c:v>96.978773597680828</c:v>
                </c:pt>
                <c:pt idx="81">
                  <c:v>95.97474687023913</c:v>
                </c:pt>
                <c:pt idx="82">
                  <c:v>94.971344205919934</c:v>
                </c:pt>
                <c:pt idx="83">
                  <c:v>93.96856549161383</c:v>
                </c:pt>
                <c:pt idx="84">
                  <c:v>92.966410419958095</c:v>
                </c:pt>
                <c:pt idx="85">
                  <c:v>91.96487849086634</c:v>
                </c:pt>
                <c:pt idx="86">
                  <c:v>90.96396901311148</c:v>
                </c:pt>
                <c:pt idx="87">
                  <c:v>89.963681105959722</c:v>
                </c:pt>
                <c:pt idx="88">
                  <c:v>88.964013700853371</c:v>
                </c:pt>
                <c:pt idx="89">
                  <c:v>87.964965543140124</c:v>
                </c:pt>
                <c:pt idx="90">
                  <c:v>86.966535193846909</c:v>
                </c:pt>
                <c:pt idx="91">
                  <c:v>85.968721031496088</c:v>
                </c:pt>
                <c:pt idx="92">
                  <c:v>84.971521253961583</c:v>
                </c:pt>
                <c:pt idx="93">
                  <c:v>83.974933880363466</c:v>
                </c:pt>
                <c:pt idx="94">
                  <c:v>82.978956752998215</c:v>
                </c:pt>
                <c:pt idx="95">
                  <c:v>81.983587539303258</c:v>
                </c:pt>
                <c:pt idx="96">
                  <c:v>80.988823733853437</c:v>
                </c:pt>
                <c:pt idx="97">
                  <c:v>79.994662660387505</c:v>
                </c:pt>
                <c:pt idx="98">
                  <c:v>79.001101473862846</c:v>
                </c:pt>
                <c:pt idx="99">
                  <c:v>78.008137162536485</c:v>
                </c:pt>
                <c:pt idx="100">
                  <c:v>77.015766550070367</c:v>
                </c:pt>
                <c:pt idx="101">
                  <c:v>76.023986297659491</c:v>
                </c:pt>
                <c:pt idx="102">
                  <c:v>75.032792906180802</c:v>
                </c:pt>
                <c:pt idx="103">
                  <c:v>74.04218271836119</c:v>
                </c:pt>
                <c:pt idx="104">
                  <c:v>73.052151920963112</c:v>
                </c:pt>
                <c:pt idx="105">
                  <c:v>72.062696546985919</c:v>
                </c:pt>
                <c:pt idx="106">
                  <c:v>71.073812477881617</c:v>
                </c:pt>
                <c:pt idx="107">
                  <c:v>70.085495445783181</c:v>
                </c:pt>
                <c:pt idx="108">
                  <c:v>69.097741035744335</c:v>
                </c:pt>
                <c:pt idx="109">
                  <c:v>68.110544687988877</c:v>
                </c:pt>
                <c:pt idx="110">
                  <c:v>67.123901700168574</c:v>
                </c:pt>
                <c:pt idx="111">
                  <c:v>66.137807229628052</c:v>
                </c:pt>
                <c:pt idx="112">
                  <c:v>65.152256295675457</c:v>
                </c:pt>
                <c:pt idx="113">
                  <c:v>64.167243781857394</c:v>
                </c:pt>
                <c:pt idx="114">
                  <c:v>63.182764438237463</c:v>
                </c:pt>
                <c:pt idx="115">
                  <c:v>62.198812883676531</c:v>
                </c:pt>
                <c:pt idx="116">
                  <c:v>61.21538360811433</c:v>
                </c:pt>
                <c:pt idx="117">
                  <c:v>60.232470974850557</c:v>
                </c:pt>
                <c:pt idx="118">
                  <c:v>59.250069222825296</c:v>
                </c:pt>
                <c:pt idx="119">
                  <c:v>58.268172468896871</c:v>
                </c:pt>
                <c:pt idx="120">
                  <c:v>57.286774710117044</c:v>
                </c:pt>
                <c:pt idx="121">
                  <c:v>56.305869826002095</c:v>
                </c:pt>
                <c:pt idx="122">
                  <c:v>55.325451580799054</c:v>
                </c:pt>
                <c:pt idx="123">
                  <c:v>54.345513625746641</c:v>
                </c:pt>
                <c:pt idx="124">
                  <c:v>53.366049501329428</c:v>
                </c:pt>
                <c:pt idx="125">
                  <c:v>52.387052639525528</c:v>
                </c:pt>
                <c:pt idx="126">
                  <c:v>51.408516366045944</c:v>
                </c:pt>
                <c:pt idx="127">
                  <c:v>50.430433902566172</c:v>
                </c:pt>
                <c:pt idx="128">
                  <c:v>49.452798368948365</c:v>
                </c:pt>
                <c:pt idx="129">
                  <c:v>48.475602785454392</c:v>
                </c:pt>
                <c:pt idx="130">
                  <c:v>47.498840074948802</c:v>
                </c:pt>
                <c:pt idx="131">
                  <c:v>46.522503065091207</c:v>
                </c:pt>
                <c:pt idx="132">
                  <c:v>45.546584490518136</c:v>
                </c:pt>
                <c:pt idx="133">
                  <c:v>44.5710769950132</c:v>
                </c:pt>
                <c:pt idx="134">
                  <c:v>43.595973133666149</c:v>
                </c:pt>
                <c:pt idx="135">
                  <c:v>42.621265375019519</c:v>
                </c:pt>
                <c:pt idx="136">
                  <c:v>41.646946103203561</c:v>
                </c:pt>
                <c:pt idx="137">
                  <c:v>40.673007620058378</c:v>
                </c:pt>
                <c:pt idx="138">
                  <c:v>39.699442147243566</c:v>
                </c:pt>
                <c:pt idx="139">
                  <c:v>38.726241828335226</c:v>
                </c:pt>
                <c:pt idx="140">
                  <c:v>37.753398730909595</c:v>
                </c:pt>
                <c:pt idx="141">
                  <c:v>36.780904848614135</c:v>
                </c:pt>
                <c:pt idx="142">
                  <c:v>35.808752103225004</c:v>
                </c:pt>
                <c:pt idx="143">
                  <c:v>34.836932346691825</c:v>
                </c:pt>
                <c:pt idx="144">
                  <c:v>33.865437363168716</c:v>
                </c:pt>
                <c:pt idx="145">
                  <c:v>32.894258871032747</c:v>
                </c:pt>
                <c:pt idx="146">
                  <c:v>31.923388524888647</c:v>
                </c:pt>
                <c:pt idx="147">
                  <c:v>30.952817917560843</c:v>
                </c:pt>
                <c:pt idx="148">
                  <c:v>29.982538582072443</c:v>
                </c:pt>
                <c:pt idx="149">
                  <c:v>29.012541993611062</c:v>
                </c:pt>
                <c:pt idx="150">
                  <c:v>28.04281957148239</c:v>
                </c:pt>
                <c:pt idx="151">
                  <c:v>27.073362681050678</c:v>
                </c:pt>
                <c:pt idx="152">
                  <c:v>26.104162635667336</c:v>
                </c:pt>
                <c:pt idx="153">
                  <c:v>25.135210698586903</c:v>
                </c:pt>
                <c:pt idx="154">
                  <c:v>24.166498084871506</c:v>
                </c:pt>
                <c:pt idx="155">
                  <c:v>23.198015963283247</c:v>
                </c:pt>
                <c:pt idx="156">
                  <c:v>22.229755458165432</c:v>
                </c:pt>
                <c:pt idx="157">
                  <c:v>21.261707651312655</c:v>
                </c:pt>
                <c:pt idx="158">
                  <c:v>20.293863583829836</c:v>
                </c:pt>
                <c:pt idx="159">
                  <c:v>19.326214257981114</c:v>
                </c:pt>
                <c:pt idx="160">
                  <c:v>18.358750639028212</c:v>
                </c:pt>
                <c:pt idx="161">
                  <c:v>17.391463657059376</c:v>
                </c:pt>
                <c:pt idx="162">
                  <c:v>16.424344208808517</c:v>
                </c:pt>
                <c:pt idx="163">
                  <c:v>15.457383159465687</c:v>
                </c:pt>
                <c:pt idx="164">
                  <c:v>14.49057134447856</c:v>
                </c:pt>
                <c:pt idx="165">
                  <c:v>13.523899571345913</c:v>
                </c:pt>
                <c:pt idx="166">
                  <c:v>12.557358621403329</c:v>
                </c:pt>
                <c:pt idx="167">
                  <c:v>11.59093925160124</c:v>
                </c:pt>
                <c:pt idx="168">
                  <c:v>10.624632196276456</c:v>
                </c:pt>
                <c:pt idx="169">
                  <c:v>9.6584281689167977</c:v>
                </c:pt>
                <c:pt idx="170">
                  <c:v>8.6923178639201293</c:v>
                </c:pt>
                <c:pt idx="171">
                  <c:v>7.7262919583474581</c:v>
                </c:pt>
                <c:pt idx="172">
                  <c:v>6.760341113671358</c:v>
                </c:pt>
                <c:pt idx="173">
                  <c:v>5.7944559775194842</c:v>
                </c:pt>
                <c:pt idx="174">
                  <c:v>4.82862718541422</c:v>
                </c:pt>
                <c:pt idx="175">
                  <c:v>3.8628453625087671</c:v>
                </c:pt>
                <c:pt idx="176">
                  <c:v>2.8971011253199013</c:v>
                </c:pt>
                <c:pt idx="177">
                  <c:v>1.9313850834585291</c:v>
                </c:pt>
                <c:pt idx="178">
                  <c:v>0.96568784135779107</c:v>
                </c:pt>
                <c:pt idx="179">
                  <c:v>6.7787155104989418E-15</c:v>
                </c:pt>
              </c:numCache>
            </c:numRef>
          </c:xVal>
          <c:yVal>
            <c:numRef>
              <c:f>'Kin Curves with Eloss'!$Y$2:$Y$181</c:f>
              <c:numCache>
                <c:formatCode>0.000</c:formatCode>
                <c:ptCount val="180"/>
                <c:pt idx="0">
                  <c:v>2.081915804888042</c:v>
                </c:pt>
                <c:pt idx="1">
                  <c:v>2.0819884716886561</c:v>
                </c:pt>
                <c:pt idx="2">
                  <c:v>2.0821095584283076</c:v>
                </c:pt>
                <c:pt idx="3">
                  <c:v>2.0822790282228016</c:v>
                </c:pt>
                <c:pt idx="4">
                  <c:v>2.0824968294499953</c:v>
                </c:pt>
                <c:pt idx="5">
                  <c:v>2.0827628957655282</c:v>
                </c:pt>
                <c:pt idx="6">
                  <c:v>2.0830771461230224</c:v>
                </c:pt>
                <c:pt idx="7">
                  <c:v>2.0834394847987738</c:v>
                </c:pt>
                <c:pt idx="8">
                  <c:v>2.0838498014209113</c:v>
                </c:pt>
                <c:pt idx="9">
                  <c:v>2.0843079710030161</c:v>
                </c:pt>
                <c:pt idx="10">
                  <c:v>2.0848138539821988</c:v>
                </c:pt>
                <c:pt idx="11">
                  <c:v>2.0853672962616003</c:v>
                </c:pt>
                <c:pt idx="12">
                  <c:v>2.0859681292573415</c:v>
                </c:pt>
                <c:pt idx="13">
                  <c:v>2.0866161699498709</c:v>
                </c:pt>
                <c:pt idx="14">
                  <c:v>2.0873112209397191</c:v>
                </c:pt>
                <c:pt idx="15">
                  <c:v>2.0880530705076183</c:v>
                </c:pt>
                <c:pt idx="16">
                  <c:v>2.0888414926790029</c:v>
                </c:pt>
                <c:pt idx="17">
                  <c:v>2.0896762472928452</c:v>
                </c:pt>
                <c:pt idx="18">
                  <c:v>2.0905570800748019</c:v>
                </c:pt>
                <c:pt idx="19">
                  <c:v>2.0914837227146732</c:v>
                </c:pt>
                <c:pt idx="20">
                  <c:v>2.0924558929481365</c:v>
                </c:pt>
                <c:pt idx="21">
                  <c:v>2.0934732946427204</c:v>
                </c:pt>
                <c:pt idx="22">
                  <c:v>2.0945356178880128</c:v>
                </c:pt>
                <c:pt idx="23">
                  <c:v>2.0956425390900617</c:v>
                </c:pt>
                <c:pt idx="24">
                  <c:v>2.0967937210699468</c:v>
                </c:pt>
                <c:pt idx="25">
                  <c:v>2.0979888131664866</c:v>
                </c:pt>
                <c:pt idx="26">
                  <c:v>2.0992274513430482</c:v>
                </c:pt>
                <c:pt idx="27">
                  <c:v>2.1005092582984455</c:v>
                </c:pt>
                <c:pt idx="28">
                  <c:v>2.101833843581864</c:v>
                </c:pt>
                <c:pt idx="29">
                  <c:v>2.1032008037117937</c:v>
                </c:pt>
                <c:pt idx="30">
                  <c:v>2.1046097222989353</c:v>
                </c:pt>
                <c:pt idx="31">
                  <c:v>2.1060601701730408</c:v>
                </c:pt>
                <c:pt idx="32">
                  <c:v>2.1075517055136386</c:v>
                </c:pt>
                <c:pt idx="33">
                  <c:v>2.1090838739846118</c:v>
                </c:pt>
                <c:pt idx="34">
                  <c:v>2.1106562088726024</c:v>
                </c:pt>
                <c:pt idx="35">
                  <c:v>2.1122682312291734</c:v>
                </c:pt>
                <c:pt idx="36">
                  <c:v>2.1139194500166973</c:v>
                </c:pt>
                <c:pt idx="37">
                  <c:v>2.1156093622579375</c:v>
                </c:pt>
                <c:pt idx="38">
                  <c:v>2.1173374531892524</c:v>
                </c:pt>
                <c:pt idx="39">
                  <c:v>2.1191031964174067</c:v>
                </c:pt>
                <c:pt idx="40">
                  <c:v>2.1209060540799061</c:v>
                </c:pt>
                <c:pt idx="41">
                  <c:v>2.1227454770088414</c:v>
                </c:pt>
                <c:pt idx="42">
                  <c:v>2.1246209048981717</c:v>
                </c:pt>
                <c:pt idx="43">
                  <c:v>2.1265317664743923</c:v>
                </c:pt>
                <c:pt idx="44">
                  <c:v>2.1284774796705572</c:v>
                </c:pt>
                <c:pt idx="45">
                  <c:v>2.1304574518035788</c:v>
                </c:pt>
                <c:pt idx="46">
                  <c:v>2.1324710797547635</c:v>
                </c:pt>
                <c:pt idx="47">
                  <c:v>2.1345177501535324</c:v>
                </c:pt>
                <c:pt idx="48">
                  <c:v>2.1365968395642532</c:v>
                </c:pt>
                <c:pt idx="49">
                  <c:v>2.1387077146761539</c:v>
                </c:pt>
                <c:pt idx="50">
                  <c:v>2.1408497324962239</c:v>
                </c:pt>
                <c:pt idx="51">
                  <c:v>2.1430222405450876</c:v>
                </c:pt>
                <c:pt idx="52">
                  <c:v>2.1452245770557448</c:v>
                </c:pt>
                <c:pt idx="53">
                  <c:v>2.1474560711751631</c:v>
                </c:pt>
                <c:pt idx="54">
                  <c:v>2.1497160431686151</c:v>
                </c:pt>
                <c:pt idx="55">
                  <c:v>2.1520038046267396</c:v>
                </c:pt>
                <c:pt idx="56">
                  <c:v>2.1543186586752321</c:v>
                </c:pt>
                <c:pt idx="57">
                  <c:v>2.1566599001871269</c:v>
                </c:pt>
                <c:pt idx="58">
                  <c:v>2.1590268159975801</c:v>
                </c:pt>
                <c:pt idx="59">
                  <c:v>2.1614186851211055</c:v>
                </c:pt>
                <c:pt idx="60">
                  <c:v>2.1638347789711978</c:v>
                </c:pt>
                <c:pt idx="61">
                  <c:v>2.1662743615822655</c:v>
                </c:pt>
                <c:pt idx="62">
                  <c:v>2.1687366898338118</c:v>
                </c:pt>
                <c:pt idx="63">
                  <c:v>2.1712210136767993</c:v>
                </c:pt>
                <c:pt idx="64">
                  <c:v>2.1737265763621179</c:v>
                </c:pt>
                <c:pt idx="65">
                  <c:v>2.1762526146711023</c:v>
                </c:pt>
                <c:pt idx="66">
                  <c:v>2.178798359148014</c:v>
                </c:pt>
                <c:pt idx="67">
                  <c:v>2.1813630343344221</c:v>
                </c:pt>
                <c:pt idx="68">
                  <c:v>2.1839458590054233</c:v>
                </c:pt>
                <c:pt idx="69">
                  <c:v>2.186546046407599</c:v>
                </c:pt>
                <c:pt idx="70">
                  <c:v>2.1891628044986811</c:v>
                </c:pt>
                <c:pt idx="71">
                  <c:v>2.1917953361888034</c:v>
                </c:pt>
                <c:pt idx="72">
                  <c:v>2.194442839583314</c:v>
                </c:pt>
                <c:pt idx="73">
                  <c:v>2.1971045082270293</c:v>
                </c:pt>
                <c:pt idx="74">
                  <c:v>2.1997795313498969</c:v>
                </c:pt>
                <c:pt idx="75">
                  <c:v>2.2024670941139606</c:v>
                </c:pt>
                <c:pt idx="76">
                  <c:v>2.205166377861568</c:v>
                </c:pt>
                <c:pt idx="77">
                  <c:v>2.2078765603647392</c:v>
                </c:pt>
                <c:pt idx="78">
                  <c:v>2.2105968160756317</c:v>
                </c:pt>
                <c:pt idx="79">
                  <c:v>2.2133263163780028</c:v>
                </c:pt>
                <c:pt idx="80">
                  <c:v>2.21606422983962</c:v>
                </c:pt>
                <c:pt idx="81">
                  <c:v>2.2188097224655192</c:v>
                </c:pt>
                <c:pt idx="82">
                  <c:v>2.2215619579520518</c:v>
                </c:pt>
                <c:pt idx="83">
                  <c:v>2.2243200979416242</c:v>
                </c:pt>
                <c:pt idx="84">
                  <c:v>2.2270833022780812</c:v>
                </c:pt>
                <c:pt idx="85">
                  <c:v>2.2298507292626106</c:v>
                </c:pt>
                <c:pt idx="86">
                  <c:v>2.2326215359101451</c:v>
                </c:pt>
                <c:pt idx="87">
                  <c:v>2.2353948782061406</c:v>
                </c:pt>
                <c:pt idx="88">
                  <c:v>2.2381699113636646</c:v>
                </c:pt>
                <c:pt idx="89">
                  <c:v>2.2409457900807359</c:v>
                </c:pt>
                <c:pt idx="90">
                  <c:v>2.2437216687978085</c:v>
                </c:pt>
                <c:pt idx="91">
                  <c:v>2.2464967019553321</c:v>
                </c:pt>
                <c:pt idx="92">
                  <c:v>2.2492700442513263</c:v>
                </c:pt>
                <c:pt idx="93">
                  <c:v>2.2520408508988621</c:v>
                </c:pt>
                <c:pt idx="94">
                  <c:v>2.2548082778833916</c:v>
                </c:pt>
                <c:pt idx="95">
                  <c:v>2.2575714822198472</c:v>
                </c:pt>
                <c:pt idx="96">
                  <c:v>2.2603296222094214</c:v>
                </c:pt>
                <c:pt idx="97">
                  <c:v>2.2630818576959535</c:v>
                </c:pt>
                <c:pt idx="98">
                  <c:v>2.2658273503218522</c:v>
                </c:pt>
                <c:pt idx="99">
                  <c:v>2.268565263783469</c:v>
                </c:pt>
                <c:pt idx="100">
                  <c:v>2.271294764085841</c:v>
                </c:pt>
                <c:pt idx="101">
                  <c:v>2.2740150197967335</c:v>
                </c:pt>
                <c:pt idx="102">
                  <c:v>2.2767252022999047</c:v>
                </c:pt>
                <c:pt idx="103">
                  <c:v>2.2794244860475112</c:v>
                </c:pt>
                <c:pt idx="104">
                  <c:v>2.2821120488115758</c:v>
                </c:pt>
                <c:pt idx="105">
                  <c:v>2.2847870719344434</c:v>
                </c:pt>
                <c:pt idx="106">
                  <c:v>2.2874487405781587</c:v>
                </c:pt>
                <c:pt idx="107">
                  <c:v>2.2900962439726693</c:v>
                </c:pt>
                <c:pt idx="108">
                  <c:v>2.2927287756627921</c:v>
                </c:pt>
                <c:pt idx="109">
                  <c:v>2.2953455337538737</c:v>
                </c:pt>
                <c:pt idx="110">
                  <c:v>2.2979457211560499</c:v>
                </c:pt>
                <c:pt idx="111">
                  <c:v>2.3005285458270506</c:v>
                </c:pt>
                <c:pt idx="112">
                  <c:v>2.3030932210134591</c:v>
                </c:pt>
                <c:pt idx="113">
                  <c:v>2.3056389654903708</c:v>
                </c:pt>
                <c:pt idx="114">
                  <c:v>2.3081650037993549</c:v>
                </c:pt>
                <c:pt idx="115">
                  <c:v>2.3106705664846743</c:v>
                </c:pt>
                <c:pt idx="116">
                  <c:v>2.3131548903276604</c:v>
                </c:pt>
                <c:pt idx="117">
                  <c:v>2.3156172185792072</c:v>
                </c:pt>
                <c:pt idx="118">
                  <c:v>2.3180568011902758</c:v>
                </c:pt>
                <c:pt idx="119">
                  <c:v>2.3204728950403668</c:v>
                </c:pt>
                <c:pt idx="120">
                  <c:v>2.3228647641638926</c:v>
                </c:pt>
                <c:pt idx="121">
                  <c:v>2.3252316799743462</c:v>
                </c:pt>
                <c:pt idx="122">
                  <c:v>2.3275729214862397</c:v>
                </c:pt>
                <c:pt idx="123">
                  <c:v>2.3298877755347336</c:v>
                </c:pt>
                <c:pt idx="124">
                  <c:v>2.3321755369928572</c:v>
                </c:pt>
                <c:pt idx="125">
                  <c:v>2.3344355089863091</c:v>
                </c:pt>
                <c:pt idx="126">
                  <c:v>2.3366670031057279</c:v>
                </c:pt>
                <c:pt idx="127">
                  <c:v>2.3388693396163869</c:v>
                </c:pt>
                <c:pt idx="128">
                  <c:v>2.3410418476652493</c:v>
                </c:pt>
                <c:pt idx="129">
                  <c:v>2.3431838654853197</c:v>
                </c:pt>
                <c:pt idx="130">
                  <c:v>2.3452947405972195</c:v>
                </c:pt>
                <c:pt idx="131">
                  <c:v>2.3473738300079412</c:v>
                </c:pt>
                <c:pt idx="132">
                  <c:v>2.3494205004067088</c:v>
                </c:pt>
                <c:pt idx="133">
                  <c:v>2.3514341283578948</c:v>
                </c:pt>
                <c:pt idx="134">
                  <c:v>2.353414100490915</c:v>
                </c:pt>
                <c:pt idx="135">
                  <c:v>2.3553598136870799</c:v>
                </c:pt>
                <c:pt idx="136">
                  <c:v>2.3572706752633015</c:v>
                </c:pt>
                <c:pt idx="137">
                  <c:v>2.35914610315263</c:v>
                </c:pt>
                <c:pt idx="138">
                  <c:v>2.3609855260815675</c:v>
                </c:pt>
                <c:pt idx="139">
                  <c:v>2.3627883837440664</c:v>
                </c:pt>
                <c:pt idx="140">
                  <c:v>2.3645541269722194</c:v>
                </c:pt>
                <c:pt idx="141">
                  <c:v>2.3662822179035361</c:v>
                </c:pt>
                <c:pt idx="142">
                  <c:v>2.3679721301447749</c:v>
                </c:pt>
                <c:pt idx="143">
                  <c:v>2.3696233489322993</c:v>
                </c:pt>
                <c:pt idx="144">
                  <c:v>2.3712353712888699</c:v>
                </c:pt>
                <c:pt idx="145">
                  <c:v>2.3728077061768609</c:v>
                </c:pt>
                <c:pt idx="146">
                  <c:v>2.3743398746478341</c:v>
                </c:pt>
                <c:pt idx="147">
                  <c:v>2.375831409988431</c:v>
                </c:pt>
                <c:pt idx="148">
                  <c:v>2.377281857862537</c:v>
                </c:pt>
                <c:pt idx="149">
                  <c:v>2.3786907764496803</c:v>
                </c:pt>
                <c:pt idx="150">
                  <c:v>2.3800577365796092</c:v>
                </c:pt>
                <c:pt idx="151">
                  <c:v>2.3813823218630277</c:v>
                </c:pt>
                <c:pt idx="152">
                  <c:v>2.382664128818424</c:v>
                </c:pt>
                <c:pt idx="153">
                  <c:v>2.3839027669949866</c:v>
                </c:pt>
                <c:pt idx="154">
                  <c:v>2.3850978590915255</c:v>
                </c:pt>
                <c:pt idx="155">
                  <c:v>2.3862490410714101</c:v>
                </c:pt>
                <c:pt idx="156">
                  <c:v>2.3873559622734599</c:v>
                </c:pt>
                <c:pt idx="157">
                  <c:v>2.3884182855187528</c:v>
                </c:pt>
                <c:pt idx="158">
                  <c:v>2.3894356872133349</c:v>
                </c:pt>
                <c:pt idx="159">
                  <c:v>2.3904078574467991</c:v>
                </c:pt>
                <c:pt idx="160">
                  <c:v>2.3913345000866708</c:v>
                </c:pt>
                <c:pt idx="161">
                  <c:v>2.3922153328686271</c:v>
                </c:pt>
                <c:pt idx="162">
                  <c:v>2.3930500874824694</c:v>
                </c:pt>
                <c:pt idx="163">
                  <c:v>2.3938385096538553</c:v>
                </c:pt>
                <c:pt idx="164">
                  <c:v>2.3945803592217545</c:v>
                </c:pt>
                <c:pt idx="165">
                  <c:v>2.3952754102116018</c:v>
                </c:pt>
                <c:pt idx="166">
                  <c:v>2.3959234509041316</c:v>
                </c:pt>
                <c:pt idx="167">
                  <c:v>2.3965242838998724</c:v>
                </c:pt>
                <c:pt idx="168">
                  <c:v>2.3970777261792739</c:v>
                </c:pt>
                <c:pt idx="169">
                  <c:v>2.3975836091584566</c:v>
                </c:pt>
                <c:pt idx="170">
                  <c:v>2.3980417787405632</c:v>
                </c:pt>
                <c:pt idx="171">
                  <c:v>2.3984520953627002</c:v>
                </c:pt>
                <c:pt idx="172">
                  <c:v>2.3988144340384498</c:v>
                </c:pt>
                <c:pt idx="173">
                  <c:v>2.3991286843959436</c:v>
                </c:pt>
                <c:pt idx="174">
                  <c:v>2.399394750711477</c:v>
                </c:pt>
                <c:pt idx="175">
                  <c:v>2.3996125519386711</c:v>
                </c:pt>
                <c:pt idx="176">
                  <c:v>2.3997820217331651</c:v>
                </c:pt>
                <c:pt idx="177">
                  <c:v>2.3999031084728166</c:v>
                </c:pt>
                <c:pt idx="178">
                  <c:v>2.3999757752734316</c:v>
                </c:pt>
                <c:pt idx="179">
                  <c:v>2.3999999999999981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AF-4087-970D-0297481C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297112"/>
        <c:axId val="2133303560"/>
      </c:scatterChart>
      <c:valAx>
        <c:axId val="21332971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Angle [lab] (deg)</a:t>
                </a:r>
              </a:p>
            </c:rich>
          </c:tx>
          <c:layout>
            <c:manualLayout>
              <c:xMode val="edge"/>
              <c:yMode val="edge"/>
              <c:x val="0.46153859321096602"/>
              <c:y val="0.839888525170308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303560"/>
        <c:crosses val="autoZero"/>
        <c:crossBetween val="midCat"/>
      </c:valAx>
      <c:valAx>
        <c:axId val="2133303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[lab] (MeV)</a:t>
                </a:r>
              </a:p>
            </c:rich>
          </c:tx>
          <c:layout>
            <c:manualLayout>
              <c:xMode val="edge"/>
              <c:yMode val="edge"/>
              <c:x val="2.1739130434782601E-2"/>
              <c:y val="0.359551004158188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297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1438258762805"/>
          <c:y val="0.92415818809165695"/>
          <c:w val="0.217391304347826"/>
          <c:h val="5.89887640449437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Kinematic curves of M2(M1,M3)M4 reaction</a:t>
            </a:r>
          </a:p>
        </c:rich>
      </c:tx>
      <c:layout>
        <c:manualLayout>
          <c:xMode val="edge"/>
          <c:yMode val="edge"/>
          <c:x val="0.29145728643216101"/>
          <c:y val="3.089887640449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8031948882"/>
          <c:y val="0.16011252425549899"/>
          <c:w val="0.83919580830670903"/>
          <c:h val="0.60393320552512697"/>
        </c:manualLayout>
      </c:layout>
      <c:scatterChart>
        <c:scatterStyle val="smoothMarker"/>
        <c:varyColors val="0"/>
        <c:ser>
          <c:idx val="0"/>
          <c:order val="0"/>
          <c:tx>
            <c:v>Ejectile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'Kin Curves with Eloss'!$S$2:$S$181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'Kin Curves with Eloss'!$V$2:$V$181</c:f>
              <c:numCache>
                <c:formatCode>0.000</c:formatCode>
                <c:ptCount val="180"/>
                <c:pt idx="0">
                  <c:v>0.31808419511195646</c:v>
                </c:pt>
                <c:pt idx="1">
                  <c:v>0.31801152831134161</c:v>
                </c:pt>
                <c:pt idx="2">
                  <c:v>0.31789044157169044</c:v>
                </c:pt>
                <c:pt idx="3">
                  <c:v>0.31772097177719671</c:v>
                </c:pt>
                <c:pt idx="4">
                  <c:v>0.31750317055000177</c:v>
                </c:pt>
                <c:pt idx="5">
                  <c:v>0.31723710423446899</c:v>
                </c:pt>
                <c:pt idx="6">
                  <c:v>0.31692285387697594</c:v>
                </c:pt>
                <c:pt idx="7">
                  <c:v>0.31656051520122541</c:v>
                </c:pt>
                <c:pt idx="8">
                  <c:v>0.31615019857908799</c:v>
                </c:pt>
                <c:pt idx="9">
                  <c:v>0.3156920289969819</c:v>
                </c:pt>
                <c:pt idx="10">
                  <c:v>0.31518614601780021</c:v>
                </c:pt>
                <c:pt idx="11">
                  <c:v>0.31463270373839863</c:v>
                </c:pt>
                <c:pt idx="12">
                  <c:v>0.3140318707426572</c:v>
                </c:pt>
                <c:pt idx="13">
                  <c:v>0.3133838300501266</c:v>
                </c:pt>
                <c:pt idx="14">
                  <c:v>0.31268877906027964</c:v>
                </c:pt>
                <c:pt idx="15">
                  <c:v>0.31194692949238068</c:v>
                </c:pt>
                <c:pt idx="16">
                  <c:v>0.31115850732099476</c:v>
                </c:pt>
                <c:pt idx="17">
                  <c:v>0.31032375270715279</c:v>
                </c:pt>
                <c:pt idx="18">
                  <c:v>0.30944291992519674</c:v>
                </c:pt>
                <c:pt idx="19">
                  <c:v>0.30851627728532488</c:v>
                </c:pt>
                <c:pt idx="20">
                  <c:v>0.30754410705186158</c:v>
                </c:pt>
                <c:pt idx="21">
                  <c:v>0.30652670535727783</c:v>
                </c:pt>
                <c:pt idx="22">
                  <c:v>0.30546438211198529</c:v>
                </c:pt>
                <c:pt idx="23">
                  <c:v>0.30435746090993587</c:v>
                </c:pt>
                <c:pt idx="24">
                  <c:v>0.30320627893005048</c:v>
                </c:pt>
                <c:pt idx="25">
                  <c:v>0.30201118683351208</c:v>
                </c:pt>
                <c:pt idx="26">
                  <c:v>0.30077254865695019</c:v>
                </c:pt>
                <c:pt idx="27">
                  <c:v>0.29949074170155221</c:v>
                </c:pt>
                <c:pt idx="28">
                  <c:v>0.29816615641813432</c:v>
                </c:pt>
                <c:pt idx="29">
                  <c:v>0.29679919628820528</c:v>
                </c:pt>
                <c:pt idx="30">
                  <c:v>0.29539027770106235</c:v>
                </c:pt>
                <c:pt idx="31">
                  <c:v>0.29393982982695621</c:v>
                </c:pt>
                <c:pt idx="32">
                  <c:v>0.29244829448635967</c:v>
                </c:pt>
                <c:pt idx="33">
                  <c:v>0.29091612601538647</c:v>
                </c:pt>
                <c:pt idx="34">
                  <c:v>0.28934379112739528</c:v>
                </c:pt>
                <c:pt idx="35">
                  <c:v>0.28773176877082479</c:v>
                </c:pt>
                <c:pt idx="36">
                  <c:v>0.28608054998330046</c:v>
                </c:pt>
                <c:pt idx="37">
                  <c:v>0.28439063774206091</c:v>
                </c:pt>
                <c:pt idx="38">
                  <c:v>0.28266254681074526</c:v>
                </c:pt>
                <c:pt idx="39">
                  <c:v>0.28089680358259173</c:v>
                </c:pt>
                <c:pt idx="40">
                  <c:v>0.27909394592009246</c:v>
                </c:pt>
                <c:pt idx="41">
                  <c:v>0.27725452299115638</c:v>
                </c:pt>
                <c:pt idx="42">
                  <c:v>0.27537909510182629</c:v>
                </c:pt>
                <c:pt idx="43">
                  <c:v>0.2734682335256054</c:v>
                </c:pt>
                <c:pt idx="44">
                  <c:v>0.27152252032944035</c:v>
                </c:pt>
                <c:pt idx="45">
                  <c:v>0.26954254819641937</c:v>
                </c:pt>
                <c:pt idx="46">
                  <c:v>0.26752892024523456</c:v>
                </c:pt>
                <c:pt idx="47">
                  <c:v>0.2654822498464664</c:v>
                </c:pt>
                <c:pt idx="48">
                  <c:v>0.26340316043574491</c:v>
                </c:pt>
                <c:pt idx="49">
                  <c:v>0.26129228532384519</c:v>
                </c:pt>
                <c:pt idx="50">
                  <c:v>0.25915026750377451</c:v>
                </c:pt>
                <c:pt idx="51">
                  <c:v>0.25697775945491141</c:v>
                </c:pt>
                <c:pt idx="52">
                  <c:v>0.25477542294425287</c:v>
                </c:pt>
                <c:pt idx="53">
                  <c:v>0.25254392882483501</c:v>
                </c:pt>
                <c:pt idx="54">
                  <c:v>0.25028395683138321</c:v>
                </c:pt>
                <c:pt idx="55">
                  <c:v>0.24799619537325943</c:v>
                </c:pt>
                <c:pt idx="56">
                  <c:v>0.24568134132476593</c:v>
                </c:pt>
                <c:pt idx="57">
                  <c:v>0.24334009981287069</c:v>
                </c:pt>
                <c:pt idx="58">
                  <c:v>0.24097318400241796</c:v>
                </c:pt>
                <c:pt idx="59">
                  <c:v>0.23858131487889267</c:v>
                </c:pt>
                <c:pt idx="60">
                  <c:v>0.23616522102880014</c:v>
                </c:pt>
                <c:pt idx="61">
                  <c:v>0.23372563841773275</c:v>
                </c:pt>
                <c:pt idx="62">
                  <c:v>0.23126331016618618</c:v>
                </c:pt>
                <c:pt idx="63">
                  <c:v>0.22877898632319918</c:v>
                </c:pt>
                <c:pt idx="64">
                  <c:v>0.22627342363788042</c:v>
                </c:pt>
                <c:pt idx="65">
                  <c:v>0.22374738532889593</c:v>
                </c:pt>
                <c:pt idx="66">
                  <c:v>0.22120164085198471</c:v>
                </c:pt>
                <c:pt idx="67">
                  <c:v>0.21863696566557567</c:v>
                </c:pt>
                <c:pt idx="68">
                  <c:v>0.21605414099457526</c:v>
                </c:pt>
                <c:pt idx="69">
                  <c:v>0.21345395359239866</c:v>
                </c:pt>
                <c:pt idx="70">
                  <c:v>0.21083719550131688</c:v>
                </c:pt>
                <c:pt idx="71">
                  <c:v>0.20820466381119399</c:v>
                </c:pt>
                <c:pt idx="72">
                  <c:v>0.20555716041668434</c:v>
                </c:pt>
                <c:pt idx="73">
                  <c:v>0.20289549177296889</c:v>
                </c:pt>
                <c:pt idx="74">
                  <c:v>0.20022046865010093</c:v>
                </c:pt>
                <c:pt idx="75">
                  <c:v>0.197532905886037</c:v>
                </c:pt>
                <c:pt idx="76">
                  <c:v>0.19483362213843006</c:v>
                </c:pt>
                <c:pt idx="77">
                  <c:v>0.19212343963525827</c:v>
                </c:pt>
                <c:pt idx="78">
                  <c:v>0.18940318392436609</c:v>
                </c:pt>
                <c:pt idx="79">
                  <c:v>0.18667368362199491</c:v>
                </c:pt>
                <c:pt idx="80">
                  <c:v>0.18393577016037804</c:v>
                </c:pt>
                <c:pt idx="81">
                  <c:v>0.18119027753447856</c:v>
                </c:pt>
                <c:pt idx="82">
                  <c:v>0.17843804204794664</c:v>
                </c:pt>
                <c:pt idx="83">
                  <c:v>0.17567990205837292</c:v>
                </c:pt>
                <c:pt idx="84">
                  <c:v>0.17291669772191698</c:v>
                </c:pt>
                <c:pt idx="85">
                  <c:v>0.17014927073738731</c:v>
                </c:pt>
                <c:pt idx="86">
                  <c:v>0.16737846408985224</c:v>
                </c:pt>
                <c:pt idx="87">
                  <c:v>0.16460512179385794</c:v>
                </c:pt>
                <c:pt idx="88">
                  <c:v>0.16183008863633375</c:v>
                </c:pt>
                <c:pt idx="89">
                  <c:v>0.15905420991926172</c:v>
                </c:pt>
                <c:pt idx="90">
                  <c:v>0.15627833120218979</c:v>
                </c:pt>
                <c:pt idx="91">
                  <c:v>0.15350329804466561</c:v>
                </c:pt>
                <c:pt idx="92">
                  <c:v>0.15072995574867123</c:v>
                </c:pt>
                <c:pt idx="93">
                  <c:v>0.14795914910113614</c:v>
                </c:pt>
                <c:pt idx="94">
                  <c:v>0.1451917221166065</c:v>
                </c:pt>
                <c:pt idx="95">
                  <c:v>0.1424285177801505</c:v>
                </c:pt>
                <c:pt idx="96">
                  <c:v>0.13967037779057678</c:v>
                </c:pt>
                <c:pt idx="97">
                  <c:v>0.13691814230404487</c:v>
                </c:pt>
                <c:pt idx="98">
                  <c:v>0.13417264967814543</c:v>
                </c:pt>
                <c:pt idx="99">
                  <c:v>0.13143473621652851</c:v>
                </c:pt>
                <c:pt idx="100">
                  <c:v>0.12870523591415733</c:v>
                </c:pt>
                <c:pt idx="101">
                  <c:v>0.12598498020326518</c:v>
                </c:pt>
                <c:pt idx="102">
                  <c:v>0.12327479770009338</c:v>
                </c:pt>
                <c:pt idx="103">
                  <c:v>0.12057551395248638</c:v>
                </c:pt>
                <c:pt idx="104">
                  <c:v>0.11788795118842249</c:v>
                </c:pt>
                <c:pt idx="105">
                  <c:v>0.11521292806555451</c:v>
                </c:pt>
                <c:pt idx="106">
                  <c:v>0.11255125942183913</c:v>
                </c:pt>
                <c:pt idx="107">
                  <c:v>0.10990375602732955</c:v>
                </c:pt>
                <c:pt idx="108">
                  <c:v>0.10727122433720652</c:v>
                </c:pt>
                <c:pt idx="109">
                  <c:v>0.10465446624612487</c:v>
                </c:pt>
                <c:pt idx="110">
                  <c:v>0.10205427884394815</c:v>
                </c:pt>
                <c:pt idx="111">
                  <c:v>9.9471454172947726E-2</c:v>
                </c:pt>
                <c:pt idx="112">
                  <c:v>9.6906778986538725E-2</c:v>
                </c:pt>
                <c:pt idx="113">
                  <c:v>9.4361034509627559E-2</c:v>
                </c:pt>
                <c:pt idx="114">
                  <c:v>9.183499620064306E-2</c:v>
                </c:pt>
                <c:pt idx="115">
                  <c:v>8.9329433515324339E-2</c:v>
                </c:pt>
                <c:pt idx="116">
                  <c:v>8.6845109672337314E-2</c:v>
                </c:pt>
                <c:pt idx="117">
                  <c:v>8.4382781420790753E-2</c:v>
                </c:pt>
                <c:pt idx="118">
                  <c:v>8.1943198809723297E-2</c:v>
                </c:pt>
                <c:pt idx="119">
                  <c:v>7.9527104959630904E-2</c:v>
                </c:pt>
                <c:pt idx="120">
                  <c:v>7.7135235836105515E-2</c:v>
                </c:pt>
                <c:pt idx="121">
                  <c:v>7.4768320025652882E-2</c:v>
                </c:pt>
                <c:pt idx="122">
                  <c:v>7.2427078513757459E-2</c:v>
                </c:pt>
                <c:pt idx="123">
                  <c:v>7.0112224465264134E-2</c:v>
                </c:pt>
                <c:pt idx="124">
                  <c:v>6.7824463007140359E-2</c:v>
                </c:pt>
                <c:pt idx="125">
                  <c:v>6.5564491013688483E-2</c:v>
                </c:pt>
                <c:pt idx="126">
                  <c:v>6.333299689427048E-2</c:v>
                </c:pt>
                <c:pt idx="127">
                  <c:v>6.1130660383612104E-2</c:v>
                </c:pt>
                <c:pt idx="128">
                  <c:v>5.8958152334749027E-2</c:v>
                </c:pt>
                <c:pt idx="129">
                  <c:v>5.6816134514678429E-2</c:v>
                </c:pt>
                <c:pt idx="130">
                  <c:v>5.4705259402778574E-2</c:v>
                </c:pt>
                <c:pt idx="131">
                  <c:v>5.2626169992056993E-2</c:v>
                </c:pt>
                <c:pt idx="132">
                  <c:v>5.0579499593288869E-2</c:v>
                </c:pt>
                <c:pt idx="133">
                  <c:v>4.8565871642104089E-2</c:v>
                </c:pt>
                <c:pt idx="134">
                  <c:v>4.6585899509083137E-2</c:v>
                </c:pt>
                <c:pt idx="135">
                  <c:v>4.4640186312918072E-2</c:v>
                </c:pt>
                <c:pt idx="136">
                  <c:v>4.2729324736697077E-2</c:v>
                </c:pt>
                <c:pt idx="137">
                  <c:v>4.0853896847367163E-2</c:v>
                </c:pt>
                <c:pt idx="138">
                  <c:v>3.901447391843104E-2</c:v>
                </c:pt>
                <c:pt idx="139">
                  <c:v>3.7211616255931869E-2</c:v>
                </c:pt>
                <c:pt idx="140">
                  <c:v>3.5445873027778199E-2</c:v>
                </c:pt>
                <c:pt idx="141">
                  <c:v>3.3717782096462555E-2</c:v>
                </c:pt>
                <c:pt idx="142">
                  <c:v>3.2027869855222935E-2</c:v>
                </c:pt>
                <c:pt idx="143">
                  <c:v>3.0376651067698671E-2</c:v>
                </c:pt>
                <c:pt idx="144">
                  <c:v>2.8764628711128025E-2</c:v>
                </c:pt>
                <c:pt idx="145">
                  <c:v>2.7192293823136961E-2</c:v>
                </c:pt>
                <c:pt idx="146">
                  <c:v>2.5660125352163825E-2</c:v>
                </c:pt>
                <c:pt idx="147">
                  <c:v>2.4168590011567292E-2</c:v>
                </c:pt>
                <c:pt idx="148">
                  <c:v>2.2718142137461039E-2</c:v>
                </c:pt>
                <c:pt idx="149">
                  <c:v>2.1309223550318213E-2</c:v>
                </c:pt>
                <c:pt idx="150">
                  <c:v>1.9942263420389066E-2</c:v>
                </c:pt>
                <c:pt idx="151">
                  <c:v>1.8617678136971114E-2</c:v>
                </c:pt>
                <c:pt idx="152">
                  <c:v>1.7335871181573318E-2</c:v>
                </c:pt>
                <c:pt idx="153">
                  <c:v>1.6097233005011372E-2</c:v>
                </c:pt>
                <c:pt idx="154">
                  <c:v>1.4902140908472857E-2</c:v>
                </c:pt>
                <c:pt idx="155">
                  <c:v>1.375095892858748E-2</c:v>
                </c:pt>
                <c:pt idx="156">
                  <c:v>1.2644037726538033E-2</c:v>
                </c:pt>
                <c:pt idx="157">
                  <c:v>1.1581714481245705E-2</c:v>
                </c:pt>
                <c:pt idx="158">
                  <c:v>1.05643127866619E-2</c:v>
                </c:pt>
                <c:pt idx="159">
                  <c:v>9.5921425531986567E-3</c:v>
                </c:pt>
                <c:pt idx="160">
                  <c:v>8.6654999133266471E-3</c:v>
                </c:pt>
                <c:pt idx="161">
                  <c:v>7.7846671313706144E-3</c:v>
                </c:pt>
                <c:pt idx="162">
                  <c:v>6.9499125175287186E-3</c:v>
                </c:pt>
                <c:pt idx="163">
                  <c:v>6.1614903461428231E-3</c:v>
                </c:pt>
                <c:pt idx="164">
                  <c:v>5.4196407782439327E-3</c:v>
                </c:pt>
                <c:pt idx="165">
                  <c:v>4.7245897883968664E-3</c:v>
                </c:pt>
                <c:pt idx="166">
                  <c:v>4.0765490958662824E-3</c:v>
                </c:pt>
                <c:pt idx="167">
                  <c:v>3.4757161001247976E-3</c:v>
                </c:pt>
                <c:pt idx="168">
                  <c:v>2.9222738207233486E-3</c:v>
                </c:pt>
                <c:pt idx="169">
                  <c:v>2.4163908415415288E-3</c:v>
                </c:pt>
                <c:pt idx="170">
                  <c:v>1.9582212594354193E-3</c:v>
                </c:pt>
                <c:pt idx="171">
                  <c:v>1.547904637298097E-3</c:v>
                </c:pt>
                <c:pt idx="172">
                  <c:v>1.1855659615475109E-3</c:v>
                </c:pt>
                <c:pt idx="173">
                  <c:v>8.7131560405433726E-4</c:v>
                </c:pt>
                <c:pt idx="174">
                  <c:v>6.0524928852167354E-4</c:v>
                </c:pt>
                <c:pt idx="175">
                  <c:v>3.8744806132668758E-4</c:v>
                </c:pt>
                <c:pt idx="176">
                  <c:v>2.1797826683305941E-4</c:v>
                </c:pt>
                <c:pt idx="177">
                  <c:v>9.6891527181891109E-5</c:v>
                </c:pt>
                <c:pt idx="178">
                  <c:v>2.4224726567067968E-5</c:v>
                </c:pt>
                <c:pt idx="179">
                  <c:v>5.1146818884640673E-33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DE-4B60-85BD-DB4E2DAAE7FC}"/>
            </c:ext>
          </c:extLst>
        </c:ser>
        <c:ser>
          <c:idx val="1"/>
          <c:order val="1"/>
          <c:tx>
            <c:v>Recoil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'Kin Curves with Eloss'!$S$2:$S$181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'Kin Curves with Eloss'!$Y$2:$Y$181</c:f>
              <c:numCache>
                <c:formatCode>0.000</c:formatCode>
                <c:ptCount val="180"/>
                <c:pt idx="0">
                  <c:v>2.081915804888042</c:v>
                </c:pt>
                <c:pt idx="1">
                  <c:v>2.0819884716886561</c:v>
                </c:pt>
                <c:pt idx="2">
                  <c:v>2.0821095584283076</c:v>
                </c:pt>
                <c:pt idx="3">
                  <c:v>2.0822790282228016</c:v>
                </c:pt>
                <c:pt idx="4">
                  <c:v>2.0824968294499953</c:v>
                </c:pt>
                <c:pt idx="5">
                  <c:v>2.0827628957655282</c:v>
                </c:pt>
                <c:pt idx="6">
                  <c:v>2.0830771461230224</c:v>
                </c:pt>
                <c:pt idx="7">
                  <c:v>2.0834394847987738</c:v>
                </c:pt>
                <c:pt idx="8">
                  <c:v>2.0838498014209113</c:v>
                </c:pt>
                <c:pt idx="9">
                  <c:v>2.0843079710030161</c:v>
                </c:pt>
                <c:pt idx="10">
                  <c:v>2.0848138539821988</c:v>
                </c:pt>
                <c:pt idx="11">
                  <c:v>2.0853672962616003</c:v>
                </c:pt>
                <c:pt idx="12">
                  <c:v>2.0859681292573415</c:v>
                </c:pt>
                <c:pt idx="13">
                  <c:v>2.0866161699498709</c:v>
                </c:pt>
                <c:pt idx="14">
                  <c:v>2.0873112209397191</c:v>
                </c:pt>
                <c:pt idx="15">
                  <c:v>2.0880530705076183</c:v>
                </c:pt>
                <c:pt idx="16">
                  <c:v>2.0888414926790029</c:v>
                </c:pt>
                <c:pt idx="17">
                  <c:v>2.0896762472928452</c:v>
                </c:pt>
                <c:pt idx="18">
                  <c:v>2.0905570800748019</c:v>
                </c:pt>
                <c:pt idx="19">
                  <c:v>2.0914837227146732</c:v>
                </c:pt>
                <c:pt idx="20">
                  <c:v>2.0924558929481365</c:v>
                </c:pt>
                <c:pt idx="21">
                  <c:v>2.0934732946427204</c:v>
                </c:pt>
                <c:pt idx="22">
                  <c:v>2.0945356178880128</c:v>
                </c:pt>
                <c:pt idx="23">
                  <c:v>2.0956425390900617</c:v>
                </c:pt>
                <c:pt idx="24">
                  <c:v>2.0967937210699468</c:v>
                </c:pt>
                <c:pt idx="25">
                  <c:v>2.0979888131664866</c:v>
                </c:pt>
                <c:pt idx="26">
                  <c:v>2.0992274513430482</c:v>
                </c:pt>
                <c:pt idx="27">
                  <c:v>2.1005092582984455</c:v>
                </c:pt>
                <c:pt idx="28">
                  <c:v>2.101833843581864</c:v>
                </c:pt>
                <c:pt idx="29">
                  <c:v>2.1032008037117937</c:v>
                </c:pt>
                <c:pt idx="30">
                  <c:v>2.1046097222989353</c:v>
                </c:pt>
                <c:pt idx="31">
                  <c:v>2.1060601701730408</c:v>
                </c:pt>
                <c:pt idx="32">
                  <c:v>2.1075517055136386</c:v>
                </c:pt>
                <c:pt idx="33">
                  <c:v>2.1090838739846118</c:v>
                </c:pt>
                <c:pt idx="34">
                  <c:v>2.1106562088726024</c:v>
                </c:pt>
                <c:pt idx="35">
                  <c:v>2.1122682312291734</c:v>
                </c:pt>
                <c:pt idx="36">
                  <c:v>2.1139194500166973</c:v>
                </c:pt>
                <c:pt idx="37">
                  <c:v>2.1156093622579375</c:v>
                </c:pt>
                <c:pt idx="38">
                  <c:v>2.1173374531892524</c:v>
                </c:pt>
                <c:pt idx="39">
                  <c:v>2.1191031964174067</c:v>
                </c:pt>
                <c:pt idx="40">
                  <c:v>2.1209060540799061</c:v>
                </c:pt>
                <c:pt idx="41">
                  <c:v>2.1227454770088414</c:v>
                </c:pt>
                <c:pt idx="42">
                  <c:v>2.1246209048981717</c:v>
                </c:pt>
                <c:pt idx="43">
                  <c:v>2.1265317664743923</c:v>
                </c:pt>
                <c:pt idx="44">
                  <c:v>2.1284774796705572</c:v>
                </c:pt>
                <c:pt idx="45">
                  <c:v>2.1304574518035788</c:v>
                </c:pt>
                <c:pt idx="46">
                  <c:v>2.1324710797547635</c:v>
                </c:pt>
                <c:pt idx="47">
                  <c:v>2.1345177501535324</c:v>
                </c:pt>
                <c:pt idx="48">
                  <c:v>2.1365968395642532</c:v>
                </c:pt>
                <c:pt idx="49">
                  <c:v>2.1387077146761539</c:v>
                </c:pt>
                <c:pt idx="50">
                  <c:v>2.1408497324962239</c:v>
                </c:pt>
                <c:pt idx="51">
                  <c:v>2.1430222405450876</c:v>
                </c:pt>
                <c:pt idx="52">
                  <c:v>2.1452245770557448</c:v>
                </c:pt>
                <c:pt idx="53">
                  <c:v>2.1474560711751631</c:v>
                </c:pt>
                <c:pt idx="54">
                  <c:v>2.1497160431686151</c:v>
                </c:pt>
                <c:pt idx="55">
                  <c:v>2.1520038046267396</c:v>
                </c:pt>
                <c:pt idx="56">
                  <c:v>2.1543186586752321</c:v>
                </c:pt>
                <c:pt idx="57">
                  <c:v>2.1566599001871269</c:v>
                </c:pt>
                <c:pt idx="58">
                  <c:v>2.1590268159975801</c:v>
                </c:pt>
                <c:pt idx="59">
                  <c:v>2.1614186851211055</c:v>
                </c:pt>
                <c:pt idx="60">
                  <c:v>2.1638347789711978</c:v>
                </c:pt>
                <c:pt idx="61">
                  <c:v>2.1662743615822655</c:v>
                </c:pt>
                <c:pt idx="62">
                  <c:v>2.1687366898338118</c:v>
                </c:pt>
                <c:pt idx="63">
                  <c:v>2.1712210136767993</c:v>
                </c:pt>
                <c:pt idx="64">
                  <c:v>2.1737265763621179</c:v>
                </c:pt>
                <c:pt idx="65">
                  <c:v>2.1762526146711023</c:v>
                </c:pt>
                <c:pt idx="66">
                  <c:v>2.178798359148014</c:v>
                </c:pt>
                <c:pt idx="67">
                  <c:v>2.1813630343344221</c:v>
                </c:pt>
                <c:pt idx="68">
                  <c:v>2.1839458590054233</c:v>
                </c:pt>
                <c:pt idx="69">
                  <c:v>2.186546046407599</c:v>
                </c:pt>
                <c:pt idx="70">
                  <c:v>2.1891628044986811</c:v>
                </c:pt>
                <c:pt idx="71">
                  <c:v>2.1917953361888034</c:v>
                </c:pt>
                <c:pt idx="72">
                  <c:v>2.194442839583314</c:v>
                </c:pt>
                <c:pt idx="73">
                  <c:v>2.1971045082270293</c:v>
                </c:pt>
                <c:pt idx="74">
                  <c:v>2.1997795313498969</c:v>
                </c:pt>
                <c:pt idx="75">
                  <c:v>2.2024670941139606</c:v>
                </c:pt>
                <c:pt idx="76">
                  <c:v>2.205166377861568</c:v>
                </c:pt>
                <c:pt idx="77">
                  <c:v>2.2078765603647392</c:v>
                </c:pt>
                <c:pt idx="78">
                  <c:v>2.2105968160756317</c:v>
                </c:pt>
                <c:pt idx="79">
                  <c:v>2.2133263163780028</c:v>
                </c:pt>
                <c:pt idx="80">
                  <c:v>2.21606422983962</c:v>
                </c:pt>
                <c:pt idx="81">
                  <c:v>2.2188097224655192</c:v>
                </c:pt>
                <c:pt idx="82">
                  <c:v>2.2215619579520518</c:v>
                </c:pt>
                <c:pt idx="83">
                  <c:v>2.2243200979416242</c:v>
                </c:pt>
                <c:pt idx="84">
                  <c:v>2.2270833022780812</c:v>
                </c:pt>
                <c:pt idx="85">
                  <c:v>2.2298507292626106</c:v>
                </c:pt>
                <c:pt idx="86">
                  <c:v>2.2326215359101451</c:v>
                </c:pt>
                <c:pt idx="87">
                  <c:v>2.2353948782061406</c:v>
                </c:pt>
                <c:pt idx="88">
                  <c:v>2.2381699113636646</c:v>
                </c:pt>
                <c:pt idx="89">
                  <c:v>2.2409457900807359</c:v>
                </c:pt>
                <c:pt idx="90">
                  <c:v>2.2437216687978085</c:v>
                </c:pt>
                <c:pt idx="91">
                  <c:v>2.2464967019553321</c:v>
                </c:pt>
                <c:pt idx="92">
                  <c:v>2.2492700442513263</c:v>
                </c:pt>
                <c:pt idx="93">
                  <c:v>2.2520408508988621</c:v>
                </c:pt>
                <c:pt idx="94">
                  <c:v>2.2548082778833916</c:v>
                </c:pt>
                <c:pt idx="95">
                  <c:v>2.2575714822198472</c:v>
                </c:pt>
                <c:pt idx="96">
                  <c:v>2.2603296222094214</c:v>
                </c:pt>
                <c:pt idx="97">
                  <c:v>2.2630818576959535</c:v>
                </c:pt>
                <c:pt idx="98">
                  <c:v>2.2658273503218522</c:v>
                </c:pt>
                <c:pt idx="99">
                  <c:v>2.268565263783469</c:v>
                </c:pt>
                <c:pt idx="100">
                  <c:v>2.271294764085841</c:v>
                </c:pt>
                <c:pt idx="101">
                  <c:v>2.2740150197967335</c:v>
                </c:pt>
                <c:pt idx="102">
                  <c:v>2.2767252022999047</c:v>
                </c:pt>
                <c:pt idx="103">
                  <c:v>2.2794244860475112</c:v>
                </c:pt>
                <c:pt idx="104">
                  <c:v>2.2821120488115758</c:v>
                </c:pt>
                <c:pt idx="105">
                  <c:v>2.2847870719344434</c:v>
                </c:pt>
                <c:pt idx="106">
                  <c:v>2.2874487405781587</c:v>
                </c:pt>
                <c:pt idx="107">
                  <c:v>2.2900962439726693</c:v>
                </c:pt>
                <c:pt idx="108">
                  <c:v>2.2927287756627921</c:v>
                </c:pt>
                <c:pt idx="109">
                  <c:v>2.2953455337538737</c:v>
                </c:pt>
                <c:pt idx="110">
                  <c:v>2.2979457211560499</c:v>
                </c:pt>
                <c:pt idx="111">
                  <c:v>2.3005285458270506</c:v>
                </c:pt>
                <c:pt idx="112">
                  <c:v>2.3030932210134591</c:v>
                </c:pt>
                <c:pt idx="113">
                  <c:v>2.3056389654903708</c:v>
                </c:pt>
                <c:pt idx="114">
                  <c:v>2.3081650037993549</c:v>
                </c:pt>
                <c:pt idx="115">
                  <c:v>2.3106705664846743</c:v>
                </c:pt>
                <c:pt idx="116">
                  <c:v>2.3131548903276604</c:v>
                </c:pt>
                <c:pt idx="117">
                  <c:v>2.3156172185792072</c:v>
                </c:pt>
                <c:pt idx="118">
                  <c:v>2.3180568011902758</c:v>
                </c:pt>
                <c:pt idx="119">
                  <c:v>2.3204728950403668</c:v>
                </c:pt>
                <c:pt idx="120">
                  <c:v>2.3228647641638926</c:v>
                </c:pt>
                <c:pt idx="121">
                  <c:v>2.3252316799743462</c:v>
                </c:pt>
                <c:pt idx="122">
                  <c:v>2.3275729214862397</c:v>
                </c:pt>
                <c:pt idx="123">
                  <c:v>2.3298877755347336</c:v>
                </c:pt>
                <c:pt idx="124">
                  <c:v>2.3321755369928572</c:v>
                </c:pt>
                <c:pt idx="125">
                  <c:v>2.3344355089863091</c:v>
                </c:pt>
                <c:pt idx="126">
                  <c:v>2.3366670031057279</c:v>
                </c:pt>
                <c:pt idx="127">
                  <c:v>2.3388693396163869</c:v>
                </c:pt>
                <c:pt idx="128">
                  <c:v>2.3410418476652493</c:v>
                </c:pt>
                <c:pt idx="129">
                  <c:v>2.3431838654853197</c:v>
                </c:pt>
                <c:pt idx="130">
                  <c:v>2.3452947405972195</c:v>
                </c:pt>
                <c:pt idx="131">
                  <c:v>2.3473738300079412</c:v>
                </c:pt>
                <c:pt idx="132">
                  <c:v>2.3494205004067088</c:v>
                </c:pt>
                <c:pt idx="133">
                  <c:v>2.3514341283578948</c:v>
                </c:pt>
                <c:pt idx="134">
                  <c:v>2.353414100490915</c:v>
                </c:pt>
                <c:pt idx="135">
                  <c:v>2.3553598136870799</c:v>
                </c:pt>
                <c:pt idx="136">
                  <c:v>2.3572706752633015</c:v>
                </c:pt>
                <c:pt idx="137">
                  <c:v>2.35914610315263</c:v>
                </c:pt>
                <c:pt idx="138">
                  <c:v>2.3609855260815675</c:v>
                </c:pt>
                <c:pt idx="139">
                  <c:v>2.3627883837440664</c:v>
                </c:pt>
                <c:pt idx="140">
                  <c:v>2.3645541269722194</c:v>
                </c:pt>
                <c:pt idx="141">
                  <c:v>2.3662822179035361</c:v>
                </c:pt>
                <c:pt idx="142">
                  <c:v>2.3679721301447749</c:v>
                </c:pt>
                <c:pt idx="143">
                  <c:v>2.3696233489322993</c:v>
                </c:pt>
                <c:pt idx="144">
                  <c:v>2.3712353712888699</c:v>
                </c:pt>
                <c:pt idx="145">
                  <c:v>2.3728077061768609</c:v>
                </c:pt>
                <c:pt idx="146">
                  <c:v>2.3743398746478341</c:v>
                </c:pt>
                <c:pt idx="147">
                  <c:v>2.375831409988431</c:v>
                </c:pt>
                <c:pt idx="148">
                  <c:v>2.377281857862537</c:v>
                </c:pt>
                <c:pt idx="149">
                  <c:v>2.3786907764496803</c:v>
                </c:pt>
                <c:pt idx="150">
                  <c:v>2.3800577365796092</c:v>
                </c:pt>
                <c:pt idx="151">
                  <c:v>2.3813823218630277</c:v>
                </c:pt>
                <c:pt idx="152">
                  <c:v>2.382664128818424</c:v>
                </c:pt>
                <c:pt idx="153">
                  <c:v>2.3839027669949866</c:v>
                </c:pt>
                <c:pt idx="154">
                  <c:v>2.3850978590915255</c:v>
                </c:pt>
                <c:pt idx="155">
                  <c:v>2.3862490410714101</c:v>
                </c:pt>
                <c:pt idx="156">
                  <c:v>2.3873559622734599</c:v>
                </c:pt>
                <c:pt idx="157">
                  <c:v>2.3884182855187528</c:v>
                </c:pt>
                <c:pt idx="158">
                  <c:v>2.3894356872133349</c:v>
                </c:pt>
                <c:pt idx="159">
                  <c:v>2.3904078574467991</c:v>
                </c:pt>
                <c:pt idx="160">
                  <c:v>2.3913345000866708</c:v>
                </c:pt>
                <c:pt idx="161">
                  <c:v>2.3922153328686271</c:v>
                </c:pt>
                <c:pt idx="162">
                  <c:v>2.3930500874824694</c:v>
                </c:pt>
                <c:pt idx="163">
                  <c:v>2.3938385096538553</c:v>
                </c:pt>
                <c:pt idx="164">
                  <c:v>2.3945803592217545</c:v>
                </c:pt>
                <c:pt idx="165">
                  <c:v>2.3952754102116018</c:v>
                </c:pt>
                <c:pt idx="166">
                  <c:v>2.3959234509041316</c:v>
                </c:pt>
                <c:pt idx="167">
                  <c:v>2.3965242838998724</c:v>
                </c:pt>
                <c:pt idx="168">
                  <c:v>2.3970777261792739</c:v>
                </c:pt>
                <c:pt idx="169">
                  <c:v>2.3975836091584566</c:v>
                </c:pt>
                <c:pt idx="170">
                  <c:v>2.3980417787405632</c:v>
                </c:pt>
                <c:pt idx="171">
                  <c:v>2.3984520953627002</c:v>
                </c:pt>
                <c:pt idx="172">
                  <c:v>2.3988144340384498</c:v>
                </c:pt>
                <c:pt idx="173">
                  <c:v>2.3991286843959436</c:v>
                </c:pt>
                <c:pt idx="174">
                  <c:v>2.399394750711477</c:v>
                </c:pt>
                <c:pt idx="175">
                  <c:v>2.3996125519386711</c:v>
                </c:pt>
                <c:pt idx="176">
                  <c:v>2.3997820217331651</c:v>
                </c:pt>
                <c:pt idx="177">
                  <c:v>2.3999031084728166</c:v>
                </c:pt>
                <c:pt idx="178">
                  <c:v>2.3999757752734316</c:v>
                </c:pt>
                <c:pt idx="179">
                  <c:v>2.3999999999999981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DE-4B60-85BD-DB4E2DAA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348568"/>
        <c:axId val="2133355000"/>
      </c:scatterChart>
      <c:valAx>
        <c:axId val="2133348568"/>
        <c:scaling>
          <c:orientation val="minMax"/>
          <c:max val="18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Angle [cm] (deg)</a:t>
                </a:r>
              </a:p>
            </c:rich>
          </c:tx>
          <c:layout>
            <c:manualLayout>
              <c:xMode val="edge"/>
              <c:yMode val="edge"/>
              <c:x val="0.46231142589588398"/>
              <c:y val="0.83988852517030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355000"/>
        <c:crosses val="autoZero"/>
        <c:crossBetween val="midCat"/>
      </c:valAx>
      <c:valAx>
        <c:axId val="2133355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 [lab] (MeV)</a:t>
                </a:r>
              </a:p>
            </c:rich>
          </c:tx>
          <c:layout>
            <c:manualLayout>
              <c:xMode val="edge"/>
              <c:yMode val="edge"/>
              <c:x val="2.1775544388609701E-2"/>
              <c:y val="0.356742015394143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348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216067212703901"/>
          <c:y val="0.92415818809165695"/>
          <c:w val="0.21775544388609699"/>
          <c:h val="5.89887640449437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a(X,X)a Elastic Scattering into S2_near</a:t>
            </a:r>
          </a:p>
        </c:rich>
      </c:tx>
      <c:layout>
        <c:manualLayout>
          <c:xMode val="edge"/>
          <c:yMode val="edge"/>
          <c:x val="0.35502143915178902"/>
          <c:y val="3.170028818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5323594407999"/>
          <c:y val="0.14409237108992001"/>
          <c:w val="0.87128758002127504"/>
          <c:h val="0.72046185544960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Scattering'!$K$25:$K$72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'Rutherford Scattering'!$Z$25:$Z$72</c:f>
              <c:numCache>
                <c:formatCode>0.00E+00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AF-460C-990F-FDBAA9B2F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78120"/>
        <c:axId val="2128312776"/>
      </c:scatterChart>
      <c:valAx>
        <c:axId val="2128378120"/>
        <c:scaling>
          <c:orientation val="minMax"/>
          <c:max val="48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1485170789294898"/>
              <c:y val="0.919309265016225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8312776"/>
        <c:crosses val="autoZero"/>
        <c:crossBetween val="midCat"/>
        <c:majorUnit val="2"/>
      </c:valAx>
      <c:valAx>
        <c:axId val="2128312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(pps)</a:t>
                </a:r>
              </a:p>
            </c:rich>
          </c:tx>
          <c:layout>
            <c:manualLayout>
              <c:xMode val="edge"/>
              <c:yMode val="edge"/>
              <c:x val="1.8387553041018401E-2"/>
              <c:y val="0.4438044884158929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8378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a(X,X)a Elastic Scattering into S2_far</a:t>
            </a:r>
          </a:p>
        </c:rich>
      </c:tx>
      <c:layout>
        <c:manualLayout>
          <c:xMode val="edge"/>
          <c:yMode val="edge"/>
          <c:x val="0.37861625315703501"/>
          <c:y val="3.170028818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92439503421095E-2"/>
          <c:y val="0.14409237108992001"/>
          <c:w val="0.89056590099162503"/>
          <c:h val="0.72046185544960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Scattering'!$AI$25:$AI$72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'Rutherford Scattering'!$AX$25:$AX$72</c:f>
              <c:numCache>
                <c:formatCode>0.00E+00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0B-4EDD-A9AE-4C325027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833384"/>
        <c:axId val="2127842456"/>
      </c:scatterChart>
      <c:valAx>
        <c:axId val="2127833384"/>
        <c:scaling>
          <c:orientation val="minMax"/>
          <c:max val="48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1069172485514802"/>
              <c:y val="0.919309265016225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842456"/>
        <c:crosses val="autoZero"/>
        <c:crossBetween val="midCat"/>
        <c:majorUnit val="2"/>
      </c:valAx>
      <c:valAx>
        <c:axId val="21278424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Nb (pps)</a:t>
                </a:r>
              </a:p>
            </c:rich>
          </c:tx>
          <c:layout>
            <c:manualLayout>
              <c:xMode val="edge"/>
              <c:yMode val="edge"/>
              <c:x val="1.63522012578616E-2"/>
              <c:y val="0.4438044884158929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833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Strip lifetime across S2_near</a:t>
            </a:r>
          </a:p>
        </c:rich>
      </c:tx>
      <c:layout>
        <c:manualLayout>
          <c:xMode val="edge"/>
          <c:yMode val="edge"/>
          <c:x val="0.39235138631750299"/>
          <c:y val="3.17919075144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985850388455103E-2"/>
          <c:y val="0.14450872150353999"/>
          <c:w val="0.88951856739916402"/>
          <c:h val="0.719653433087627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Scattering'!$K$25:$K$72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'Rutherford Scattering'!$AD$25:$AD$72</c:f>
              <c:numCache>
                <c:formatCode>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5-4760-AF9D-D68CC9CFD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005672"/>
        <c:axId val="2130991528"/>
      </c:scatterChart>
      <c:valAx>
        <c:axId val="2131005672"/>
        <c:scaling>
          <c:orientation val="minMax"/>
          <c:max val="48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0566583390957198"/>
              <c:y val="0.91907537208138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991528"/>
        <c:crosses val="autoZero"/>
        <c:crossBetween val="midCat"/>
        <c:majorUnit val="2"/>
      </c:valAx>
      <c:valAx>
        <c:axId val="2130991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Lifetime (days)</a:t>
                </a:r>
              </a:p>
            </c:rich>
          </c:tx>
          <c:layout>
            <c:manualLayout>
              <c:xMode val="edge"/>
              <c:yMode val="edge"/>
              <c:x val="1.8413597733710999E-2"/>
              <c:y val="0.401734331618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056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Strip lifetime across S2_far</a:t>
            </a:r>
          </a:p>
        </c:rich>
      </c:tx>
      <c:layout>
        <c:manualLayout>
          <c:xMode val="edge"/>
          <c:yMode val="edge"/>
          <c:x val="0.41028877977454797"/>
          <c:y val="3.170028818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18226086269301E-2"/>
          <c:y val="0.14409237108992001"/>
          <c:w val="0.90589753042607801"/>
          <c:h val="0.72046185544960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Scattering'!$AI$25:$AI$72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'Rutherford Scattering'!$BB$25:$BB$72</c:f>
              <c:numCache>
                <c:formatCode>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F0-4218-990C-71E9545B9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872216"/>
        <c:axId val="2131881176"/>
      </c:scatterChart>
      <c:valAx>
        <c:axId val="2131872216"/>
        <c:scaling>
          <c:orientation val="minMax"/>
          <c:max val="48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03136960452089"/>
              <c:y val="0.91930926501622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881176"/>
        <c:crosses val="autoZero"/>
        <c:crossBetween val="midCat"/>
        <c:majorUnit val="2"/>
      </c:valAx>
      <c:valAx>
        <c:axId val="21318811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Lifetime (days)</a:t>
                </a:r>
              </a:p>
            </c:rich>
          </c:tx>
          <c:layout>
            <c:manualLayout>
              <c:xMode val="edge"/>
              <c:yMode val="edge"/>
              <c:x val="1.6311166875784201E-2"/>
              <c:y val="0.400576822709841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8722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Scattered Particle Energy across S2_near</a:t>
            </a:r>
          </a:p>
        </c:rich>
      </c:tx>
      <c:layout>
        <c:manualLayout>
          <c:xMode val="edge"/>
          <c:yMode val="edge"/>
          <c:x val="0.34560917668577501"/>
          <c:y val="3.17919075144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7972830186806E-2"/>
          <c:y val="0.14450872150353999"/>
          <c:w val="0.90226644495743202"/>
          <c:h val="0.719653433087627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Scattering'!$K$25:$K$72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'Rutherford Scattering'!$T$25:$T$72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F-4B6D-A907-0B674C8E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897048"/>
        <c:axId val="2127906120"/>
      </c:scatterChart>
      <c:valAx>
        <c:axId val="2127897048"/>
        <c:scaling>
          <c:orientation val="minMax"/>
          <c:max val="48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498583680935067"/>
              <c:y val="0.91907537208138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906120"/>
        <c:crosses val="autoZero"/>
        <c:crossBetween val="midCat"/>
        <c:majorUnit val="2"/>
      </c:valAx>
      <c:valAx>
        <c:axId val="2127906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lab (MeV)</a:t>
                </a:r>
              </a:p>
            </c:rich>
          </c:tx>
          <c:layout>
            <c:manualLayout>
              <c:xMode val="edge"/>
              <c:yMode val="edge"/>
              <c:x val="1.8413597733710999E-2"/>
              <c:y val="0.433526239133402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897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Scattered Particle Energy across S2_far</a:t>
            </a:r>
          </a:p>
        </c:rich>
      </c:tx>
      <c:layout>
        <c:manualLayout>
          <c:xMode val="edge"/>
          <c:yMode val="edge"/>
          <c:x val="0.37110814759612099"/>
          <c:y val="3.170028818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29107781956098E-2"/>
          <c:y val="0.14409237108992001"/>
          <c:w val="0.90535450616348401"/>
          <c:h val="0.72046185544960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Scattering'!$AI$25:$AI$72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'Rutherford Scattering'!$AR$25:$AR$72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32-4619-A365-54696F777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940792"/>
        <c:axId val="2127949864"/>
      </c:scatterChart>
      <c:valAx>
        <c:axId val="2127940792"/>
        <c:scaling>
          <c:orientation val="minMax"/>
          <c:max val="48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0311312891617099"/>
              <c:y val="0.91930926501622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949864"/>
        <c:crosses val="autoZero"/>
        <c:crossBetween val="midCat"/>
        <c:majorUnit val="2"/>
      </c:valAx>
      <c:valAx>
        <c:axId val="2127949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Elab</a:t>
                </a: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 (MeV)</a:t>
                </a:r>
              </a:p>
            </c:rich>
          </c:tx>
          <c:layout>
            <c:manualLayout>
              <c:xMode val="edge"/>
              <c:yMode val="edge"/>
              <c:x val="1.61892901618929E-2"/>
              <c:y val="0.43515895527468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940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a(X,X)a Elastic Scattering into LEDA_near</a:t>
            </a:r>
          </a:p>
        </c:rich>
      </c:tx>
      <c:layout>
        <c:manualLayout>
          <c:xMode val="edge"/>
          <c:yMode val="edge"/>
          <c:x val="0.34609917909197502"/>
          <c:y val="3.244837758112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14170889057793E-2"/>
          <c:y val="0.14454256466836499"/>
          <c:w val="0.89645374548880996"/>
          <c:h val="0.722712823341826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'Rutherford Scattering'!$K$181:$K$196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'Rutherford Scattering'!$Z$181:$Z$196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EE-4061-844B-266D088C6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527288"/>
        <c:axId val="2128535544"/>
      </c:scatterChart>
      <c:valAx>
        <c:axId val="2128527288"/>
        <c:scaling>
          <c:orientation val="minMax"/>
          <c:max val="16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Strip #</a:t>
                </a:r>
              </a:p>
            </c:rich>
          </c:tx>
          <c:layout>
            <c:manualLayout>
              <c:xMode val="edge"/>
              <c:yMode val="edge"/>
              <c:x val="0.50212754788630098"/>
              <c:y val="0.920352588669778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8535544"/>
        <c:crosses val="autoZero"/>
        <c:crossBetween val="midCat"/>
        <c:majorUnit val="1"/>
      </c:valAx>
      <c:valAx>
        <c:axId val="2128535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sz="925" b="1" i="0" u="none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(pps)</a:t>
                </a:r>
              </a:p>
            </c:rich>
          </c:tx>
          <c:layout>
            <c:manualLayout>
              <c:xMode val="edge"/>
              <c:yMode val="edge"/>
              <c:x val="1.8439716312056698E-2"/>
              <c:y val="0.445427031798016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85272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12700</xdr:rowOff>
    </xdr:from>
    <xdr:to>
      <xdr:col>19</xdr:col>
      <xdr:colOff>215900</xdr:colOff>
      <xdr:row>32</xdr:row>
      <xdr:rowOff>50800</xdr:rowOff>
    </xdr:to>
    <xdr:sp macro="" textlink="">
      <xdr:nvSpPr>
        <xdr:cNvPr id="6146" name="Object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25400</xdr:colOff>
      <xdr:row>1</xdr:row>
      <xdr:rowOff>12700</xdr:rowOff>
    </xdr:from>
    <xdr:to>
      <xdr:col>19</xdr:col>
      <xdr:colOff>215900</xdr:colOff>
      <xdr:row>32</xdr:row>
      <xdr:rowOff>50800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165100"/>
          <a:ext cx="12306300" cy="476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3</xdr:row>
      <xdr:rowOff>76200</xdr:rowOff>
    </xdr:from>
    <xdr:to>
      <xdr:col>2</xdr:col>
      <xdr:colOff>266700</xdr:colOff>
      <xdr:row>3</xdr:row>
      <xdr:rowOff>76200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>
          <a:spLocks noChangeShapeType="1"/>
        </xdr:cNvSpPr>
      </xdr:nvSpPr>
      <xdr:spPr bwMode="auto">
        <a:xfrm>
          <a:off x="4749800" y="850900"/>
          <a:ext cx="1778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88900</xdr:colOff>
      <xdr:row>21</xdr:row>
      <xdr:rowOff>76200</xdr:rowOff>
    </xdr:from>
    <xdr:to>
      <xdr:col>2</xdr:col>
      <xdr:colOff>266700</xdr:colOff>
      <xdr:row>21</xdr:row>
      <xdr:rowOff>76200</xdr:rowOff>
    </xdr:to>
    <xdr:sp macro="" textlink="">
      <xdr:nvSpPr>
        <xdr:cNvPr id="1875" name="Line 2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>
          <a:spLocks noChangeShapeType="1"/>
        </xdr:cNvSpPr>
      </xdr:nvSpPr>
      <xdr:spPr bwMode="auto">
        <a:xfrm>
          <a:off x="4749800" y="3619500"/>
          <a:ext cx="1778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0</xdr:colOff>
      <xdr:row>9</xdr:row>
      <xdr:rowOff>139700</xdr:rowOff>
    </xdr:from>
    <xdr:to>
      <xdr:col>15</xdr:col>
      <xdr:colOff>660400</xdr:colOff>
      <xdr:row>9</xdr:row>
      <xdr:rowOff>139700</xdr:rowOff>
    </xdr:to>
    <xdr:sp macro="" textlink="">
      <xdr:nvSpPr>
        <xdr:cNvPr id="1876" name="Line 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>
          <a:spLocks noChangeShapeType="1"/>
        </xdr:cNvSpPr>
      </xdr:nvSpPr>
      <xdr:spPr bwMode="auto">
        <a:xfrm>
          <a:off x="13855700" y="1828800"/>
          <a:ext cx="1562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25400</xdr:colOff>
      <xdr:row>16</xdr:row>
      <xdr:rowOff>0</xdr:rowOff>
    </xdr:from>
    <xdr:to>
      <xdr:col>20</xdr:col>
      <xdr:colOff>177800</xdr:colOff>
      <xdr:row>16</xdr:row>
      <xdr:rowOff>0</xdr:rowOff>
    </xdr:to>
    <xdr:sp macro="" textlink="">
      <xdr:nvSpPr>
        <xdr:cNvPr id="1877" name="Line 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>
          <a:spLocks noChangeShapeType="1"/>
        </xdr:cNvSpPr>
      </xdr:nvSpPr>
      <xdr:spPr bwMode="auto">
        <a:xfrm>
          <a:off x="15455900" y="2755900"/>
          <a:ext cx="1549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15</xdr:row>
      <xdr:rowOff>127000</xdr:rowOff>
    </xdr:to>
    <xdr:sp macro="" textlink="">
      <xdr:nvSpPr>
        <xdr:cNvPr id="1878" name="Line 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>
          <a:spLocks noChangeShapeType="1"/>
        </xdr:cNvSpPr>
      </xdr:nvSpPr>
      <xdr:spPr bwMode="auto">
        <a:xfrm>
          <a:off x="15430500" y="1841500"/>
          <a:ext cx="0" cy="8890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25400</xdr:colOff>
      <xdr:row>31</xdr:row>
      <xdr:rowOff>0</xdr:rowOff>
    </xdr:from>
    <xdr:to>
      <xdr:col>16</xdr:col>
      <xdr:colOff>25400</xdr:colOff>
      <xdr:row>31</xdr:row>
      <xdr:rowOff>0</xdr:rowOff>
    </xdr:to>
    <xdr:sp macro="" textlink="">
      <xdr:nvSpPr>
        <xdr:cNvPr id="1879" name="Line 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>
          <a:spLocks noChangeShapeType="1"/>
        </xdr:cNvSpPr>
      </xdr:nvSpPr>
      <xdr:spPr bwMode="auto">
        <a:xfrm>
          <a:off x="13881100" y="5067300"/>
          <a:ext cx="15748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20</xdr:col>
      <xdr:colOff>304800</xdr:colOff>
      <xdr:row>36</xdr:row>
      <xdr:rowOff>0</xdr:rowOff>
    </xdr:to>
    <xdr:sp macro="" textlink="">
      <xdr:nvSpPr>
        <xdr:cNvPr id="1880" name="Line 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>
          <a:spLocks noChangeShapeType="1"/>
        </xdr:cNvSpPr>
      </xdr:nvSpPr>
      <xdr:spPr bwMode="auto">
        <a:xfrm>
          <a:off x="15430500" y="5829300"/>
          <a:ext cx="17018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881" name="Line 11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>
          <a:spLocks noChangeShapeType="1"/>
        </xdr:cNvSpPr>
      </xdr:nvSpPr>
      <xdr:spPr bwMode="auto">
        <a:xfrm>
          <a:off x="15430500" y="5067300"/>
          <a:ext cx="0" cy="7620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0</xdr:colOff>
      <xdr:row>20</xdr:row>
      <xdr:rowOff>127000</xdr:rowOff>
    </xdr:from>
    <xdr:to>
      <xdr:col>16</xdr:col>
      <xdr:colOff>0</xdr:colOff>
      <xdr:row>30</xdr:row>
      <xdr:rowOff>139700</xdr:rowOff>
    </xdr:to>
    <xdr:sp macro="" textlink="">
      <xdr:nvSpPr>
        <xdr:cNvPr id="1882" name="Line 12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>
          <a:spLocks noChangeShapeType="1"/>
        </xdr:cNvSpPr>
      </xdr:nvSpPr>
      <xdr:spPr bwMode="auto">
        <a:xfrm>
          <a:off x="15430500" y="3517900"/>
          <a:ext cx="0" cy="15367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12700</xdr:colOff>
      <xdr:row>20</xdr:row>
      <xdr:rowOff>139700</xdr:rowOff>
    </xdr:from>
    <xdr:to>
      <xdr:col>20</xdr:col>
      <xdr:colOff>266700</xdr:colOff>
      <xdr:row>20</xdr:row>
      <xdr:rowOff>139700</xdr:rowOff>
    </xdr:to>
    <xdr:sp macro="" textlink="">
      <xdr:nvSpPr>
        <xdr:cNvPr id="1883" name="Line 13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>
          <a:spLocks noChangeShapeType="1"/>
        </xdr:cNvSpPr>
      </xdr:nvSpPr>
      <xdr:spPr bwMode="auto">
        <a:xfrm>
          <a:off x="15443200" y="3530600"/>
          <a:ext cx="165100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25400</xdr:colOff>
      <xdr:row>4</xdr:row>
      <xdr:rowOff>127000</xdr:rowOff>
    </xdr:from>
    <xdr:to>
      <xdr:col>16</xdr:col>
      <xdr:colOff>0</xdr:colOff>
      <xdr:row>4</xdr:row>
      <xdr:rowOff>127000</xdr:rowOff>
    </xdr:to>
    <xdr:sp macro="" textlink="">
      <xdr:nvSpPr>
        <xdr:cNvPr id="1884" name="Line 15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>
          <a:spLocks noChangeShapeType="1"/>
        </xdr:cNvSpPr>
      </xdr:nvSpPr>
      <xdr:spPr bwMode="auto">
        <a:xfrm>
          <a:off x="13881100" y="1054100"/>
          <a:ext cx="154940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10</xdr:row>
      <xdr:rowOff>12700</xdr:rowOff>
    </xdr:to>
    <xdr:sp macro="" textlink="">
      <xdr:nvSpPr>
        <xdr:cNvPr id="1885" name="Line 16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>
          <a:spLocks noChangeShapeType="1"/>
        </xdr:cNvSpPr>
      </xdr:nvSpPr>
      <xdr:spPr bwMode="auto">
        <a:xfrm>
          <a:off x="15430500" y="1079500"/>
          <a:ext cx="0" cy="7747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177800</xdr:colOff>
      <xdr:row>4</xdr:row>
      <xdr:rowOff>114300</xdr:rowOff>
    </xdr:from>
    <xdr:to>
      <xdr:col>20</xdr:col>
      <xdr:colOff>177800</xdr:colOff>
      <xdr:row>16</xdr:row>
      <xdr:rowOff>0</xdr:rowOff>
    </xdr:to>
    <xdr:sp macro="" textlink="">
      <xdr:nvSpPr>
        <xdr:cNvPr id="1886" name="Line 17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>
          <a:spLocks noChangeShapeType="1"/>
        </xdr:cNvSpPr>
      </xdr:nvSpPr>
      <xdr:spPr bwMode="auto">
        <a:xfrm>
          <a:off x="17005300" y="1041400"/>
          <a:ext cx="0" cy="17145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203200</xdr:colOff>
      <xdr:row>17</xdr:row>
      <xdr:rowOff>0</xdr:rowOff>
    </xdr:from>
    <xdr:to>
      <xdr:col>17</xdr:col>
      <xdr:colOff>584200</xdr:colOff>
      <xdr:row>26</xdr:row>
      <xdr:rowOff>101600</xdr:rowOff>
    </xdr:to>
    <xdr:sp macro="" textlink="">
      <xdr:nvSpPr>
        <xdr:cNvPr id="5382" name="Rectangle 5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>
          <a:spLocks noChangeArrowheads="1"/>
        </xdr:cNvSpPr>
      </xdr:nvSpPr>
      <xdr:spPr bwMode="auto">
        <a:xfrm>
          <a:off x="11188700" y="2590800"/>
          <a:ext cx="1930400" cy="147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12</xdr:col>
      <xdr:colOff>0</xdr:colOff>
      <xdr:row>33</xdr:row>
      <xdr:rowOff>101600</xdr:rowOff>
    </xdr:to>
    <xdr:graphicFrame macro="">
      <xdr:nvGraphicFramePr>
        <xdr:cNvPr id="5383" name="Chart 1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11</xdr:col>
      <xdr:colOff>660400</xdr:colOff>
      <xdr:row>66</xdr:row>
      <xdr:rowOff>101600</xdr:rowOff>
    </xdr:to>
    <xdr:graphicFrame macro="">
      <xdr:nvGraphicFramePr>
        <xdr:cNvPr id="5384" name="Chart 2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254000</xdr:colOff>
      <xdr:row>17</xdr:row>
      <xdr:rowOff>50800</xdr:rowOff>
    </xdr:from>
    <xdr:to>
      <xdr:col>18</xdr:col>
      <xdr:colOff>1587</xdr:colOff>
      <xdr:row>26</xdr:row>
      <xdr:rowOff>50800</xdr:rowOff>
    </xdr:to>
    <xdr:pic>
      <xdr:nvPicPr>
        <xdr:cNvPr id="5385" name="Picture 4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2641600"/>
          <a:ext cx="2019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711200</xdr:colOff>
      <xdr:row>4</xdr:row>
      <xdr:rowOff>76200</xdr:rowOff>
    </xdr:from>
    <xdr:to>
      <xdr:col>3</xdr:col>
      <xdr:colOff>114300</xdr:colOff>
      <xdr:row>4</xdr:row>
      <xdr:rowOff>76200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00000000-0008-0000-0500-00008D0C0000}"/>
            </a:ext>
          </a:extLst>
        </xdr:cNvPr>
        <xdr:cNvSpPr>
          <a:spLocks noChangeShapeType="1"/>
        </xdr:cNvSpPr>
      </xdr:nvSpPr>
      <xdr:spPr bwMode="auto">
        <a:xfrm>
          <a:off x="2984500" y="762000"/>
          <a:ext cx="330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711200</xdr:colOff>
      <xdr:row>3</xdr:row>
      <xdr:rowOff>76200</xdr:rowOff>
    </xdr:from>
    <xdr:to>
      <xdr:col>3</xdr:col>
      <xdr:colOff>114300</xdr:colOff>
      <xdr:row>3</xdr:row>
      <xdr:rowOff>76200</xdr:rowOff>
    </xdr:to>
    <xdr:sp macro="" textlink="">
      <xdr:nvSpPr>
        <xdr:cNvPr id="3214" name="Line 3">
          <a:extLst>
            <a:ext uri="{FF2B5EF4-FFF2-40B4-BE49-F238E27FC236}">
              <a16:creationId xmlns:a16="http://schemas.microsoft.com/office/drawing/2014/main" id="{00000000-0008-0000-0500-00008E0C0000}"/>
            </a:ext>
          </a:extLst>
        </xdr:cNvPr>
        <xdr:cNvSpPr>
          <a:spLocks noChangeShapeType="1"/>
        </xdr:cNvSpPr>
      </xdr:nvSpPr>
      <xdr:spPr bwMode="auto">
        <a:xfrm>
          <a:off x="2984500" y="609600"/>
          <a:ext cx="330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73</xdr:row>
      <xdr:rowOff>12700</xdr:rowOff>
    </xdr:from>
    <xdr:to>
      <xdr:col>21</xdr:col>
      <xdr:colOff>0</xdr:colOff>
      <xdr:row>102</xdr:row>
      <xdr:rowOff>0</xdr:rowOff>
    </xdr:to>
    <xdr:graphicFrame macro="">
      <xdr:nvGraphicFramePr>
        <xdr:cNvPr id="1177029" name="Chart 1">
          <a:extLst>
            <a:ext uri="{FF2B5EF4-FFF2-40B4-BE49-F238E27FC236}">
              <a16:creationId xmlns:a16="http://schemas.microsoft.com/office/drawing/2014/main" id="{00000000-0008-0000-0600-0000C5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73</xdr:row>
      <xdr:rowOff>25400</xdr:rowOff>
    </xdr:from>
    <xdr:to>
      <xdr:col>46</xdr:col>
      <xdr:colOff>495300</xdr:colOff>
      <xdr:row>102</xdr:row>
      <xdr:rowOff>12700</xdr:rowOff>
    </xdr:to>
    <xdr:graphicFrame macro="">
      <xdr:nvGraphicFramePr>
        <xdr:cNvPr id="1177030" name="Chart 2">
          <a:extLst>
            <a:ext uri="{FF2B5EF4-FFF2-40B4-BE49-F238E27FC236}">
              <a16:creationId xmlns:a16="http://schemas.microsoft.com/office/drawing/2014/main" id="{00000000-0008-0000-0600-0000C6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838200</xdr:colOff>
      <xdr:row>25</xdr:row>
      <xdr:rowOff>50800</xdr:rowOff>
    </xdr:from>
    <xdr:to>
      <xdr:col>1</xdr:col>
      <xdr:colOff>25400</xdr:colOff>
      <xdr:row>28</xdr:row>
      <xdr:rowOff>25400</xdr:rowOff>
    </xdr:to>
    <xdr:sp macro="" textlink="">
      <xdr:nvSpPr>
        <xdr:cNvPr id="1177031" name="Rectangle 3">
          <a:extLst>
            <a:ext uri="{FF2B5EF4-FFF2-40B4-BE49-F238E27FC236}">
              <a16:creationId xmlns:a16="http://schemas.microsoft.com/office/drawing/2014/main" id="{00000000-0008-0000-0600-0000C7F51100}"/>
            </a:ext>
          </a:extLst>
        </xdr:cNvPr>
        <xdr:cNvSpPr>
          <a:spLocks noChangeArrowheads="1"/>
        </xdr:cNvSpPr>
      </xdr:nvSpPr>
      <xdr:spPr bwMode="auto">
        <a:xfrm>
          <a:off x="838200" y="4216400"/>
          <a:ext cx="63500" cy="431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23</xdr:row>
      <xdr:rowOff>101600</xdr:rowOff>
    </xdr:from>
    <xdr:to>
      <xdr:col>6</xdr:col>
      <xdr:colOff>241300</xdr:colOff>
      <xdr:row>25</xdr:row>
      <xdr:rowOff>63500</xdr:rowOff>
    </xdr:to>
    <xdr:sp macro="" textlink="">
      <xdr:nvSpPr>
        <xdr:cNvPr id="1177032" name="Rectangle 4">
          <a:extLst>
            <a:ext uri="{FF2B5EF4-FFF2-40B4-BE49-F238E27FC236}">
              <a16:creationId xmlns:a16="http://schemas.microsoft.com/office/drawing/2014/main" id="{00000000-0008-0000-0600-0000C8F51100}"/>
            </a:ext>
          </a:extLst>
        </xdr:cNvPr>
        <xdr:cNvSpPr>
          <a:spLocks noChangeArrowheads="1"/>
        </xdr:cNvSpPr>
      </xdr:nvSpPr>
      <xdr:spPr bwMode="auto">
        <a:xfrm>
          <a:off x="4927600" y="3810000"/>
          <a:ext cx="2413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762000</xdr:colOff>
      <xdr:row>23</xdr:row>
      <xdr:rowOff>101600</xdr:rowOff>
    </xdr:from>
    <xdr:to>
      <xdr:col>2</xdr:col>
      <xdr:colOff>190500</xdr:colOff>
      <xdr:row>25</xdr:row>
      <xdr:rowOff>76200</xdr:rowOff>
    </xdr:to>
    <xdr:sp macro="" textlink="">
      <xdr:nvSpPr>
        <xdr:cNvPr id="1177033" name="Rectangle 5">
          <a:extLst>
            <a:ext uri="{FF2B5EF4-FFF2-40B4-BE49-F238E27FC236}">
              <a16:creationId xmlns:a16="http://schemas.microsoft.com/office/drawing/2014/main" id="{00000000-0008-0000-0600-0000C9F51100}"/>
            </a:ext>
          </a:extLst>
        </xdr:cNvPr>
        <xdr:cNvSpPr>
          <a:spLocks noChangeArrowheads="1"/>
        </xdr:cNvSpPr>
      </xdr:nvSpPr>
      <xdr:spPr bwMode="auto">
        <a:xfrm>
          <a:off x="1638300" y="3810000"/>
          <a:ext cx="228600" cy="431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762000</xdr:colOff>
      <xdr:row>28</xdr:row>
      <xdr:rowOff>12700</xdr:rowOff>
    </xdr:from>
    <xdr:to>
      <xdr:col>2</xdr:col>
      <xdr:colOff>190500</xdr:colOff>
      <xdr:row>31</xdr:row>
      <xdr:rowOff>88900</xdr:rowOff>
    </xdr:to>
    <xdr:sp macro="" textlink="">
      <xdr:nvSpPr>
        <xdr:cNvPr id="1177034" name="Rectangle 6">
          <a:extLst>
            <a:ext uri="{FF2B5EF4-FFF2-40B4-BE49-F238E27FC236}">
              <a16:creationId xmlns:a16="http://schemas.microsoft.com/office/drawing/2014/main" id="{00000000-0008-0000-0600-0000CAF51100}"/>
            </a:ext>
          </a:extLst>
        </xdr:cNvPr>
        <xdr:cNvSpPr>
          <a:spLocks noChangeArrowheads="1"/>
        </xdr:cNvSpPr>
      </xdr:nvSpPr>
      <xdr:spPr bwMode="auto">
        <a:xfrm>
          <a:off x="1638300" y="4635500"/>
          <a:ext cx="2286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28</xdr:row>
      <xdr:rowOff>0</xdr:rowOff>
    </xdr:from>
    <xdr:to>
      <xdr:col>6</xdr:col>
      <xdr:colOff>254000</xdr:colOff>
      <xdr:row>31</xdr:row>
      <xdr:rowOff>76200</xdr:rowOff>
    </xdr:to>
    <xdr:sp macro="" textlink="">
      <xdr:nvSpPr>
        <xdr:cNvPr id="1177035" name="Rectangle 7">
          <a:extLst>
            <a:ext uri="{FF2B5EF4-FFF2-40B4-BE49-F238E27FC236}">
              <a16:creationId xmlns:a16="http://schemas.microsoft.com/office/drawing/2014/main" id="{00000000-0008-0000-0600-0000CBF51100}"/>
            </a:ext>
          </a:extLst>
        </xdr:cNvPr>
        <xdr:cNvSpPr>
          <a:spLocks noChangeArrowheads="1"/>
        </xdr:cNvSpPr>
      </xdr:nvSpPr>
      <xdr:spPr bwMode="auto">
        <a:xfrm>
          <a:off x="4940300" y="4622800"/>
          <a:ext cx="2413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762000</xdr:colOff>
      <xdr:row>25</xdr:row>
      <xdr:rowOff>38100</xdr:rowOff>
    </xdr:to>
    <xdr:sp macro="" textlink="">
      <xdr:nvSpPr>
        <xdr:cNvPr id="1177036" name="Line 8">
          <a:extLst>
            <a:ext uri="{FF2B5EF4-FFF2-40B4-BE49-F238E27FC236}">
              <a16:creationId xmlns:a16="http://schemas.microsoft.com/office/drawing/2014/main" id="{00000000-0008-0000-0600-0000CCF51100}"/>
            </a:ext>
          </a:extLst>
        </xdr:cNvPr>
        <xdr:cNvSpPr>
          <a:spLocks noChangeShapeType="1"/>
        </xdr:cNvSpPr>
      </xdr:nvSpPr>
      <xdr:spPr bwMode="auto">
        <a:xfrm>
          <a:off x="876300" y="42037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5</xdr:col>
      <xdr:colOff>927100</xdr:colOff>
      <xdr:row>29</xdr:row>
      <xdr:rowOff>114300</xdr:rowOff>
    </xdr:to>
    <xdr:sp macro="" textlink="">
      <xdr:nvSpPr>
        <xdr:cNvPr id="1177037" name="Line 9">
          <a:extLst>
            <a:ext uri="{FF2B5EF4-FFF2-40B4-BE49-F238E27FC236}">
              <a16:creationId xmlns:a16="http://schemas.microsoft.com/office/drawing/2014/main" id="{00000000-0008-0000-0600-0000CDF51100}"/>
            </a:ext>
          </a:extLst>
        </xdr:cNvPr>
        <xdr:cNvSpPr>
          <a:spLocks noChangeShapeType="1"/>
        </xdr:cNvSpPr>
      </xdr:nvSpPr>
      <xdr:spPr bwMode="auto">
        <a:xfrm>
          <a:off x="876300" y="4889500"/>
          <a:ext cx="4051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0</xdr:col>
      <xdr:colOff>152400</xdr:colOff>
      <xdr:row>26</xdr:row>
      <xdr:rowOff>12700</xdr:rowOff>
    </xdr:from>
    <xdr:ext cx="538566" cy="172355"/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600-00000A200000}"/>
            </a:ext>
          </a:extLst>
        </xdr:cNvPr>
        <xdr:cNvSpPr txBox="1">
          <a:spLocks noChangeArrowheads="1"/>
        </xdr:cNvSpPr>
      </xdr:nvSpPr>
      <xdr:spPr bwMode="auto">
        <a:xfrm>
          <a:off x="152400" y="4330700"/>
          <a:ext cx="5385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TARGET</a:t>
          </a:r>
        </a:p>
      </xdr:txBody>
    </xdr:sp>
    <xdr:clientData/>
  </xdr:oneCellAnchor>
  <xdr:oneCellAnchor>
    <xdr:from>
      <xdr:col>1</xdr:col>
      <xdr:colOff>558261</xdr:colOff>
      <xdr:row>31</xdr:row>
      <xdr:rowOff>114300</xdr:rowOff>
    </xdr:from>
    <xdr:ext cx="521779" cy="172355"/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600-00000B200000}"/>
            </a:ext>
          </a:extLst>
        </xdr:cNvPr>
        <xdr:cNvSpPr txBox="1">
          <a:spLocks noChangeArrowheads="1"/>
        </xdr:cNvSpPr>
      </xdr:nvSpPr>
      <xdr:spPr bwMode="auto">
        <a:xfrm>
          <a:off x="1434561" y="5194300"/>
          <a:ext cx="521779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S2_near</a:t>
          </a:r>
        </a:p>
      </xdr:txBody>
    </xdr:sp>
    <xdr:clientData/>
  </xdr:oneCellAnchor>
  <xdr:oneCellAnchor>
    <xdr:from>
      <xdr:col>5</xdr:col>
      <xdr:colOff>897517</xdr:colOff>
      <xdr:row>31</xdr:row>
      <xdr:rowOff>101600</xdr:rowOff>
    </xdr:from>
    <xdr:ext cx="414766" cy="172355"/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600-00000C200000}"/>
            </a:ext>
          </a:extLst>
        </xdr:cNvPr>
        <xdr:cNvSpPr txBox="1">
          <a:spLocks noChangeArrowheads="1"/>
        </xdr:cNvSpPr>
      </xdr:nvSpPr>
      <xdr:spPr bwMode="auto">
        <a:xfrm>
          <a:off x="4923417" y="5181600"/>
          <a:ext cx="4147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S2_far</a:t>
          </a:r>
        </a:p>
      </xdr:txBody>
    </xdr:sp>
    <xdr:clientData/>
  </xdr:oneCellAnchor>
  <xdr:oneCellAnchor>
    <xdr:from>
      <xdr:col>1</xdr:col>
      <xdr:colOff>254000</xdr:colOff>
      <xdr:row>25</xdr:row>
      <xdr:rowOff>50800</xdr:rowOff>
    </xdr:from>
    <xdr:ext cx="108235" cy="172355"/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600-00000E200000}"/>
            </a:ext>
          </a:extLst>
        </xdr:cNvPr>
        <xdr:cNvSpPr txBox="1">
          <a:spLocks noChangeArrowheads="1"/>
        </xdr:cNvSpPr>
      </xdr:nvSpPr>
      <xdr:spPr bwMode="auto">
        <a:xfrm>
          <a:off x="1130300" y="42164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3</xdr:col>
      <xdr:colOff>609600</xdr:colOff>
      <xdr:row>29</xdr:row>
      <xdr:rowOff>139700</xdr:rowOff>
    </xdr:from>
    <xdr:ext cx="108235" cy="172355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600-00000F200000}"/>
            </a:ext>
          </a:extLst>
        </xdr:cNvPr>
        <xdr:cNvSpPr txBox="1">
          <a:spLocks noChangeArrowheads="1"/>
        </xdr:cNvSpPr>
      </xdr:nvSpPr>
      <xdr:spPr bwMode="auto">
        <a:xfrm>
          <a:off x="3187700" y="49149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10</xdr:col>
      <xdr:colOff>12700</xdr:colOff>
      <xdr:row>103</xdr:row>
      <xdr:rowOff>25400</xdr:rowOff>
    </xdr:from>
    <xdr:to>
      <xdr:col>21</xdr:col>
      <xdr:colOff>0</xdr:colOff>
      <xdr:row>132</xdr:row>
      <xdr:rowOff>0</xdr:rowOff>
    </xdr:to>
    <xdr:graphicFrame macro="">
      <xdr:nvGraphicFramePr>
        <xdr:cNvPr id="1177043" name="Chart 16">
          <a:extLst>
            <a:ext uri="{FF2B5EF4-FFF2-40B4-BE49-F238E27FC236}">
              <a16:creationId xmlns:a16="http://schemas.microsoft.com/office/drawing/2014/main" id="{00000000-0008-0000-0600-0000D3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457200</xdr:colOff>
      <xdr:row>103</xdr:row>
      <xdr:rowOff>12700</xdr:rowOff>
    </xdr:from>
    <xdr:to>
      <xdr:col>46</xdr:col>
      <xdr:colOff>482600</xdr:colOff>
      <xdr:row>132</xdr:row>
      <xdr:rowOff>0</xdr:rowOff>
    </xdr:to>
    <xdr:graphicFrame macro="">
      <xdr:nvGraphicFramePr>
        <xdr:cNvPr id="1177044" name="Chart 17">
          <a:extLst>
            <a:ext uri="{FF2B5EF4-FFF2-40B4-BE49-F238E27FC236}">
              <a16:creationId xmlns:a16="http://schemas.microsoft.com/office/drawing/2014/main" id="{00000000-0008-0000-0600-0000D4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838200</xdr:colOff>
      <xdr:row>182</xdr:row>
      <xdr:rowOff>101600</xdr:rowOff>
    </xdr:from>
    <xdr:to>
      <xdr:col>1</xdr:col>
      <xdr:colOff>25400</xdr:colOff>
      <xdr:row>185</xdr:row>
      <xdr:rowOff>38100</xdr:rowOff>
    </xdr:to>
    <xdr:sp macro="" textlink="">
      <xdr:nvSpPr>
        <xdr:cNvPr id="1177045" name="Rectangle 18">
          <a:extLst>
            <a:ext uri="{FF2B5EF4-FFF2-40B4-BE49-F238E27FC236}">
              <a16:creationId xmlns:a16="http://schemas.microsoft.com/office/drawing/2014/main" id="{00000000-0008-0000-0600-0000D5F51100}"/>
            </a:ext>
          </a:extLst>
        </xdr:cNvPr>
        <xdr:cNvSpPr>
          <a:spLocks noChangeArrowheads="1"/>
        </xdr:cNvSpPr>
      </xdr:nvSpPr>
      <xdr:spPr bwMode="auto">
        <a:xfrm>
          <a:off x="838200" y="28524200"/>
          <a:ext cx="63500" cy="393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762000</xdr:colOff>
      <xdr:row>185</xdr:row>
      <xdr:rowOff>12700</xdr:rowOff>
    </xdr:from>
    <xdr:to>
      <xdr:col>2</xdr:col>
      <xdr:colOff>139700</xdr:colOff>
      <xdr:row>187</xdr:row>
      <xdr:rowOff>127000</xdr:rowOff>
    </xdr:to>
    <xdr:sp macro="" textlink="">
      <xdr:nvSpPr>
        <xdr:cNvPr id="1177046" name="Rectangle 19">
          <a:extLst>
            <a:ext uri="{FF2B5EF4-FFF2-40B4-BE49-F238E27FC236}">
              <a16:creationId xmlns:a16="http://schemas.microsoft.com/office/drawing/2014/main" id="{00000000-0008-0000-0600-0000D6F51100}"/>
            </a:ext>
          </a:extLst>
        </xdr:cNvPr>
        <xdr:cNvSpPr>
          <a:spLocks noChangeArrowheads="1"/>
        </xdr:cNvSpPr>
      </xdr:nvSpPr>
      <xdr:spPr bwMode="auto">
        <a:xfrm>
          <a:off x="1638300" y="28892500"/>
          <a:ext cx="1778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185</xdr:row>
      <xdr:rowOff>12700</xdr:rowOff>
    </xdr:from>
    <xdr:to>
      <xdr:col>6</xdr:col>
      <xdr:colOff>190500</xdr:colOff>
      <xdr:row>187</xdr:row>
      <xdr:rowOff>127000</xdr:rowOff>
    </xdr:to>
    <xdr:sp macro="" textlink="">
      <xdr:nvSpPr>
        <xdr:cNvPr id="1177047" name="Rectangle 20">
          <a:extLst>
            <a:ext uri="{FF2B5EF4-FFF2-40B4-BE49-F238E27FC236}">
              <a16:creationId xmlns:a16="http://schemas.microsoft.com/office/drawing/2014/main" id="{00000000-0008-0000-0600-0000D7F51100}"/>
            </a:ext>
          </a:extLst>
        </xdr:cNvPr>
        <xdr:cNvSpPr>
          <a:spLocks noChangeArrowheads="1"/>
        </xdr:cNvSpPr>
      </xdr:nvSpPr>
      <xdr:spPr bwMode="auto">
        <a:xfrm>
          <a:off x="4940300" y="28892500"/>
          <a:ext cx="1778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179</xdr:row>
      <xdr:rowOff>266700</xdr:rowOff>
    </xdr:from>
    <xdr:to>
      <xdr:col>6</xdr:col>
      <xdr:colOff>190500</xdr:colOff>
      <xdr:row>182</xdr:row>
      <xdr:rowOff>63500</xdr:rowOff>
    </xdr:to>
    <xdr:sp macro="" textlink="">
      <xdr:nvSpPr>
        <xdr:cNvPr id="1177048" name="Rectangle 21">
          <a:extLst>
            <a:ext uri="{FF2B5EF4-FFF2-40B4-BE49-F238E27FC236}">
              <a16:creationId xmlns:a16="http://schemas.microsoft.com/office/drawing/2014/main" id="{00000000-0008-0000-0600-0000D8F51100}"/>
            </a:ext>
          </a:extLst>
        </xdr:cNvPr>
        <xdr:cNvSpPr>
          <a:spLocks noChangeArrowheads="1"/>
        </xdr:cNvSpPr>
      </xdr:nvSpPr>
      <xdr:spPr bwMode="auto">
        <a:xfrm>
          <a:off x="4927600" y="28079700"/>
          <a:ext cx="190500" cy="406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762000</xdr:colOff>
      <xdr:row>179</xdr:row>
      <xdr:rowOff>266700</xdr:rowOff>
    </xdr:from>
    <xdr:to>
      <xdr:col>2</xdr:col>
      <xdr:colOff>152400</xdr:colOff>
      <xdr:row>182</xdr:row>
      <xdr:rowOff>63500</xdr:rowOff>
    </xdr:to>
    <xdr:sp macro="" textlink="">
      <xdr:nvSpPr>
        <xdr:cNvPr id="1177049" name="Rectangle 22">
          <a:extLst>
            <a:ext uri="{FF2B5EF4-FFF2-40B4-BE49-F238E27FC236}">
              <a16:creationId xmlns:a16="http://schemas.microsoft.com/office/drawing/2014/main" id="{00000000-0008-0000-0600-0000D9F51100}"/>
            </a:ext>
          </a:extLst>
        </xdr:cNvPr>
        <xdr:cNvSpPr>
          <a:spLocks noChangeArrowheads="1"/>
        </xdr:cNvSpPr>
      </xdr:nvSpPr>
      <xdr:spPr bwMode="auto">
        <a:xfrm>
          <a:off x="1638300" y="28079700"/>
          <a:ext cx="190500" cy="406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182</xdr:row>
      <xdr:rowOff>0</xdr:rowOff>
    </xdr:from>
    <xdr:to>
      <xdr:col>1</xdr:col>
      <xdr:colOff>762000</xdr:colOff>
      <xdr:row>182</xdr:row>
      <xdr:rowOff>0</xdr:rowOff>
    </xdr:to>
    <xdr:sp macro="" textlink="">
      <xdr:nvSpPr>
        <xdr:cNvPr id="1177050" name="Line 23">
          <a:extLst>
            <a:ext uri="{FF2B5EF4-FFF2-40B4-BE49-F238E27FC236}">
              <a16:creationId xmlns:a16="http://schemas.microsoft.com/office/drawing/2014/main" id="{00000000-0008-0000-0600-0000DAF51100}"/>
            </a:ext>
          </a:extLst>
        </xdr:cNvPr>
        <xdr:cNvSpPr>
          <a:spLocks noChangeShapeType="1"/>
        </xdr:cNvSpPr>
      </xdr:nvSpPr>
      <xdr:spPr bwMode="auto">
        <a:xfrm>
          <a:off x="876300" y="284226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185</xdr:row>
      <xdr:rowOff>114300</xdr:rowOff>
    </xdr:from>
    <xdr:to>
      <xdr:col>5</xdr:col>
      <xdr:colOff>927100</xdr:colOff>
      <xdr:row>185</xdr:row>
      <xdr:rowOff>114300</xdr:rowOff>
    </xdr:to>
    <xdr:sp macro="" textlink="">
      <xdr:nvSpPr>
        <xdr:cNvPr id="1177051" name="Line 24">
          <a:extLst>
            <a:ext uri="{FF2B5EF4-FFF2-40B4-BE49-F238E27FC236}">
              <a16:creationId xmlns:a16="http://schemas.microsoft.com/office/drawing/2014/main" id="{00000000-0008-0000-0600-0000DBF51100}"/>
            </a:ext>
          </a:extLst>
        </xdr:cNvPr>
        <xdr:cNvSpPr>
          <a:spLocks noChangeShapeType="1"/>
        </xdr:cNvSpPr>
      </xdr:nvSpPr>
      <xdr:spPr bwMode="auto">
        <a:xfrm>
          <a:off x="876300" y="28994100"/>
          <a:ext cx="4051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0</xdr:col>
      <xdr:colOff>190500</xdr:colOff>
      <xdr:row>183</xdr:row>
      <xdr:rowOff>50800</xdr:rowOff>
    </xdr:from>
    <xdr:ext cx="538566" cy="172355"/>
    <xdr:sp macro="" textlink="">
      <xdr:nvSpPr>
        <xdr:cNvPr id="8217" name="Text Box 25">
          <a:extLst>
            <a:ext uri="{FF2B5EF4-FFF2-40B4-BE49-F238E27FC236}">
              <a16:creationId xmlns:a16="http://schemas.microsoft.com/office/drawing/2014/main" id="{00000000-0008-0000-0600-000019200000}"/>
            </a:ext>
          </a:extLst>
        </xdr:cNvPr>
        <xdr:cNvSpPr txBox="1">
          <a:spLocks noChangeArrowheads="1"/>
        </xdr:cNvSpPr>
      </xdr:nvSpPr>
      <xdr:spPr bwMode="auto">
        <a:xfrm>
          <a:off x="190500" y="28625800"/>
          <a:ext cx="5385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TARGET</a:t>
          </a:r>
        </a:p>
      </xdr:txBody>
    </xdr:sp>
    <xdr:clientData/>
  </xdr:oneCellAnchor>
  <xdr:oneCellAnchor>
    <xdr:from>
      <xdr:col>1</xdr:col>
      <xdr:colOff>558088</xdr:colOff>
      <xdr:row>188</xdr:row>
      <xdr:rowOff>12700</xdr:rowOff>
    </xdr:from>
    <xdr:ext cx="699925" cy="172355"/>
    <xdr:sp macro="" textlink="">
      <xdr:nvSpPr>
        <xdr:cNvPr id="8218" name="Text Box 26">
          <a:extLst>
            <a:ext uri="{FF2B5EF4-FFF2-40B4-BE49-F238E27FC236}">
              <a16:creationId xmlns:a16="http://schemas.microsoft.com/office/drawing/2014/main" id="{00000000-0008-0000-0600-00001A200000}"/>
            </a:ext>
          </a:extLst>
        </xdr:cNvPr>
        <xdr:cNvSpPr txBox="1">
          <a:spLocks noChangeArrowheads="1"/>
        </xdr:cNvSpPr>
      </xdr:nvSpPr>
      <xdr:spPr bwMode="auto">
        <a:xfrm>
          <a:off x="1434388" y="29349700"/>
          <a:ext cx="69992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LEDA_near</a:t>
          </a:r>
        </a:p>
      </xdr:txBody>
    </xdr:sp>
    <xdr:clientData/>
  </xdr:oneCellAnchor>
  <xdr:oneCellAnchor>
    <xdr:from>
      <xdr:col>5</xdr:col>
      <xdr:colOff>579844</xdr:colOff>
      <xdr:row>188</xdr:row>
      <xdr:rowOff>12700</xdr:rowOff>
    </xdr:from>
    <xdr:ext cx="592912" cy="172355"/>
    <xdr:sp macro="" textlink="">
      <xdr:nvSpPr>
        <xdr:cNvPr id="8219" name="Text Box 27">
          <a:extLst>
            <a:ext uri="{FF2B5EF4-FFF2-40B4-BE49-F238E27FC236}">
              <a16:creationId xmlns:a16="http://schemas.microsoft.com/office/drawing/2014/main" id="{00000000-0008-0000-0600-00001B200000}"/>
            </a:ext>
          </a:extLst>
        </xdr:cNvPr>
        <xdr:cNvSpPr txBox="1">
          <a:spLocks noChangeArrowheads="1"/>
        </xdr:cNvSpPr>
      </xdr:nvSpPr>
      <xdr:spPr bwMode="auto">
        <a:xfrm>
          <a:off x="4605744" y="29349700"/>
          <a:ext cx="592912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LEDA_far</a:t>
          </a:r>
        </a:p>
      </xdr:txBody>
    </xdr:sp>
    <xdr:clientData/>
  </xdr:oneCellAnchor>
  <xdr:oneCellAnchor>
    <xdr:from>
      <xdr:col>1</xdr:col>
      <xdr:colOff>254000</xdr:colOff>
      <xdr:row>182</xdr:row>
      <xdr:rowOff>38100</xdr:rowOff>
    </xdr:from>
    <xdr:ext cx="108235" cy="172355"/>
    <xdr:sp macro="" textlink="">
      <xdr:nvSpPr>
        <xdr:cNvPr id="8220" name="Text Box 28">
          <a:extLst>
            <a:ext uri="{FF2B5EF4-FFF2-40B4-BE49-F238E27FC236}">
              <a16:creationId xmlns:a16="http://schemas.microsoft.com/office/drawing/2014/main" id="{00000000-0008-0000-0600-00001C200000}"/>
            </a:ext>
          </a:extLst>
        </xdr:cNvPr>
        <xdr:cNvSpPr txBox="1">
          <a:spLocks noChangeArrowheads="1"/>
        </xdr:cNvSpPr>
      </xdr:nvSpPr>
      <xdr:spPr bwMode="auto">
        <a:xfrm>
          <a:off x="1130300" y="284607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3</xdr:col>
      <xdr:colOff>609600</xdr:colOff>
      <xdr:row>185</xdr:row>
      <xdr:rowOff>139700</xdr:rowOff>
    </xdr:from>
    <xdr:ext cx="108235" cy="172355"/>
    <xdr:sp macro="" textlink="">
      <xdr:nvSpPr>
        <xdr:cNvPr id="8221" name="Text Box 29">
          <a:extLst>
            <a:ext uri="{FF2B5EF4-FFF2-40B4-BE49-F238E27FC236}">
              <a16:creationId xmlns:a16="http://schemas.microsoft.com/office/drawing/2014/main" id="{00000000-0008-0000-0600-00001D200000}"/>
            </a:ext>
          </a:extLst>
        </xdr:cNvPr>
        <xdr:cNvSpPr txBox="1">
          <a:spLocks noChangeArrowheads="1"/>
        </xdr:cNvSpPr>
      </xdr:nvSpPr>
      <xdr:spPr bwMode="auto">
        <a:xfrm>
          <a:off x="3187700" y="290195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10</xdr:col>
      <xdr:colOff>12700</xdr:colOff>
      <xdr:row>133</xdr:row>
      <xdr:rowOff>12700</xdr:rowOff>
    </xdr:from>
    <xdr:to>
      <xdr:col>21</xdr:col>
      <xdr:colOff>0</xdr:colOff>
      <xdr:row>161</xdr:row>
      <xdr:rowOff>139700</xdr:rowOff>
    </xdr:to>
    <xdr:graphicFrame macro="">
      <xdr:nvGraphicFramePr>
        <xdr:cNvPr id="1177057" name="Chart 31">
          <a:extLst>
            <a:ext uri="{FF2B5EF4-FFF2-40B4-BE49-F238E27FC236}">
              <a16:creationId xmlns:a16="http://schemas.microsoft.com/office/drawing/2014/main" id="{00000000-0008-0000-0600-0000E1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133</xdr:row>
      <xdr:rowOff>0</xdr:rowOff>
    </xdr:from>
    <xdr:to>
      <xdr:col>46</xdr:col>
      <xdr:colOff>596900</xdr:colOff>
      <xdr:row>161</xdr:row>
      <xdr:rowOff>139700</xdr:rowOff>
    </xdr:to>
    <xdr:graphicFrame macro="">
      <xdr:nvGraphicFramePr>
        <xdr:cNvPr id="1177058" name="Chart 34">
          <a:extLst>
            <a:ext uri="{FF2B5EF4-FFF2-40B4-BE49-F238E27FC236}">
              <a16:creationId xmlns:a16="http://schemas.microsoft.com/office/drawing/2014/main" id="{00000000-0008-0000-0600-0000E2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25400</xdr:colOff>
      <xdr:row>197</xdr:row>
      <xdr:rowOff>12700</xdr:rowOff>
    </xdr:from>
    <xdr:to>
      <xdr:col>21</xdr:col>
      <xdr:colOff>0</xdr:colOff>
      <xdr:row>225</xdr:row>
      <xdr:rowOff>50800</xdr:rowOff>
    </xdr:to>
    <xdr:graphicFrame macro="">
      <xdr:nvGraphicFramePr>
        <xdr:cNvPr id="1177059" name="Chart 35">
          <a:extLst>
            <a:ext uri="{FF2B5EF4-FFF2-40B4-BE49-F238E27FC236}">
              <a16:creationId xmlns:a16="http://schemas.microsoft.com/office/drawing/2014/main" id="{00000000-0008-0000-0600-0000E3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12700</xdr:colOff>
      <xdr:row>227</xdr:row>
      <xdr:rowOff>0</xdr:rowOff>
    </xdr:from>
    <xdr:to>
      <xdr:col>21</xdr:col>
      <xdr:colOff>0</xdr:colOff>
      <xdr:row>255</xdr:row>
      <xdr:rowOff>139700</xdr:rowOff>
    </xdr:to>
    <xdr:graphicFrame macro="">
      <xdr:nvGraphicFramePr>
        <xdr:cNvPr id="1177060" name="Chart 36">
          <a:extLst>
            <a:ext uri="{FF2B5EF4-FFF2-40B4-BE49-F238E27FC236}">
              <a16:creationId xmlns:a16="http://schemas.microsoft.com/office/drawing/2014/main" id="{00000000-0008-0000-0600-0000E4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257</xdr:row>
      <xdr:rowOff>0</xdr:rowOff>
    </xdr:from>
    <xdr:to>
      <xdr:col>21</xdr:col>
      <xdr:colOff>0</xdr:colOff>
      <xdr:row>285</xdr:row>
      <xdr:rowOff>139700</xdr:rowOff>
    </xdr:to>
    <xdr:graphicFrame macro="">
      <xdr:nvGraphicFramePr>
        <xdr:cNvPr id="1177061" name="Chart 37">
          <a:extLst>
            <a:ext uri="{FF2B5EF4-FFF2-40B4-BE49-F238E27FC236}">
              <a16:creationId xmlns:a16="http://schemas.microsoft.com/office/drawing/2014/main" id="{00000000-0008-0000-0600-0000E5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0</xdr:colOff>
      <xdr:row>197</xdr:row>
      <xdr:rowOff>0</xdr:rowOff>
    </xdr:from>
    <xdr:to>
      <xdr:col>46</xdr:col>
      <xdr:colOff>520700</xdr:colOff>
      <xdr:row>225</xdr:row>
      <xdr:rowOff>50800</xdr:rowOff>
    </xdr:to>
    <xdr:graphicFrame macro="">
      <xdr:nvGraphicFramePr>
        <xdr:cNvPr id="1177062" name="Chart 38">
          <a:extLst>
            <a:ext uri="{FF2B5EF4-FFF2-40B4-BE49-F238E27FC236}">
              <a16:creationId xmlns:a16="http://schemas.microsoft.com/office/drawing/2014/main" id="{00000000-0008-0000-0600-0000E6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0</xdr:colOff>
      <xdr:row>226</xdr:row>
      <xdr:rowOff>0</xdr:rowOff>
    </xdr:from>
    <xdr:to>
      <xdr:col>46</xdr:col>
      <xdr:colOff>546100</xdr:colOff>
      <xdr:row>254</xdr:row>
      <xdr:rowOff>139700</xdr:rowOff>
    </xdr:to>
    <xdr:graphicFrame macro="">
      <xdr:nvGraphicFramePr>
        <xdr:cNvPr id="1177063" name="Chart 39">
          <a:extLst>
            <a:ext uri="{FF2B5EF4-FFF2-40B4-BE49-F238E27FC236}">
              <a16:creationId xmlns:a16="http://schemas.microsoft.com/office/drawing/2014/main" id="{00000000-0008-0000-0600-0000E7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0</xdr:colOff>
      <xdr:row>257</xdr:row>
      <xdr:rowOff>0</xdr:rowOff>
    </xdr:from>
    <xdr:to>
      <xdr:col>46</xdr:col>
      <xdr:colOff>609600</xdr:colOff>
      <xdr:row>286</xdr:row>
      <xdr:rowOff>0</xdr:rowOff>
    </xdr:to>
    <xdr:graphicFrame macro="">
      <xdr:nvGraphicFramePr>
        <xdr:cNvPr id="1177064" name="Chart 40">
          <a:extLst>
            <a:ext uri="{FF2B5EF4-FFF2-40B4-BE49-F238E27FC236}">
              <a16:creationId xmlns:a16="http://schemas.microsoft.com/office/drawing/2014/main" id="{00000000-0008-0000-0600-0000E8F5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838200</xdr:colOff>
      <xdr:row>294</xdr:row>
      <xdr:rowOff>50800</xdr:rowOff>
    </xdr:from>
    <xdr:to>
      <xdr:col>1</xdr:col>
      <xdr:colOff>25400</xdr:colOff>
      <xdr:row>297</xdr:row>
      <xdr:rowOff>25400</xdr:rowOff>
    </xdr:to>
    <xdr:sp macro="" textlink="">
      <xdr:nvSpPr>
        <xdr:cNvPr id="1177065" name="Rectangle 45">
          <a:extLst>
            <a:ext uri="{FF2B5EF4-FFF2-40B4-BE49-F238E27FC236}">
              <a16:creationId xmlns:a16="http://schemas.microsoft.com/office/drawing/2014/main" id="{00000000-0008-0000-0600-0000E9F51100}"/>
            </a:ext>
          </a:extLst>
        </xdr:cNvPr>
        <xdr:cNvSpPr>
          <a:spLocks noChangeArrowheads="1"/>
        </xdr:cNvSpPr>
      </xdr:nvSpPr>
      <xdr:spPr bwMode="auto">
        <a:xfrm>
          <a:off x="838200" y="45935900"/>
          <a:ext cx="63500" cy="431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292</xdr:row>
      <xdr:rowOff>101600</xdr:rowOff>
    </xdr:from>
    <xdr:to>
      <xdr:col>6</xdr:col>
      <xdr:colOff>241300</xdr:colOff>
      <xdr:row>294</xdr:row>
      <xdr:rowOff>63500</xdr:rowOff>
    </xdr:to>
    <xdr:sp macro="" textlink="">
      <xdr:nvSpPr>
        <xdr:cNvPr id="1177066" name="Rectangle 46">
          <a:extLst>
            <a:ext uri="{FF2B5EF4-FFF2-40B4-BE49-F238E27FC236}">
              <a16:creationId xmlns:a16="http://schemas.microsoft.com/office/drawing/2014/main" id="{00000000-0008-0000-0600-0000EAF51100}"/>
            </a:ext>
          </a:extLst>
        </xdr:cNvPr>
        <xdr:cNvSpPr>
          <a:spLocks noChangeArrowheads="1"/>
        </xdr:cNvSpPr>
      </xdr:nvSpPr>
      <xdr:spPr bwMode="auto">
        <a:xfrm>
          <a:off x="4927600" y="45529500"/>
          <a:ext cx="2413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762000</xdr:colOff>
      <xdr:row>292</xdr:row>
      <xdr:rowOff>101600</xdr:rowOff>
    </xdr:from>
    <xdr:to>
      <xdr:col>2</xdr:col>
      <xdr:colOff>190500</xdr:colOff>
      <xdr:row>294</xdr:row>
      <xdr:rowOff>76200</xdr:rowOff>
    </xdr:to>
    <xdr:sp macro="" textlink="">
      <xdr:nvSpPr>
        <xdr:cNvPr id="1177067" name="Rectangle 47">
          <a:extLst>
            <a:ext uri="{FF2B5EF4-FFF2-40B4-BE49-F238E27FC236}">
              <a16:creationId xmlns:a16="http://schemas.microsoft.com/office/drawing/2014/main" id="{00000000-0008-0000-0600-0000EBF51100}"/>
            </a:ext>
          </a:extLst>
        </xdr:cNvPr>
        <xdr:cNvSpPr>
          <a:spLocks noChangeArrowheads="1"/>
        </xdr:cNvSpPr>
      </xdr:nvSpPr>
      <xdr:spPr bwMode="auto">
        <a:xfrm>
          <a:off x="1638300" y="45529500"/>
          <a:ext cx="228600" cy="431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762000</xdr:colOff>
      <xdr:row>297</xdr:row>
      <xdr:rowOff>12700</xdr:rowOff>
    </xdr:from>
    <xdr:to>
      <xdr:col>2</xdr:col>
      <xdr:colOff>190500</xdr:colOff>
      <xdr:row>300</xdr:row>
      <xdr:rowOff>88900</xdr:rowOff>
    </xdr:to>
    <xdr:sp macro="" textlink="">
      <xdr:nvSpPr>
        <xdr:cNvPr id="1177068" name="Rectangle 48">
          <a:extLst>
            <a:ext uri="{FF2B5EF4-FFF2-40B4-BE49-F238E27FC236}">
              <a16:creationId xmlns:a16="http://schemas.microsoft.com/office/drawing/2014/main" id="{00000000-0008-0000-0600-0000ECF51100}"/>
            </a:ext>
          </a:extLst>
        </xdr:cNvPr>
        <xdr:cNvSpPr>
          <a:spLocks noChangeArrowheads="1"/>
        </xdr:cNvSpPr>
      </xdr:nvSpPr>
      <xdr:spPr bwMode="auto">
        <a:xfrm>
          <a:off x="1638300" y="46355000"/>
          <a:ext cx="2286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297</xdr:row>
      <xdr:rowOff>0</xdr:rowOff>
    </xdr:from>
    <xdr:to>
      <xdr:col>6</xdr:col>
      <xdr:colOff>254000</xdr:colOff>
      <xdr:row>300</xdr:row>
      <xdr:rowOff>76200</xdr:rowOff>
    </xdr:to>
    <xdr:sp macro="" textlink="">
      <xdr:nvSpPr>
        <xdr:cNvPr id="1177069" name="Rectangle 49">
          <a:extLst>
            <a:ext uri="{FF2B5EF4-FFF2-40B4-BE49-F238E27FC236}">
              <a16:creationId xmlns:a16="http://schemas.microsoft.com/office/drawing/2014/main" id="{00000000-0008-0000-0600-0000EDF51100}"/>
            </a:ext>
          </a:extLst>
        </xdr:cNvPr>
        <xdr:cNvSpPr>
          <a:spLocks noChangeArrowheads="1"/>
        </xdr:cNvSpPr>
      </xdr:nvSpPr>
      <xdr:spPr bwMode="auto">
        <a:xfrm>
          <a:off x="4940300" y="46342300"/>
          <a:ext cx="2413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294</xdr:row>
      <xdr:rowOff>38100</xdr:rowOff>
    </xdr:from>
    <xdr:to>
      <xdr:col>1</xdr:col>
      <xdr:colOff>762000</xdr:colOff>
      <xdr:row>294</xdr:row>
      <xdr:rowOff>38100</xdr:rowOff>
    </xdr:to>
    <xdr:sp macro="" textlink="">
      <xdr:nvSpPr>
        <xdr:cNvPr id="1177070" name="Line 50">
          <a:extLst>
            <a:ext uri="{FF2B5EF4-FFF2-40B4-BE49-F238E27FC236}">
              <a16:creationId xmlns:a16="http://schemas.microsoft.com/office/drawing/2014/main" id="{00000000-0008-0000-0600-0000EEF51100}"/>
            </a:ext>
          </a:extLst>
        </xdr:cNvPr>
        <xdr:cNvSpPr>
          <a:spLocks noChangeShapeType="1"/>
        </xdr:cNvSpPr>
      </xdr:nvSpPr>
      <xdr:spPr bwMode="auto">
        <a:xfrm>
          <a:off x="876300" y="459232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298</xdr:row>
      <xdr:rowOff>114300</xdr:rowOff>
    </xdr:from>
    <xdr:to>
      <xdr:col>5</xdr:col>
      <xdr:colOff>927100</xdr:colOff>
      <xdr:row>298</xdr:row>
      <xdr:rowOff>114300</xdr:rowOff>
    </xdr:to>
    <xdr:sp macro="" textlink="">
      <xdr:nvSpPr>
        <xdr:cNvPr id="1177071" name="Line 51">
          <a:extLst>
            <a:ext uri="{FF2B5EF4-FFF2-40B4-BE49-F238E27FC236}">
              <a16:creationId xmlns:a16="http://schemas.microsoft.com/office/drawing/2014/main" id="{00000000-0008-0000-0600-0000EFF51100}"/>
            </a:ext>
          </a:extLst>
        </xdr:cNvPr>
        <xdr:cNvSpPr>
          <a:spLocks noChangeShapeType="1"/>
        </xdr:cNvSpPr>
      </xdr:nvSpPr>
      <xdr:spPr bwMode="auto">
        <a:xfrm>
          <a:off x="876300" y="46609000"/>
          <a:ext cx="4051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0</xdr:col>
      <xdr:colOff>152400</xdr:colOff>
      <xdr:row>295</xdr:row>
      <xdr:rowOff>12700</xdr:rowOff>
    </xdr:from>
    <xdr:ext cx="538566" cy="172355"/>
    <xdr:sp macro="" textlink="">
      <xdr:nvSpPr>
        <xdr:cNvPr id="8244" name="Text Box 52">
          <a:extLst>
            <a:ext uri="{FF2B5EF4-FFF2-40B4-BE49-F238E27FC236}">
              <a16:creationId xmlns:a16="http://schemas.microsoft.com/office/drawing/2014/main" id="{00000000-0008-0000-0600-000034200000}"/>
            </a:ext>
          </a:extLst>
        </xdr:cNvPr>
        <xdr:cNvSpPr txBox="1">
          <a:spLocks noChangeArrowheads="1"/>
        </xdr:cNvSpPr>
      </xdr:nvSpPr>
      <xdr:spPr bwMode="auto">
        <a:xfrm>
          <a:off x="152400" y="46050200"/>
          <a:ext cx="5385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TARGET</a:t>
          </a:r>
        </a:p>
      </xdr:txBody>
    </xdr:sp>
    <xdr:clientData/>
  </xdr:oneCellAnchor>
  <xdr:oneCellAnchor>
    <xdr:from>
      <xdr:col>1</xdr:col>
      <xdr:colOff>556778</xdr:colOff>
      <xdr:row>300</xdr:row>
      <xdr:rowOff>114300</xdr:rowOff>
    </xdr:from>
    <xdr:ext cx="550145" cy="172355"/>
    <xdr:sp macro="" textlink="">
      <xdr:nvSpPr>
        <xdr:cNvPr id="8245" name="Text Box 53">
          <a:extLst>
            <a:ext uri="{FF2B5EF4-FFF2-40B4-BE49-F238E27FC236}">
              <a16:creationId xmlns:a16="http://schemas.microsoft.com/office/drawing/2014/main" id="{00000000-0008-0000-0600-000035200000}"/>
            </a:ext>
          </a:extLst>
        </xdr:cNvPr>
        <xdr:cNvSpPr txBox="1">
          <a:spLocks noChangeArrowheads="1"/>
        </xdr:cNvSpPr>
      </xdr:nvSpPr>
      <xdr:spPr bwMode="auto">
        <a:xfrm>
          <a:off x="1433078" y="46913800"/>
          <a:ext cx="55014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CD_near</a:t>
          </a:r>
        </a:p>
      </xdr:txBody>
    </xdr:sp>
    <xdr:clientData/>
  </xdr:oneCellAnchor>
  <xdr:oneCellAnchor>
    <xdr:from>
      <xdr:col>5</xdr:col>
      <xdr:colOff>896034</xdr:colOff>
      <xdr:row>300</xdr:row>
      <xdr:rowOff>101600</xdr:rowOff>
    </xdr:from>
    <xdr:ext cx="443132" cy="172355"/>
    <xdr:sp macro="" textlink="">
      <xdr:nvSpPr>
        <xdr:cNvPr id="8246" name="Text Box 54">
          <a:extLst>
            <a:ext uri="{FF2B5EF4-FFF2-40B4-BE49-F238E27FC236}">
              <a16:creationId xmlns:a16="http://schemas.microsoft.com/office/drawing/2014/main" id="{00000000-0008-0000-0600-000036200000}"/>
            </a:ext>
          </a:extLst>
        </xdr:cNvPr>
        <xdr:cNvSpPr txBox="1">
          <a:spLocks noChangeArrowheads="1"/>
        </xdr:cNvSpPr>
      </xdr:nvSpPr>
      <xdr:spPr bwMode="auto">
        <a:xfrm>
          <a:off x="4921934" y="46901100"/>
          <a:ext cx="443132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CD_far</a:t>
          </a:r>
        </a:p>
      </xdr:txBody>
    </xdr:sp>
    <xdr:clientData/>
  </xdr:oneCellAnchor>
  <xdr:oneCellAnchor>
    <xdr:from>
      <xdr:col>1</xdr:col>
      <xdr:colOff>254000</xdr:colOff>
      <xdr:row>294</xdr:row>
      <xdr:rowOff>50800</xdr:rowOff>
    </xdr:from>
    <xdr:ext cx="108235" cy="172355"/>
    <xdr:sp macro="" textlink="">
      <xdr:nvSpPr>
        <xdr:cNvPr id="8247" name="Text Box 55">
          <a:extLst>
            <a:ext uri="{FF2B5EF4-FFF2-40B4-BE49-F238E27FC236}">
              <a16:creationId xmlns:a16="http://schemas.microsoft.com/office/drawing/2014/main" id="{00000000-0008-0000-0600-000037200000}"/>
            </a:ext>
          </a:extLst>
        </xdr:cNvPr>
        <xdr:cNvSpPr txBox="1">
          <a:spLocks noChangeArrowheads="1"/>
        </xdr:cNvSpPr>
      </xdr:nvSpPr>
      <xdr:spPr bwMode="auto">
        <a:xfrm>
          <a:off x="1130300" y="459359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3</xdr:col>
      <xdr:colOff>609600</xdr:colOff>
      <xdr:row>298</xdr:row>
      <xdr:rowOff>139700</xdr:rowOff>
    </xdr:from>
    <xdr:ext cx="108235" cy="172355"/>
    <xdr:sp macro="" textlink="">
      <xdr:nvSpPr>
        <xdr:cNvPr id="8248" name="Text Box 56">
          <a:extLst>
            <a:ext uri="{FF2B5EF4-FFF2-40B4-BE49-F238E27FC236}">
              <a16:creationId xmlns:a16="http://schemas.microsoft.com/office/drawing/2014/main" id="{00000000-0008-0000-0600-000038200000}"/>
            </a:ext>
          </a:extLst>
        </xdr:cNvPr>
        <xdr:cNvSpPr txBox="1">
          <a:spLocks noChangeArrowheads="1"/>
        </xdr:cNvSpPr>
      </xdr:nvSpPr>
      <xdr:spPr bwMode="auto">
        <a:xfrm>
          <a:off x="3187700" y="466344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0</xdr:col>
      <xdr:colOff>838200</xdr:colOff>
      <xdr:row>324</xdr:row>
      <xdr:rowOff>50800</xdr:rowOff>
    </xdr:from>
    <xdr:to>
      <xdr:col>1</xdr:col>
      <xdr:colOff>25400</xdr:colOff>
      <xdr:row>327</xdr:row>
      <xdr:rowOff>25400</xdr:rowOff>
    </xdr:to>
    <xdr:sp macro="" textlink="">
      <xdr:nvSpPr>
        <xdr:cNvPr id="1177077" name="Rectangle 57">
          <a:extLst>
            <a:ext uri="{FF2B5EF4-FFF2-40B4-BE49-F238E27FC236}">
              <a16:creationId xmlns:a16="http://schemas.microsoft.com/office/drawing/2014/main" id="{00000000-0008-0000-0600-0000F5F51100}"/>
            </a:ext>
          </a:extLst>
        </xdr:cNvPr>
        <xdr:cNvSpPr>
          <a:spLocks noChangeArrowheads="1"/>
        </xdr:cNvSpPr>
      </xdr:nvSpPr>
      <xdr:spPr bwMode="auto">
        <a:xfrm>
          <a:off x="838200" y="50571400"/>
          <a:ext cx="63500" cy="431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241300</xdr:colOff>
      <xdr:row>324</xdr:row>
      <xdr:rowOff>50800</xdr:rowOff>
    </xdr:from>
    <xdr:to>
      <xdr:col>3</xdr:col>
      <xdr:colOff>457200</xdr:colOff>
      <xdr:row>326</xdr:row>
      <xdr:rowOff>76200</xdr:rowOff>
    </xdr:to>
    <xdr:sp macro="" textlink="">
      <xdr:nvSpPr>
        <xdr:cNvPr id="1177078" name="Rectangle 59">
          <a:extLst>
            <a:ext uri="{FF2B5EF4-FFF2-40B4-BE49-F238E27FC236}">
              <a16:creationId xmlns:a16="http://schemas.microsoft.com/office/drawing/2014/main" id="{00000000-0008-0000-0600-0000F6F51100}"/>
            </a:ext>
          </a:extLst>
        </xdr:cNvPr>
        <xdr:cNvSpPr>
          <a:spLocks noChangeArrowheads="1"/>
        </xdr:cNvSpPr>
      </xdr:nvSpPr>
      <xdr:spPr bwMode="auto">
        <a:xfrm>
          <a:off x="2819400" y="50571400"/>
          <a:ext cx="215900" cy="330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25400</xdr:colOff>
      <xdr:row>325</xdr:row>
      <xdr:rowOff>0</xdr:rowOff>
    </xdr:from>
    <xdr:to>
      <xdr:col>3</xdr:col>
      <xdr:colOff>254000</xdr:colOff>
      <xdr:row>325</xdr:row>
      <xdr:rowOff>0</xdr:rowOff>
    </xdr:to>
    <xdr:sp macro="" textlink="">
      <xdr:nvSpPr>
        <xdr:cNvPr id="1177079" name="Line 62">
          <a:extLst>
            <a:ext uri="{FF2B5EF4-FFF2-40B4-BE49-F238E27FC236}">
              <a16:creationId xmlns:a16="http://schemas.microsoft.com/office/drawing/2014/main" id="{00000000-0008-0000-0600-0000F7F51100}"/>
            </a:ext>
          </a:extLst>
        </xdr:cNvPr>
        <xdr:cNvSpPr>
          <a:spLocks noChangeShapeType="1"/>
        </xdr:cNvSpPr>
      </xdr:nvSpPr>
      <xdr:spPr bwMode="auto">
        <a:xfrm>
          <a:off x="901700" y="50673000"/>
          <a:ext cx="193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0</xdr:col>
      <xdr:colOff>152400</xdr:colOff>
      <xdr:row>325</xdr:row>
      <xdr:rowOff>12700</xdr:rowOff>
    </xdr:from>
    <xdr:ext cx="538566" cy="172355"/>
    <xdr:sp macro="" textlink="">
      <xdr:nvSpPr>
        <xdr:cNvPr id="8256" name="Text Box 64">
          <a:extLst>
            <a:ext uri="{FF2B5EF4-FFF2-40B4-BE49-F238E27FC236}">
              <a16:creationId xmlns:a16="http://schemas.microsoft.com/office/drawing/2014/main" id="{00000000-0008-0000-0600-000040200000}"/>
            </a:ext>
          </a:extLst>
        </xdr:cNvPr>
        <xdr:cNvSpPr txBox="1">
          <a:spLocks noChangeArrowheads="1"/>
        </xdr:cNvSpPr>
      </xdr:nvSpPr>
      <xdr:spPr bwMode="auto">
        <a:xfrm>
          <a:off x="152400" y="50685700"/>
          <a:ext cx="5385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TARGET</a:t>
          </a:r>
        </a:p>
      </xdr:txBody>
    </xdr:sp>
    <xdr:clientData/>
  </xdr:oneCellAnchor>
  <xdr:oneCellAnchor>
    <xdr:from>
      <xdr:col>3</xdr:col>
      <xdr:colOff>177453</xdr:colOff>
      <xdr:row>326</xdr:row>
      <xdr:rowOff>127000</xdr:rowOff>
    </xdr:from>
    <xdr:ext cx="229294" cy="172355"/>
    <xdr:sp macro="" textlink="">
      <xdr:nvSpPr>
        <xdr:cNvPr id="8257" name="Text Box 65">
          <a:extLst>
            <a:ext uri="{FF2B5EF4-FFF2-40B4-BE49-F238E27FC236}">
              <a16:creationId xmlns:a16="http://schemas.microsoft.com/office/drawing/2014/main" id="{00000000-0008-0000-0600-000041200000}"/>
            </a:ext>
          </a:extLst>
        </xdr:cNvPr>
        <xdr:cNvSpPr txBox="1">
          <a:spLocks noChangeArrowheads="1"/>
        </xdr:cNvSpPr>
      </xdr:nvSpPr>
      <xdr:spPr bwMode="auto">
        <a:xfrm>
          <a:off x="2755553" y="50952400"/>
          <a:ext cx="229294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W1</a:t>
          </a:r>
        </a:p>
      </xdr:txBody>
    </xdr:sp>
    <xdr:clientData/>
  </xdr:oneCellAnchor>
  <xdr:oneCellAnchor>
    <xdr:from>
      <xdr:col>2</xdr:col>
      <xdr:colOff>25400</xdr:colOff>
      <xdr:row>325</xdr:row>
      <xdr:rowOff>38100</xdr:rowOff>
    </xdr:from>
    <xdr:ext cx="108235" cy="172355"/>
    <xdr:sp macro="" textlink="">
      <xdr:nvSpPr>
        <xdr:cNvPr id="8259" name="Text Box 67">
          <a:extLst>
            <a:ext uri="{FF2B5EF4-FFF2-40B4-BE49-F238E27FC236}">
              <a16:creationId xmlns:a16="http://schemas.microsoft.com/office/drawing/2014/main" id="{00000000-0008-0000-0600-000043200000}"/>
            </a:ext>
          </a:extLst>
        </xdr:cNvPr>
        <xdr:cNvSpPr txBox="1">
          <a:spLocks noChangeArrowheads="1"/>
        </xdr:cNvSpPr>
      </xdr:nvSpPr>
      <xdr:spPr bwMode="auto">
        <a:xfrm>
          <a:off x="1701800" y="507111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1</xdr:col>
      <xdr:colOff>0</xdr:colOff>
      <xdr:row>60</xdr:row>
      <xdr:rowOff>47625</xdr:rowOff>
    </xdr:from>
    <xdr:to>
      <xdr:col>6</xdr:col>
      <xdr:colOff>144623</xdr:colOff>
      <xdr:row>81</xdr:row>
      <xdr:rowOff>63046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pSpPr/>
      </xdr:nvGrpSpPr>
      <xdr:grpSpPr>
        <a:xfrm>
          <a:off x="762000" y="10715625"/>
          <a:ext cx="3687923" cy="3444421"/>
          <a:chOff x="4423950" y="1666185"/>
          <a:chExt cx="3687923" cy="3444421"/>
        </a:xfrm>
      </xdr:grpSpPr>
      <xdr:sp macro="" textlink="">
        <xdr:nvSpPr>
          <xdr:cNvPr id="62" name="Oval 61"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>
            <a:spLocks noChangeAspect="1"/>
          </xdr:cNvSpPr>
        </xdr:nvSpPr>
        <xdr:spPr bwMode="auto">
          <a:xfrm>
            <a:off x="4423950" y="1666185"/>
            <a:ext cx="3444421" cy="3444421"/>
          </a:xfrm>
          <a:prstGeom prst="ellipse">
            <a:avLst/>
          </a:prstGeom>
          <a:solidFill>
            <a:srgbClr val="92D05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 xmlns="" xmlns:lc="http://schemas.openxmlformats.org/drawingml/2006/lockedCanvas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ot="0" spcFirstLastPara="0" vert="horz" wrap="square" lIns="18288" tIns="0" rIns="0" bIns="0" numCol="1" spcCol="0" rtlCol="0" fromWordArt="0" anchor="t" anchorCtr="0" forceAA="0" upright="1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GB" sz="1100"/>
          </a:p>
        </xdr:txBody>
      </xdr:sp>
      <xdr:sp macro="" textlink="">
        <xdr:nvSpPr>
          <xdr:cNvPr id="63" name="Oval 62"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>
            <a:spLocks noChangeAspect="1"/>
          </xdr:cNvSpPr>
        </xdr:nvSpPr>
        <xdr:spPr bwMode="auto">
          <a:xfrm>
            <a:off x="4853093" y="2115586"/>
            <a:ext cx="2541097" cy="2541097"/>
          </a:xfrm>
          <a:prstGeom prst="ellipse">
            <a:avLst/>
          </a:prstGeom>
          <a:solidFill>
            <a:srgbClr val="FF5D5D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 xmlns="" xmlns:lc="http://schemas.openxmlformats.org/drawingml/2006/lockedCanvas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ot="0" spcFirstLastPara="0" vert="horz" wrap="square" lIns="18288" tIns="0" rIns="0" bIns="0" numCol="1" spcCol="0" rtlCol="0" fromWordArt="0" anchor="t" anchorCtr="0" forceAA="0" upright="1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GB" sz="1100"/>
          </a:p>
        </xdr:txBody>
      </xdr:sp>
      <xdr:sp macro="" textlink="">
        <xdr:nvSpPr>
          <xdr:cNvPr id="64" name="Oval 63"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>
            <a:spLocks noChangeAspect="1"/>
          </xdr:cNvSpPr>
        </xdr:nvSpPr>
        <xdr:spPr bwMode="auto">
          <a:xfrm>
            <a:off x="5226449" y="2470248"/>
            <a:ext cx="1811137" cy="1811137"/>
          </a:xfrm>
          <a:prstGeom prst="ellipse">
            <a:avLst/>
          </a:prstGeom>
          <a:solidFill>
            <a:srgbClr val="92D05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 xmlns="" xmlns:lc="http://schemas.openxmlformats.org/drawingml/2006/lockedCanvas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ot="0" spcFirstLastPara="0" vert="horz" wrap="square" lIns="18288" tIns="0" rIns="0" bIns="0" numCol="1" spcCol="0" rtlCol="0" fromWordArt="0" anchor="t" anchorCtr="0" forceAA="0" upright="1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GB" sz="1100"/>
          </a:p>
        </xdr:txBody>
      </xdr:sp>
      <xdr:sp macro="" textlink="">
        <xdr:nvSpPr>
          <xdr:cNvPr id="65" name="Oval 64"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>
            <a:spLocks noChangeAspect="1"/>
          </xdr:cNvSpPr>
        </xdr:nvSpPr>
        <xdr:spPr bwMode="auto">
          <a:xfrm>
            <a:off x="5468602" y="2725405"/>
            <a:ext cx="1310080" cy="1310080"/>
          </a:xfrm>
          <a:prstGeom prst="ellipse">
            <a:avLst/>
          </a:prstGeom>
          <a:solidFill>
            <a:srgbClr val="FF5D5D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 xmlns="" xmlns:lc="http://schemas.openxmlformats.org/drawingml/2006/lockedCanvas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ot="0" spcFirstLastPara="0" vert="horz" wrap="square" lIns="18288" tIns="0" rIns="0" bIns="0" numCol="1" spcCol="0" rtlCol="0" fromWordArt="0" anchor="t" anchorCtr="0" forceAA="0" upright="1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GB" sz="1100"/>
          </a:p>
        </xdr:txBody>
      </xdr:sp>
      <xdr:sp macro="" textlink="">
        <xdr:nvSpPr>
          <xdr:cNvPr id="66" name="Oval 65"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>
            <a:spLocks noChangeAspect="1"/>
          </xdr:cNvSpPr>
        </xdr:nvSpPr>
        <xdr:spPr bwMode="auto">
          <a:xfrm>
            <a:off x="5672132" y="2928935"/>
            <a:ext cx="914400" cy="914400"/>
          </a:xfrm>
          <a:prstGeom prst="ellipse">
            <a:avLst/>
          </a:prstGeom>
          <a:solidFill>
            <a:schemeClr val="bg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 xmlns="" xmlns:lc="http://schemas.openxmlformats.org/drawingml/2006/lockedCanvas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ot="0" spcFirstLastPara="0" vert="horz" wrap="square" lIns="18288" tIns="0" rIns="0" bIns="0" numCol="1" spcCol="0" rtlCol="0" fromWordArt="0" anchor="t" anchorCtr="0" forceAA="0" upright="1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GB" sz="1100"/>
          </a:p>
        </xdr:txBody>
      </xdr:sp>
      <xdr:sp macro="" textlink="">
        <xdr:nvSpPr>
          <xdr:cNvPr id="67" name="TextBox 11"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SpPr txBox="1"/>
        </xdr:nvSpPr>
        <xdr:spPr>
          <a:xfrm>
            <a:off x="6052599" y="3225963"/>
            <a:ext cx="588623" cy="2802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chemeClr val="accent1">
                    <a:lumMod val="50000"/>
                  </a:schemeClr>
                </a:solidFill>
              </a:rPr>
              <a:t>10mm</a:t>
            </a:r>
          </a:p>
        </xdr:txBody>
      </xdr:sp>
      <xdr:cxnSp macro="">
        <xdr:nvCxnSpPr>
          <xdr:cNvPr id="68" name="Straight Arrow Connector 67">
            <a:extLst>
              <a:ext uri="{FF2B5EF4-FFF2-40B4-BE49-F238E27FC236}">
                <a16:creationId xmlns:a16="http://schemas.microsoft.com/office/drawing/2014/main" id="{00000000-0008-0000-0600-000044000000}"/>
              </a:ext>
            </a:extLst>
          </xdr:cNvPr>
          <xdr:cNvCxnSpPr>
            <a:stCxn id="67" idx="1"/>
            <a:endCxn id="66" idx="7"/>
          </xdr:cNvCxnSpPr>
        </xdr:nvCxnSpPr>
        <xdr:spPr>
          <a:xfrm flipV="1">
            <a:off x="6052599" y="3062846"/>
            <a:ext cx="400022" cy="303220"/>
          </a:xfrm>
          <a:prstGeom prst="straightConnector1">
            <a:avLst/>
          </a:prstGeom>
          <a:ln>
            <a:solidFill>
              <a:schemeClr val="accent1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Arrow Connector 68"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CxnSpPr>
            <a:stCxn id="70" idx="1"/>
            <a:endCxn id="67" idx="1"/>
          </xdr:cNvCxnSpPr>
        </xdr:nvCxnSpPr>
        <xdr:spPr>
          <a:xfrm flipV="1">
            <a:off x="4666000" y="3366066"/>
            <a:ext cx="1386599" cy="882577"/>
          </a:xfrm>
          <a:prstGeom prst="straightConnector1">
            <a:avLst/>
          </a:prstGeom>
          <a:ln>
            <a:solidFill>
              <a:schemeClr val="accent1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TextBox 16">
            <a:extLst>
              <a:ext uri="{FF2B5EF4-FFF2-40B4-BE49-F238E27FC236}">
                <a16:creationId xmlns:a16="http://schemas.microsoft.com/office/drawing/2014/main" id="{00000000-0008-0000-0600-000046000000}"/>
              </a:ext>
            </a:extLst>
          </xdr:cNvPr>
          <xdr:cNvSpPr txBox="1"/>
        </xdr:nvSpPr>
        <xdr:spPr>
          <a:xfrm>
            <a:off x="4666000" y="4110143"/>
            <a:ext cx="588623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chemeClr val="accent1">
                    <a:lumMod val="50000"/>
                  </a:schemeClr>
                </a:solidFill>
              </a:rPr>
              <a:t>35mm</a:t>
            </a:r>
          </a:p>
        </xdr:txBody>
      </xdr:sp>
      <xdr:sp macro="" textlink="">
        <xdr:nvSpPr>
          <xdr:cNvPr id="71" name="Oval 70">
            <a:extLst>
              <a:ext uri="{FF2B5EF4-FFF2-40B4-BE49-F238E27FC236}">
                <a16:creationId xmlns:a16="http://schemas.microsoft.com/office/drawing/2014/main" id="{00000000-0008-0000-0600-000047000000}"/>
              </a:ext>
            </a:extLst>
          </xdr:cNvPr>
          <xdr:cNvSpPr/>
        </xdr:nvSpPr>
        <xdr:spPr>
          <a:xfrm>
            <a:off x="5331142" y="3343993"/>
            <a:ext cx="45719" cy="5219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72" name="Oval 71">
            <a:extLst>
              <a:ext uri="{FF2B5EF4-FFF2-40B4-BE49-F238E27FC236}">
                <a16:creationId xmlns:a16="http://schemas.microsoft.com/office/drawing/2014/main" id="{00000000-0008-0000-0600-000048000000}"/>
              </a:ext>
            </a:extLst>
          </xdr:cNvPr>
          <xdr:cNvSpPr/>
        </xdr:nvSpPr>
        <xdr:spPr>
          <a:xfrm>
            <a:off x="4615224" y="3336203"/>
            <a:ext cx="45719" cy="52193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73" name="Straight Arrow Connector 72">
            <a:extLst>
              <a:ext uri="{FF2B5EF4-FFF2-40B4-BE49-F238E27FC236}">
                <a16:creationId xmlns:a16="http://schemas.microsoft.com/office/drawing/2014/main" id="{00000000-0008-0000-0600-000049000000}"/>
              </a:ext>
            </a:extLst>
          </xdr:cNvPr>
          <xdr:cNvCxnSpPr>
            <a:stCxn id="72" idx="6"/>
            <a:endCxn id="71" idx="2"/>
          </xdr:cNvCxnSpPr>
        </xdr:nvCxnSpPr>
        <xdr:spPr>
          <a:xfrm>
            <a:off x="4660943" y="3362300"/>
            <a:ext cx="670199" cy="7790"/>
          </a:xfrm>
          <a:prstGeom prst="straightConnector1">
            <a:avLst/>
          </a:prstGeom>
          <a:ln>
            <a:solidFill>
              <a:schemeClr val="accent1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" name="TextBox 25">
            <a:extLst>
              <a:ext uri="{FF2B5EF4-FFF2-40B4-BE49-F238E27FC236}">
                <a16:creationId xmlns:a16="http://schemas.microsoft.com/office/drawing/2014/main" id="{00000000-0008-0000-0600-00004A000000}"/>
              </a:ext>
            </a:extLst>
          </xdr:cNvPr>
          <xdr:cNvSpPr txBox="1"/>
        </xdr:nvSpPr>
        <xdr:spPr>
          <a:xfrm>
            <a:off x="4656053" y="3379221"/>
            <a:ext cx="784189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chemeClr val="accent1">
                    <a:lumMod val="50000"/>
                  </a:schemeClr>
                </a:solidFill>
              </a:rPr>
              <a:t>0.491mm</a:t>
            </a:r>
          </a:p>
        </xdr:txBody>
      </xdr:sp>
      <xdr:cxnSp macro="">
        <xdr:nvCxnSpPr>
          <xdr:cNvPr id="75" name="Straight Arrow Connector 74">
            <a:extLst>
              <a:ext uri="{FF2B5EF4-FFF2-40B4-BE49-F238E27FC236}">
                <a16:creationId xmlns:a16="http://schemas.microsoft.com/office/drawing/2014/main" id="{00000000-0008-0000-0600-00004B000000}"/>
              </a:ext>
            </a:extLst>
          </xdr:cNvPr>
          <xdr:cNvCxnSpPr/>
        </xdr:nvCxnSpPr>
        <xdr:spPr>
          <a:xfrm>
            <a:off x="5060842" y="2707851"/>
            <a:ext cx="311685" cy="171822"/>
          </a:xfrm>
          <a:prstGeom prst="straightConnector1">
            <a:avLst/>
          </a:prstGeom>
          <a:ln>
            <a:solidFill>
              <a:schemeClr val="accent1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" name="TextBox 29">
            <a:extLst>
              <a:ext uri="{FF2B5EF4-FFF2-40B4-BE49-F238E27FC236}">
                <a16:creationId xmlns:a16="http://schemas.microsoft.com/office/drawing/2014/main" id="{00000000-0008-0000-0600-00004C000000}"/>
              </a:ext>
            </a:extLst>
          </xdr:cNvPr>
          <xdr:cNvSpPr txBox="1"/>
        </xdr:nvSpPr>
        <xdr:spPr>
          <a:xfrm>
            <a:off x="5058979" y="2480565"/>
            <a:ext cx="63350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chemeClr val="accent1">
                    <a:lumMod val="50000"/>
                  </a:schemeClr>
                </a:solidFill>
              </a:rPr>
              <a:t>0.1mm</a:t>
            </a:r>
          </a:p>
        </xdr:txBody>
      </xdr:sp>
      <xdr:cxnSp macro="">
        <xdr:nvCxnSpPr>
          <xdr:cNvPr id="77" name="Straight Arrow Connector 76">
            <a:extLst>
              <a:ext uri="{FF2B5EF4-FFF2-40B4-BE49-F238E27FC236}">
                <a16:creationId xmlns:a16="http://schemas.microsoft.com/office/drawing/2014/main" id="{00000000-0008-0000-0600-00004D000000}"/>
              </a:ext>
            </a:extLst>
          </xdr:cNvPr>
          <xdr:cNvCxnSpPr>
            <a:stCxn id="63" idx="6"/>
            <a:endCxn id="62" idx="6"/>
          </xdr:cNvCxnSpPr>
        </xdr:nvCxnSpPr>
        <xdr:spPr>
          <a:xfrm>
            <a:off x="7394190" y="3386135"/>
            <a:ext cx="474181" cy="2261"/>
          </a:xfrm>
          <a:prstGeom prst="straightConnector1">
            <a:avLst/>
          </a:prstGeom>
          <a:ln>
            <a:solidFill>
              <a:schemeClr val="accent1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" name="TextBox 34">
            <a:extLst>
              <a:ext uri="{FF2B5EF4-FFF2-40B4-BE49-F238E27FC236}">
                <a16:creationId xmlns:a16="http://schemas.microsoft.com/office/drawing/2014/main" id="{00000000-0008-0000-0600-00004E000000}"/>
              </a:ext>
            </a:extLst>
          </xdr:cNvPr>
          <xdr:cNvSpPr txBox="1"/>
        </xdr:nvSpPr>
        <xdr:spPr>
          <a:xfrm>
            <a:off x="7321272" y="3396186"/>
            <a:ext cx="790601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chemeClr val="accent1">
                    <a:lumMod val="50000"/>
                  </a:schemeClr>
                </a:solidFill>
              </a:rPr>
              <a:t>0.391mm</a:t>
            </a:r>
          </a:p>
        </xdr:txBody>
      </xdr:sp>
    </xdr:grpSp>
    <xdr:clientData/>
  </xdr:twoCellAnchor>
  <xdr:twoCellAnchor>
    <xdr:from>
      <xdr:col>3</xdr:col>
      <xdr:colOff>214004</xdr:colOff>
      <xdr:row>66</xdr:row>
      <xdr:rowOff>135499</xdr:rowOff>
    </xdr:from>
    <xdr:to>
      <xdr:col>3</xdr:col>
      <xdr:colOff>219686</xdr:colOff>
      <xdr:row>68</xdr:row>
      <xdr:rowOff>14066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>
          <a:stCxn id="66" idx="0"/>
          <a:endCxn id="65" idx="0"/>
        </xdr:cNvCxnSpPr>
      </xdr:nvCxnSpPr>
      <xdr:spPr>
        <a:xfrm flipH="1" flipV="1">
          <a:off x="2459183" y="11810428"/>
          <a:ext cx="5682" cy="205138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185057</xdr:colOff>
      <xdr:row>66</xdr:row>
      <xdr:rowOff>114299</xdr:rowOff>
    </xdr:from>
    <xdr:to>
      <xdr:col>4</xdr:col>
      <xdr:colOff>375777</xdr:colOff>
      <xdr:row>68</xdr:row>
      <xdr:rowOff>66916</xdr:rowOff>
    </xdr:to>
    <xdr:sp macro="" textlink="">
      <xdr:nvSpPr>
        <xdr:cNvPr id="82" name="TextBox 34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2432957" y="11715749"/>
          <a:ext cx="790795" cy="27646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solidFill>
                <a:schemeClr val="accent1">
                  <a:lumMod val="50000"/>
                </a:schemeClr>
              </a:solidFill>
            </a:rPr>
            <a:t>1mm</a:t>
          </a:r>
        </a:p>
      </xdr:txBody>
    </xdr:sp>
    <xdr:clientData/>
  </xdr:twoCellAnchor>
  <xdr:twoCellAnchor>
    <xdr:from>
      <xdr:col>49</xdr:col>
      <xdr:colOff>171449</xdr:colOff>
      <xdr:row>1</xdr:row>
      <xdr:rowOff>47624</xdr:rowOff>
    </xdr:from>
    <xdr:to>
      <xdr:col>57</xdr:col>
      <xdr:colOff>190499</xdr:colOff>
      <xdr:row>22</xdr:row>
      <xdr:rowOff>276224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812800</xdr:colOff>
      <xdr:row>17</xdr:row>
      <xdr:rowOff>50800</xdr:rowOff>
    </xdr:from>
    <xdr:to>
      <xdr:col>2</xdr:col>
      <xdr:colOff>25400</xdr:colOff>
      <xdr:row>20</xdr:row>
      <xdr:rowOff>25400</xdr:rowOff>
    </xdr:to>
    <xdr:sp macro="" textlink="">
      <xdr:nvSpPr>
        <xdr:cNvPr id="1098216" name="Rectangle 1">
          <a:extLst>
            <a:ext uri="{FF2B5EF4-FFF2-40B4-BE49-F238E27FC236}">
              <a16:creationId xmlns:a16="http://schemas.microsoft.com/office/drawing/2014/main" id="{00000000-0008-0000-0900-0000E8C11000}"/>
            </a:ext>
          </a:extLst>
        </xdr:cNvPr>
        <xdr:cNvSpPr>
          <a:spLocks noChangeArrowheads="1"/>
        </xdr:cNvSpPr>
      </xdr:nvSpPr>
      <xdr:spPr bwMode="auto">
        <a:xfrm>
          <a:off x="1346200" y="2870200"/>
          <a:ext cx="25400" cy="431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15</xdr:row>
      <xdr:rowOff>114300</xdr:rowOff>
    </xdr:from>
    <xdr:to>
      <xdr:col>7</xdr:col>
      <xdr:colOff>228600</xdr:colOff>
      <xdr:row>17</xdr:row>
      <xdr:rowOff>63500</xdr:rowOff>
    </xdr:to>
    <xdr:sp macro="" textlink="">
      <xdr:nvSpPr>
        <xdr:cNvPr id="1098217" name="Rectangle 2">
          <a:extLst>
            <a:ext uri="{FF2B5EF4-FFF2-40B4-BE49-F238E27FC236}">
              <a16:creationId xmlns:a16="http://schemas.microsoft.com/office/drawing/2014/main" id="{00000000-0008-0000-0900-0000E9C11000}"/>
            </a:ext>
          </a:extLst>
        </xdr:cNvPr>
        <xdr:cNvSpPr>
          <a:spLocks noChangeArrowheads="1"/>
        </xdr:cNvSpPr>
      </xdr:nvSpPr>
      <xdr:spPr bwMode="auto">
        <a:xfrm>
          <a:off x="5194300" y="2476500"/>
          <a:ext cx="228600" cy="406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749300</xdr:colOff>
      <xdr:row>15</xdr:row>
      <xdr:rowOff>114300</xdr:rowOff>
    </xdr:from>
    <xdr:to>
      <xdr:col>3</xdr:col>
      <xdr:colOff>203200</xdr:colOff>
      <xdr:row>17</xdr:row>
      <xdr:rowOff>76200</xdr:rowOff>
    </xdr:to>
    <xdr:sp macro="" textlink="">
      <xdr:nvSpPr>
        <xdr:cNvPr id="1098218" name="Rectangle 3">
          <a:extLst>
            <a:ext uri="{FF2B5EF4-FFF2-40B4-BE49-F238E27FC236}">
              <a16:creationId xmlns:a16="http://schemas.microsoft.com/office/drawing/2014/main" id="{00000000-0008-0000-0900-0000EAC11000}"/>
            </a:ext>
          </a:extLst>
        </xdr:cNvPr>
        <xdr:cNvSpPr>
          <a:spLocks noChangeArrowheads="1"/>
        </xdr:cNvSpPr>
      </xdr:nvSpPr>
      <xdr:spPr bwMode="auto">
        <a:xfrm>
          <a:off x="2019300" y="2476500"/>
          <a:ext cx="203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749300</xdr:colOff>
      <xdr:row>20</xdr:row>
      <xdr:rowOff>12700</xdr:rowOff>
    </xdr:from>
    <xdr:to>
      <xdr:col>3</xdr:col>
      <xdr:colOff>190500</xdr:colOff>
      <xdr:row>23</xdr:row>
      <xdr:rowOff>88900</xdr:rowOff>
    </xdr:to>
    <xdr:sp macro="" textlink="">
      <xdr:nvSpPr>
        <xdr:cNvPr id="1098219" name="Rectangle 4">
          <a:extLst>
            <a:ext uri="{FF2B5EF4-FFF2-40B4-BE49-F238E27FC236}">
              <a16:creationId xmlns:a16="http://schemas.microsoft.com/office/drawing/2014/main" id="{00000000-0008-0000-0900-0000EBC11000}"/>
            </a:ext>
          </a:extLst>
        </xdr:cNvPr>
        <xdr:cNvSpPr>
          <a:spLocks noChangeArrowheads="1"/>
        </xdr:cNvSpPr>
      </xdr:nvSpPr>
      <xdr:spPr bwMode="auto">
        <a:xfrm>
          <a:off x="2019300" y="3289300"/>
          <a:ext cx="1905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20</xdr:row>
      <xdr:rowOff>0</xdr:rowOff>
    </xdr:from>
    <xdr:to>
      <xdr:col>7</xdr:col>
      <xdr:colOff>241300</xdr:colOff>
      <xdr:row>23</xdr:row>
      <xdr:rowOff>76200</xdr:rowOff>
    </xdr:to>
    <xdr:sp macro="" textlink="">
      <xdr:nvSpPr>
        <xdr:cNvPr id="1098220" name="Rectangle 5">
          <a:extLst>
            <a:ext uri="{FF2B5EF4-FFF2-40B4-BE49-F238E27FC236}">
              <a16:creationId xmlns:a16="http://schemas.microsoft.com/office/drawing/2014/main" id="{00000000-0008-0000-0900-0000ECC11000}"/>
            </a:ext>
          </a:extLst>
        </xdr:cNvPr>
        <xdr:cNvSpPr>
          <a:spLocks noChangeArrowheads="1"/>
        </xdr:cNvSpPr>
      </xdr:nvSpPr>
      <xdr:spPr bwMode="auto">
        <a:xfrm>
          <a:off x="5207000" y="3276600"/>
          <a:ext cx="2286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17</xdr:row>
      <xdr:rowOff>38100</xdr:rowOff>
    </xdr:from>
    <xdr:to>
      <xdr:col>2</xdr:col>
      <xdr:colOff>673100</xdr:colOff>
      <xdr:row>17</xdr:row>
      <xdr:rowOff>38100</xdr:rowOff>
    </xdr:to>
    <xdr:sp macro="" textlink="">
      <xdr:nvSpPr>
        <xdr:cNvPr id="1098221" name="Line 6">
          <a:extLst>
            <a:ext uri="{FF2B5EF4-FFF2-40B4-BE49-F238E27FC236}">
              <a16:creationId xmlns:a16="http://schemas.microsoft.com/office/drawing/2014/main" id="{00000000-0008-0000-0900-0000EDC11000}"/>
            </a:ext>
          </a:extLst>
        </xdr:cNvPr>
        <xdr:cNvSpPr>
          <a:spLocks noChangeShapeType="1"/>
        </xdr:cNvSpPr>
      </xdr:nvSpPr>
      <xdr:spPr bwMode="auto">
        <a:xfrm>
          <a:off x="1346200" y="2857500"/>
          <a:ext cx="67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6</xdr:col>
      <xdr:colOff>889000</xdr:colOff>
      <xdr:row>21</xdr:row>
      <xdr:rowOff>114300</xdr:rowOff>
    </xdr:to>
    <xdr:sp macro="" textlink="">
      <xdr:nvSpPr>
        <xdr:cNvPr id="1098222" name="Line 7">
          <a:extLst>
            <a:ext uri="{FF2B5EF4-FFF2-40B4-BE49-F238E27FC236}">
              <a16:creationId xmlns:a16="http://schemas.microsoft.com/office/drawing/2014/main" id="{00000000-0008-0000-0900-0000EEC11000}"/>
            </a:ext>
          </a:extLst>
        </xdr:cNvPr>
        <xdr:cNvSpPr>
          <a:spLocks noChangeShapeType="1"/>
        </xdr:cNvSpPr>
      </xdr:nvSpPr>
      <xdr:spPr bwMode="auto">
        <a:xfrm>
          <a:off x="1346200" y="3543300"/>
          <a:ext cx="384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152400</xdr:colOff>
      <xdr:row>18</xdr:row>
      <xdr:rowOff>12700</xdr:rowOff>
    </xdr:from>
    <xdr:ext cx="538566" cy="172355"/>
    <xdr:sp macro="" textlink="">
      <xdr:nvSpPr>
        <xdr:cNvPr id="11272" name="Text Box 8">
          <a:extLst>
            <a:ext uri="{FF2B5EF4-FFF2-40B4-BE49-F238E27FC236}">
              <a16:creationId xmlns:a16="http://schemas.microsoft.com/office/drawing/2014/main" id="{00000000-0008-0000-0900-0000082C0000}"/>
            </a:ext>
          </a:extLst>
        </xdr:cNvPr>
        <xdr:cNvSpPr txBox="1">
          <a:spLocks noChangeArrowheads="1"/>
        </xdr:cNvSpPr>
      </xdr:nvSpPr>
      <xdr:spPr bwMode="auto">
        <a:xfrm>
          <a:off x="825500" y="2984500"/>
          <a:ext cx="5385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TARGET</a:t>
          </a:r>
        </a:p>
      </xdr:txBody>
    </xdr:sp>
    <xdr:clientData/>
  </xdr:oneCellAnchor>
  <xdr:oneCellAnchor>
    <xdr:from>
      <xdr:col>2</xdr:col>
      <xdr:colOff>545561</xdr:colOff>
      <xdr:row>23</xdr:row>
      <xdr:rowOff>114300</xdr:rowOff>
    </xdr:from>
    <xdr:ext cx="521779" cy="172355"/>
    <xdr:sp macro="" textlink="">
      <xdr:nvSpPr>
        <xdr:cNvPr id="11273" name="Text Box 9">
          <a:extLst>
            <a:ext uri="{FF2B5EF4-FFF2-40B4-BE49-F238E27FC236}">
              <a16:creationId xmlns:a16="http://schemas.microsoft.com/office/drawing/2014/main" id="{00000000-0008-0000-0900-0000092C0000}"/>
            </a:ext>
          </a:extLst>
        </xdr:cNvPr>
        <xdr:cNvSpPr txBox="1">
          <a:spLocks noChangeArrowheads="1"/>
        </xdr:cNvSpPr>
      </xdr:nvSpPr>
      <xdr:spPr bwMode="auto">
        <a:xfrm>
          <a:off x="1891761" y="3848100"/>
          <a:ext cx="521779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S2_near</a:t>
          </a:r>
        </a:p>
      </xdr:txBody>
    </xdr:sp>
    <xdr:clientData/>
  </xdr:oneCellAnchor>
  <xdr:oneCellAnchor>
    <xdr:from>
      <xdr:col>6</xdr:col>
      <xdr:colOff>668917</xdr:colOff>
      <xdr:row>23</xdr:row>
      <xdr:rowOff>101600</xdr:rowOff>
    </xdr:from>
    <xdr:ext cx="414766" cy="172355"/>
    <xdr:sp macro="" textlink="">
      <xdr:nvSpPr>
        <xdr:cNvPr id="11274" name="Text Box 10">
          <a:extLst>
            <a:ext uri="{FF2B5EF4-FFF2-40B4-BE49-F238E27FC236}">
              <a16:creationId xmlns:a16="http://schemas.microsoft.com/office/drawing/2014/main" id="{00000000-0008-0000-0900-00000A2C0000}"/>
            </a:ext>
          </a:extLst>
        </xdr:cNvPr>
        <xdr:cNvSpPr txBox="1">
          <a:spLocks noChangeArrowheads="1"/>
        </xdr:cNvSpPr>
      </xdr:nvSpPr>
      <xdr:spPr bwMode="auto">
        <a:xfrm>
          <a:off x="5190117" y="3835400"/>
          <a:ext cx="4147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S2_far</a:t>
          </a:r>
        </a:p>
      </xdr:txBody>
    </xdr:sp>
    <xdr:clientData/>
  </xdr:oneCellAnchor>
  <xdr:oneCellAnchor>
    <xdr:from>
      <xdr:col>2</xdr:col>
      <xdr:colOff>241300</xdr:colOff>
      <xdr:row>17</xdr:row>
      <xdr:rowOff>50800</xdr:rowOff>
    </xdr:from>
    <xdr:ext cx="108235" cy="172355"/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00000000-0008-0000-0900-00000B2C0000}"/>
            </a:ext>
          </a:extLst>
        </xdr:cNvPr>
        <xdr:cNvSpPr txBox="1">
          <a:spLocks noChangeArrowheads="1"/>
        </xdr:cNvSpPr>
      </xdr:nvSpPr>
      <xdr:spPr bwMode="auto">
        <a:xfrm>
          <a:off x="1587500" y="28702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4</xdr:col>
      <xdr:colOff>609600</xdr:colOff>
      <xdr:row>21</xdr:row>
      <xdr:rowOff>139700</xdr:rowOff>
    </xdr:from>
    <xdr:ext cx="108235" cy="172355"/>
    <xdr:sp macro="" textlink="">
      <xdr:nvSpPr>
        <xdr:cNvPr id="11276" name="Text Box 12">
          <a:extLst>
            <a:ext uri="{FF2B5EF4-FFF2-40B4-BE49-F238E27FC236}">
              <a16:creationId xmlns:a16="http://schemas.microsoft.com/office/drawing/2014/main" id="{00000000-0008-0000-0900-00000C2C0000}"/>
            </a:ext>
          </a:extLst>
        </xdr:cNvPr>
        <xdr:cNvSpPr txBox="1">
          <a:spLocks noChangeArrowheads="1"/>
        </xdr:cNvSpPr>
      </xdr:nvSpPr>
      <xdr:spPr bwMode="auto">
        <a:xfrm>
          <a:off x="3429000" y="35687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11</xdr:col>
      <xdr:colOff>0</xdr:colOff>
      <xdr:row>65</xdr:row>
      <xdr:rowOff>25400</xdr:rowOff>
    </xdr:from>
    <xdr:to>
      <xdr:col>27</xdr:col>
      <xdr:colOff>38100</xdr:colOff>
      <xdr:row>111</xdr:row>
      <xdr:rowOff>50800</xdr:rowOff>
    </xdr:to>
    <xdr:graphicFrame macro="">
      <xdr:nvGraphicFramePr>
        <xdr:cNvPr id="1098228" name="Chart 13">
          <a:extLst>
            <a:ext uri="{FF2B5EF4-FFF2-40B4-BE49-F238E27FC236}">
              <a16:creationId xmlns:a16="http://schemas.microsoft.com/office/drawing/2014/main" id="{00000000-0008-0000-0900-0000F4C1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812800</xdr:colOff>
      <xdr:row>121</xdr:row>
      <xdr:rowOff>101600</xdr:rowOff>
    </xdr:from>
    <xdr:to>
      <xdr:col>2</xdr:col>
      <xdr:colOff>25400</xdr:colOff>
      <xdr:row>124</xdr:row>
      <xdr:rowOff>38100</xdr:rowOff>
    </xdr:to>
    <xdr:sp macro="" textlink="">
      <xdr:nvSpPr>
        <xdr:cNvPr id="1098229" name="Rectangle 14">
          <a:extLst>
            <a:ext uri="{FF2B5EF4-FFF2-40B4-BE49-F238E27FC236}">
              <a16:creationId xmlns:a16="http://schemas.microsoft.com/office/drawing/2014/main" id="{00000000-0008-0000-0900-0000F5C11000}"/>
            </a:ext>
          </a:extLst>
        </xdr:cNvPr>
        <xdr:cNvSpPr>
          <a:spLocks noChangeArrowheads="1"/>
        </xdr:cNvSpPr>
      </xdr:nvSpPr>
      <xdr:spPr bwMode="auto">
        <a:xfrm>
          <a:off x="1346200" y="19011900"/>
          <a:ext cx="25400" cy="393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749300</xdr:colOff>
      <xdr:row>124</xdr:row>
      <xdr:rowOff>12700</xdr:rowOff>
    </xdr:from>
    <xdr:to>
      <xdr:col>3</xdr:col>
      <xdr:colOff>139700</xdr:colOff>
      <xdr:row>126</xdr:row>
      <xdr:rowOff>127000</xdr:rowOff>
    </xdr:to>
    <xdr:sp macro="" textlink="">
      <xdr:nvSpPr>
        <xdr:cNvPr id="1098230" name="Rectangle 15">
          <a:extLst>
            <a:ext uri="{FF2B5EF4-FFF2-40B4-BE49-F238E27FC236}">
              <a16:creationId xmlns:a16="http://schemas.microsoft.com/office/drawing/2014/main" id="{00000000-0008-0000-0900-0000F6C11000}"/>
            </a:ext>
          </a:extLst>
        </xdr:cNvPr>
        <xdr:cNvSpPr>
          <a:spLocks noChangeArrowheads="1"/>
        </xdr:cNvSpPr>
      </xdr:nvSpPr>
      <xdr:spPr bwMode="auto">
        <a:xfrm>
          <a:off x="2019300" y="19380200"/>
          <a:ext cx="1397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124</xdr:row>
      <xdr:rowOff>12700</xdr:rowOff>
    </xdr:from>
    <xdr:to>
      <xdr:col>7</xdr:col>
      <xdr:colOff>190500</xdr:colOff>
      <xdr:row>126</xdr:row>
      <xdr:rowOff>127000</xdr:rowOff>
    </xdr:to>
    <xdr:sp macro="" textlink="">
      <xdr:nvSpPr>
        <xdr:cNvPr id="1098231" name="Rectangle 16">
          <a:extLst>
            <a:ext uri="{FF2B5EF4-FFF2-40B4-BE49-F238E27FC236}">
              <a16:creationId xmlns:a16="http://schemas.microsoft.com/office/drawing/2014/main" id="{00000000-0008-0000-0900-0000F7C11000}"/>
            </a:ext>
          </a:extLst>
        </xdr:cNvPr>
        <xdr:cNvSpPr>
          <a:spLocks noChangeArrowheads="1"/>
        </xdr:cNvSpPr>
      </xdr:nvSpPr>
      <xdr:spPr bwMode="auto">
        <a:xfrm>
          <a:off x="5207000" y="19380200"/>
          <a:ext cx="1778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118</xdr:row>
      <xdr:rowOff>381000</xdr:rowOff>
    </xdr:from>
    <xdr:to>
      <xdr:col>7</xdr:col>
      <xdr:colOff>177800</xdr:colOff>
      <xdr:row>121</xdr:row>
      <xdr:rowOff>63500</xdr:rowOff>
    </xdr:to>
    <xdr:sp macro="" textlink="">
      <xdr:nvSpPr>
        <xdr:cNvPr id="1098232" name="Rectangle 17">
          <a:extLst>
            <a:ext uri="{FF2B5EF4-FFF2-40B4-BE49-F238E27FC236}">
              <a16:creationId xmlns:a16="http://schemas.microsoft.com/office/drawing/2014/main" id="{00000000-0008-0000-0900-0000F8C11000}"/>
            </a:ext>
          </a:extLst>
        </xdr:cNvPr>
        <xdr:cNvSpPr>
          <a:spLocks noChangeArrowheads="1"/>
        </xdr:cNvSpPr>
      </xdr:nvSpPr>
      <xdr:spPr bwMode="auto">
        <a:xfrm>
          <a:off x="5194300" y="18605500"/>
          <a:ext cx="177800" cy="368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749300</xdr:colOff>
      <xdr:row>118</xdr:row>
      <xdr:rowOff>381000</xdr:rowOff>
    </xdr:from>
    <xdr:to>
      <xdr:col>3</xdr:col>
      <xdr:colOff>152400</xdr:colOff>
      <xdr:row>121</xdr:row>
      <xdr:rowOff>63500</xdr:rowOff>
    </xdr:to>
    <xdr:sp macro="" textlink="">
      <xdr:nvSpPr>
        <xdr:cNvPr id="1098233" name="Rectangle 18">
          <a:extLst>
            <a:ext uri="{FF2B5EF4-FFF2-40B4-BE49-F238E27FC236}">
              <a16:creationId xmlns:a16="http://schemas.microsoft.com/office/drawing/2014/main" id="{00000000-0008-0000-0900-0000F9C11000}"/>
            </a:ext>
          </a:extLst>
        </xdr:cNvPr>
        <xdr:cNvSpPr>
          <a:spLocks noChangeArrowheads="1"/>
        </xdr:cNvSpPr>
      </xdr:nvSpPr>
      <xdr:spPr bwMode="auto">
        <a:xfrm>
          <a:off x="2019300" y="18605500"/>
          <a:ext cx="152400" cy="368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673100</xdr:colOff>
      <xdr:row>121</xdr:row>
      <xdr:rowOff>0</xdr:rowOff>
    </xdr:to>
    <xdr:sp macro="" textlink="">
      <xdr:nvSpPr>
        <xdr:cNvPr id="1098234" name="Line 19">
          <a:extLst>
            <a:ext uri="{FF2B5EF4-FFF2-40B4-BE49-F238E27FC236}">
              <a16:creationId xmlns:a16="http://schemas.microsoft.com/office/drawing/2014/main" id="{00000000-0008-0000-0900-0000FAC11000}"/>
            </a:ext>
          </a:extLst>
        </xdr:cNvPr>
        <xdr:cNvSpPr>
          <a:spLocks noChangeShapeType="1"/>
        </xdr:cNvSpPr>
      </xdr:nvSpPr>
      <xdr:spPr bwMode="auto">
        <a:xfrm>
          <a:off x="1346200" y="18910300"/>
          <a:ext cx="67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124</xdr:row>
      <xdr:rowOff>114300</xdr:rowOff>
    </xdr:from>
    <xdr:to>
      <xdr:col>6</xdr:col>
      <xdr:colOff>889000</xdr:colOff>
      <xdr:row>124</xdr:row>
      <xdr:rowOff>114300</xdr:rowOff>
    </xdr:to>
    <xdr:sp macro="" textlink="">
      <xdr:nvSpPr>
        <xdr:cNvPr id="1098235" name="Line 20">
          <a:extLst>
            <a:ext uri="{FF2B5EF4-FFF2-40B4-BE49-F238E27FC236}">
              <a16:creationId xmlns:a16="http://schemas.microsoft.com/office/drawing/2014/main" id="{00000000-0008-0000-0900-0000FBC11000}"/>
            </a:ext>
          </a:extLst>
        </xdr:cNvPr>
        <xdr:cNvSpPr>
          <a:spLocks noChangeShapeType="1"/>
        </xdr:cNvSpPr>
      </xdr:nvSpPr>
      <xdr:spPr bwMode="auto">
        <a:xfrm>
          <a:off x="1346200" y="19481800"/>
          <a:ext cx="384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190500</xdr:colOff>
      <xdr:row>122</xdr:row>
      <xdr:rowOff>50800</xdr:rowOff>
    </xdr:from>
    <xdr:ext cx="538566" cy="172355"/>
    <xdr:sp macro="" textlink="">
      <xdr:nvSpPr>
        <xdr:cNvPr id="11285" name="Text Box 21">
          <a:extLst>
            <a:ext uri="{FF2B5EF4-FFF2-40B4-BE49-F238E27FC236}">
              <a16:creationId xmlns:a16="http://schemas.microsoft.com/office/drawing/2014/main" id="{00000000-0008-0000-0900-0000152C0000}"/>
            </a:ext>
          </a:extLst>
        </xdr:cNvPr>
        <xdr:cNvSpPr txBox="1">
          <a:spLocks noChangeArrowheads="1"/>
        </xdr:cNvSpPr>
      </xdr:nvSpPr>
      <xdr:spPr bwMode="auto">
        <a:xfrm>
          <a:off x="863600" y="19113500"/>
          <a:ext cx="5385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TARGET</a:t>
          </a:r>
        </a:p>
      </xdr:txBody>
    </xdr:sp>
    <xdr:clientData/>
  </xdr:oneCellAnchor>
  <xdr:oneCellAnchor>
    <xdr:from>
      <xdr:col>2</xdr:col>
      <xdr:colOff>545388</xdr:colOff>
      <xdr:row>127</xdr:row>
      <xdr:rowOff>12700</xdr:rowOff>
    </xdr:from>
    <xdr:ext cx="699925" cy="172355"/>
    <xdr:sp macro="" textlink="">
      <xdr:nvSpPr>
        <xdr:cNvPr id="11286" name="Text Box 22">
          <a:extLst>
            <a:ext uri="{FF2B5EF4-FFF2-40B4-BE49-F238E27FC236}">
              <a16:creationId xmlns:a16="http://schemas.microsoft.com/office/drawing/2014/main" id="{00000000-0008-0000-0900-0000162C0000}"/>
            </a:ext>
          </a:extLst>
        </xdr:cNvPr>
        <xdr:cNvSpPr txBox="1">
          <a:spLocks noChangeArrowheads="1"/>
        </xdr:cNvSpPr>
      </xdr:nvSpPr>
      <xdr:spPr bwMode="auto">
        <a:xfrm>
          <a:off x="1891588" y="19837400"/>
          <a:ext cx="69992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LEDA_near</a:t>
          </a:r>
        </a:p>
      </xdr:txBody>
    </xdr:sp>
    <xdr:clientData/>
  </xdr:oneCellAnchor>
  <xdr:oneCellAnchor>
    <xdr:from>
      <xdr:col>6</xdr:col>
      <xdr:colOff>567144</xdr:colOff>
      <xdr:row>127</xdr:row>
      <xdr:rowOff>12700</xdr:rowOff>
    </xdr:from>
    <xdr:ext cx="592912" cy="172355"/>
    <xdr:sp macro="" textlink="">
      <xdr:nvSpPr>
        <xdr:cNvPr id="11287" name="Text Box 23">
          <a:extLst>
            <a:ext uri="{FF2B5EF4-FFF2-40B4-BE49-F238E27FC236}">
              <a16:creationId xmlns:a16="http://schemas.microsoft.com/office/drawing/2014/main" id="{00000000-0008-0000-0900-0000172C0000}"/>
            </a:ext>
          </a:extLst>
        </xdr:cNvPr>
        <xdr:cNvSpPr txBox="1">
          <a:spLocks noChangeArrowheads="1"/>
        </xdr:cNvSpPr>
      </xdr:nvSpPr>
      <xdr:spPr bwMode="auto">
        <a:xfrm>
          <a:off x="5088344" y="19837400"/>
          <a:ext cx="592912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LEDA_far</a:t>
          </a:r>
        </a:p>
      </xdr:txBody>
    </xdr:sp>
    <xdr:clientData/>
  </xdr:oneCellAnchor>
  <xdr:oneCellAnchor>
    <xdr:from>
      <xdr:col>2</xdr:col>
      <xdr:colOff>241300</xdr:colOff>
      <xdr:row>121</xdr:row>
      <xdr:rowOff>38100</xdr:rowOff>
    </xdr:from>
    <xdr:ext cx="108235" cy="172355"/>
    <xdr:sp macro="" textlink="">
      <xdr:nvSpPr>
        <xdr:cNvPr id="11288" name="Text Box 24">
          <a:extLst>
            <a:ext uri="{FF2B5EF4-FFF2-40B4-BE49-F238E27FC236}">
              <a16:creationId xmlns:a16="http://schemas.microsoft.com/office/drawing/2014/main" id="{00000000-0008-0000-0900-0000182C0000}"/>
            </a:ext>
          </a:extLst>
        </xdr:cNvPr>
        <xdr:cNvSpPr txBox="1">
          <a:spLocks noChangeArrowheads="1"/>
        </xdr:cNvSpPr>
      </xdr:nvSpPr>
      <xdr:spPr bwMode="auto">
        <a:xfrm>
          <a:off x="1587500" y="189484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4</xdr:col>
      <xdr:colOff>609600</xdr:colOff>
      <xdr:row>124</xdr:row>
      <xdr:rowOff>139700</xdr:rowOff>
    </xdr:from>
    <xdr:ext cx="108235" cy="172355"/>
    <xdr:sp macro="" textlink="">
      <xdr:nvSpPr>
        <xdr:cNvPr id="11289" name="Text Box 25">
          <a:extLst>
            <a:ext uri="{FF2B5EF4-FFF2-40B4-BE49-F238E27FC236}">
              <a16:creationId xmlns:a16="http://schemas.microsoft.com/office/drawing/2014/main" id="{00000000-0008-0000-0900-0000192C0000}"/>
            </a:ext>
          </a:extLst>
        </xdr:cNvPr>
        <xdr:cNvSpPr txBox="1">
          <a:spLocks noChangeArrowheads="1"/>
        </xdr:cNvSpPr>
      </xdr:nvSpPr>
      <xdr:spPr bwMode="auto">
        <a:xfrm>
          <a:off x="3429000" y="195072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11</xdr:col>
      <xdr:colOff>0</xdr:colOff>
      <xdr:row>136</xdr:row>
      <xdr:rowOff>0</xdr:rowOff>
    </xdr:from>
    <xdr:to>
      <xdr:col>27</xdr:col>
      <xdr:colOff>50800</xdr:colOff>
      <xdr:row>181</xdr:row>
      <xdr:rowOff>101600</xdr:rowOff>
    </xdr:to>
    <xdr:graphicFrame macro="">
      <xdr:nvGraphicFramePr>
        <xdr:cNvPr id="1098241" name="Chart 26">
          <a:extLst>
            <a:ext uri="{FF2B5EF4-FFF2-40B4-BE49-F238E27FC236}">
              <a16:creationId xmlns:a16="http://schemas.microsoft.com/office/drawing/2014/main" id="{00000000-0008-0000-0900-000001C2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812800</xdr:colOff>
      <xdr:row>192</xdr:row>
      <xdr:rowOff>50800</xdr:rowOff>
    </xdr:from>
    <xdr:to>
      <xdr:col>2</xdr:col>
      <xdr:colOff>25400</xdr:colOff>
      <xdr:row>195</xdr:row>
      <xdr:rowOff>25400</xdr:rowOff>
    </xdr:to>
    <xdr:sp macro="" textlink="">
      <xdr:nvSpPr>
        <xdr:cNvPr id="1098242" name="Rectangle 27">
          <a:extLst>
            <a:ext uri="{FF2B5EF4-FFF2-40B4-BE49-F238E27FC236}">
              <a16:creationId xmlns:a16="http://schemas.microsoft.com/office/drawing/2014/main" id="{00000000-0008-0000-0900-000002C21000}"/>
            </a:ext>
          </a:extLst>
        </xdr:cNvPr>
        <xdr:cNvSpPr>
          <a:spLocks noChangeArrowheads="1"/>
        </xdr:cNvSpPr>
      </xdr:nvSpPr>
      <xdr:spPr bwMode="auto">
        <a:xfrm>
          <a:off x="1346200" y="30022800"/>
          <a:ext cx="25400" cy="431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190</xdr:row>
      <xdr:rowOff>152400</xdr:rowOff>
    </xdr:from>
    <xdr:to>
      <xdr:col>7</xdr:col>
      <xdr:colOff>228600</xdr:colOff>
      <xdr:row>192</xdr:row>
      <xdr:rowOff>63500</xdr:rowOff>
    </xdr:to>
    <xdr:sp macro="" textlink="">
      <xdr:nvSpPr>
        <xdr:cNvPr id="1098243" name="Rectangle 28">
          <a:extLst>
            <a:ext uri="{FF2B5EF4-FFF2-40B4-BE49-F238E27FC236}">
              <a16:creationId xmlns:a16="http://schemas.microsoft.com/office/drawing/2014/main" id="{00000000-0008-0000-0900-000003C21000}"/>
            </a:ext>
          </a:extLst>
        </xdr:cNvPr>
        <xdr:cNvSpPr>
          <a:spLocks noChangeArrowheads="1"/>
        </xdr:cNvSpPr>
      </xdr:nvSpPr>
      <xdr:spPr bwMode="auto">
        <a:xfrm>
          <a:off x="5194300" y="29667200"/>
          <a:ext cx="228600" cy="368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749300</xdr:colOff>
      <xdr:row>190</xdr:row>
      <xdr:rowOff>152400</xdr:rowOff>
    </xdr:from>
    <xdr:to>
      <xdr:col>3</xdr:col>
      <xdr:colOff>203200</xdr:colOff>
      <xdr:row>192</xdr:row>
      <xdr:rowOff>76200</xdr:rowOff>
    </xdr:to>
    <xdr:sp macro="" textlink="">
      <xdr:nvSpPr>
        <xdr:cNvPr id="1098244" name="Rectangle 29">
          <a:extLst>
            <a:ext uri="{FF2B5EF4-FFF2-40B4-BE49-F238E27FC236}">
              <a16:creationId xmlns:a16="http://schemas.microsoft.com/office/drawing/2014/main" id="{00000000-0008-0000-0900-000004C21000}"/>
            </a:ext>
          </a:extLst>
        </xdr:cNvPr>
        <xdr:cNvSpPr>
          <a:spLocks noChangeArrowheads="1"/>
        </xdr:cNvSpPr>
      </xdr:nvSpPr>
      <xdr:spPr bwMode="auto">
        <a:xfrm>
          <a:off x="2019300" y="29667200"/>
          <a:ext cx="2032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749300</xdr:colOff>
      <xdr:row>195</xdr:row>
      <xdr:rowOff>12700</xdr:rowOff>
    </xdr:from>
    <xdr:to>
      <xdr:col>3</xdr:col>
      <xdr:colOff>190500</xdr:colOff>
      <xdr:row>198</xdr:row>
      <xdr:rowOff>88900</xdr:rowOff>
    </xdr:to>
    <xdr:sp macro="" textlink="">
      <xdr:nvSpPr>
        <xdr:cNvPr id="1098245" name="Rectangle 30">
          <a:extLst>
            <a:ext uri="{FF2B5EF4-FFF2-40B4-BE49-F238E27FC236}">
              <a16:creationId xmlns:a16="http://schemas.microsoft.com/office/drawing/2014/main" id="{00000000-0008-0000-0900-000005C21000}"/>
            </a:ext>
          </a:extLst>
        </xdr:cNvPr>
        <xdr:cNvSpPr>
          <a:spLocks noChangeArrowheads="1"/>
        </xdr:cNvSpPr>
      </xdr:nvSpPr>
      <xdr:spPr bwMode="auto">
        <a:xfrm>
          <a:off x="2019300" y="30441900"/>
          <a:ext cx="1905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195</xdr:row>
      <xdr:rowOff>0</xdr:rowOff>
    </xdr:from>
    <xdr:to>
      <xdr:col>7</xdr:col>
      <xdr:colOff>241300</xdr:colOff>
      <xdr:row>198</xdr:row>
      <xdr:rowOff>76200</xdr:rowOff>
    </xdr:to>
    <xdr:sp macro="" textlink="">
      <xdr:nvSpPr>
        <xdr:cNvPr id="1098246" name="Rectangle 31">
          <a:extLst>
            <a:ext uri="{FF2B5EF4-FFF2-40B4-BE49-F238E27FC236}">
              <a16:creationId xmlns:a16="http://schemas.microsoft.com/office/drawing/2014/main" id="{00000000-0008-0000-0900-000006C21000}"/>
            </a:ext>
          </a:extLst>
        </xdr:cNvPr>
        <xdr:cNvSpPr>
          <a:spLocks noChangeArrowheads="1"/>
        </xdr:cNvSpPr>
      </xdr:nvSpPr>
      <xdr:spPr bwMode="auto">
        <a:xfrm>
          <a:off x="5207000" y="30429200"/>
          <a:ext cx="2286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192</xdr:row>
      <xdr:rowOff>38100</xdr:rowOff>
    </xdr:from>
    <xdr:to>
      <xdr:col>2</xdr:col>
      <xdr:colOff>673100</xdr:colOff>
      <xdr:row>192</xdr:row>
      <xdr:rowOff>38100</xdr:rowOff>
    </xdr:to>
    <xdr:sp macro="" textlink="">
      <xdr:nvSpPr>
        <xdr:cNvPr id="1098247" name="Line 32">
          <a:extLst>
            <a:ext uri="{FF2B5EF4-FFF2-40B4-BE49-F238E27FC236}">
              <a16:creationId xmlns:a16="http://schemas.microsoft.com/office/drawing/2014/main" id="{00000000-0008-0000-0900-000007C21000}"/>
            </a:ext>
          </a:extLst>
        </xdr:cNvPr>
        <xdr:cNvSpPr>
          <a:spLocks noChangeShapeType="1"/>
        </xdr:cNvSpPr>
      </xdr:nvSpPr>
      <xdr:spPr bwMode="auto">
        <a:xfrm>
          <a:off x="1346200" y="30010100"/>
          <a:ext cx="67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196</xdr:row>
      <xdr:rowOff>114300</xdr:rowOff>
    </xdr:from>
    <xdr:to>
      <xdr:col>6</xdr:col>
      <xdr:colOff>889000</xdr:colOff>
      <xdr:row>196</xdr:row>
      <xdr:rowOff>114300</xdr:rowOff>
    </xdr:to>
    <xdr:sp macro="" textlink="">
      <xdr:nvSpPr>
        <xdr:cNvPr id="1098248" name="Line 33">
          <a:extLst>
            <a:ext uri="{FF2B5EF4-FFF2-40B4-BE49-F238E27FC236}">
              <a16:creationId xmlns:a16="http://schemas.microsoft.com/office/drawing/2014/main" id="{00000000-0008-0000-0900-000008C21000}"/>
            </a:ext>
          </a:extLst>
        </xdr:cNvPr>
        <xdr:cNvSpPr>
          <a:spLocks noChangeShapeType="1"/>
        </xdr:cNvSpPr>
      </xdr:nvSpPr>
      <xdr:spPr bwMode="auto">
        <a:xfrm>
          <a:off x="1346200" y="30695900"/>
          <a:ext cx="384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152400</xdr:colOff>
      <xdr:row>193</xdr:row>
      <xdr:rowOff>12700</xdr:rowOff>
    </xdr:from>
    <xdr:ext cx="538566" cy="172355"/>
    <xdr:sp macro="" textlink="">
      <xdr:nvSpPr>
        <xdr:cNvPr id="11298" name="Text Box 34">
          <a:extLst>
            <a:ext uri="{FF2B5EF4-FFF2-40B4-BE49-F238E27FC236}">
              <a16:creationId xmlns:a16="http://schemas.microsoft.com/office/drawing/2014/main" id="{00000000-0008-0000-0900-0000222C0000}"/>
            </a:ext>
          </a:extLst>
        </xdr:cNvPr>
        <xdr:cNvSpPr txBox="1">
          <a:spLocks noChangeArrowheads="1"/>
        </xdr:cNvSpPr>
      </xdr:nvSpPr>
      <xdr:spPr bwMode="auto">
        <a:xfrm>
          <a:off x="825500" y="30137100"/>
          <a:ext cx="538566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TARGET</a:t>
          </a:r>
        </a:p>
      </xdr:txBody>
    </xdr:sp>
    <xdr:clientData/>
  </xdr:oneCellAnchor>
  <xdr:oneCellAnchor>
    <xdr:from>
      <xdr:col>2</xdr:col>
      <xdr:colOff>544078</xdr:colOff>
      <xdr:row>198</xdr:row>
      <xdr:rowOff>114300</xdr:rowOff>
    </xdr:from>
    <xdr:ext cx="550145" cy="172355"/>
    <xdr:sp macro="" textlink="">
      <xdr:nvSpPr>
        <xdr:cNvPr id="11299" name="Text Box 35">
          <a:extLst>
            <a:ext uri="{FF2B5EF4-FFF2-40B4-BE49-F238E27FC236}">
              <a16:creationId xmlns:a16="http://schemas.microsoft.com/office/drawing/2014/main" id="{00000000-0008-0000-0900-0000232C0000}"/>
            </a:ext>
          </a:extLst>
        </xdr:cNvPr>
        <xdr:cNvSpPr txBox="1">
          <a:spLocks noChangeArrowheads="1"/>
        </xdr:cNvSpPr>
      </xdr:nvSpPr>
      <xdr:spPr bwMode="auto">
        <a:xfrm>
          <a:off x="1890278" y="31000700"/>
          <a:ext cx="55014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CD_near</a:t>
          </a:r>
        </a:p>
      </xdr:txBody>
    </xdr:sp>
    <xdr:clientData/>
  </xdr:oneCellAnchor>
  <xdr:oneCellAnchor>
    <xdr:from>
      <xdr:col>6</xdr:col>
      <xdr:colOff>667434</xdr:colOff>
      <xdr:row>198</xdr:row>
      <xdr:rowOff>101600</xdr:rowOff>
    </xdr:from>
    <xdr:ext cx="443132" cy="172355"/>
    <xdr:sp macro="" textlink="">
      <xdr:nvSpPr>
        <xdr:cNvPr id="11300" name="Text Box 36">
          <a:extLst>
            <a:ext uri="{FF2B5EF4-FFF2-40B4-BE49-F238E27FC236}">
              <a16:creationId xmlns:a16="http://schemas.microsoft.com/office/drawing/2014/main" id="{00000000-0008-0000-0900-0000242C0000}"/>
            </a:ext>
          </a:extLst>
        </xdr:cNvPr>
        <xdr:cNvSpPr txBox="1">
          <a:spLocks noChangeArrowheads="1"/>
        </xdr:cNvSpPr>
      </xdr:nvSpPr>
      <xdr:spPr bwMode="auto">
        <a:xfrm>
          <a:off x="5188634" y="30988000"/>
          <a:ext cx="443132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CD_far</a:t>
          </a:r>
        </a:p>
      </xdr:txBody>
    </xdr:sp>
    <xdr:clientData/>
  </xdr:oneCellAnchor>
  <xdr:oneCellAnchor>
    <xdr:from>
      <xdr:col>2</xdr:col>
      <xdr:colOff>241300</xdr:colOff>
      <xdr:row>192</xdr:row>
      <xdr:rowOff>50800</xdr:rowOff>
    </xdr:from>
    <xdr:ext cx="108235" cy="172355"/>
    <xdr:sp macro="" textlink="">
      <xdr:nvSpPr>
        <xdr:cNvPr id="11301" name="Text Box 37">
          <a:extLst>
            <a:ext uri="{FF2B5EF4-FFF2-40B4-BE49-F238E27FC236}">
              <a16:creationId xmlns:a16="http://schemas.microsoft.com/office/drawing/2014/main" id="{00000000-0008-0000-0900-0000252C0000}"/>
            </a:ext>
          </a:extLst>
        </xdr:cNvPr>
        <xdr:cNvSpPr txBox="1">
          <a:spLocks noChangeArrowheads="1"/>
        </xdr:cNvSpPr>
      </xdr:nvSpPr>
      <xdr:spPr bwMode="auto">
        <a:xfrm>
          <a:off x="1587500" y="300228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4</xdr:col>
      <xdr:colOff>609600</xdr:colOff>
      <xdr:row>196</xdr:row>
      <xdr:rowOff>139700</xdr:rowOff>
    </xdr:from>
    <xdr:ext cx="108235" cy="172355"/>
    <xdr:sp macro="" textlink="">
      <xdr:nvSpPr>
        <xdr:cNvPr id="11302" name="Text Box 38">
          <a:extLst>
            <a:ext uri="{FF2B5EF4-FFF2-40B4-BE49-F238E27FC236}">
              <a16:creationId xmlns:a16="http://schemas.microsoft.com/office/drawing/2014/main" id="{00000000-0008-0000-0900-0000262C0000}"/>
            </a:ext>
          </a:extLst>
        </xdr:cNvPr>
        <xdr:cNvSpPr txBox="1">
          <a:spLocks noChangeArrowheads="1"/>
        </xdr:cNvSpPr>
      </xdr:nvSpPr>
      <xdr:spPr bwMode="auto">
        <a:xfrm>
          <a:off x="3429000" y="30721300"/>
          <a:ext cx="108235" cy="17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11</xdr:col>
      <xdr:colOff>0</xdr:colOff>
      <xdr:row>208</xdr:row>
      <xdr:rowOff>0</xdr:rowOff>
    </xdr:from>
    <xdr:to>
      <xdr:col>27</xdr:col>
      <xdr:colOff>50800</xdr:colOff>
      <xdr:row>254</xdr:row>
      <xdr:rowOff>38100</xdr:rowOff>
    </xdr:to>
    <xdr:graphicFrame macro="">
      <xdr:nvGraphicFramePr>
        <xdr:cNvPr id="1098254" name="Chart 39">
          <a:extLst>
            <a:ext uri="{FF2B5EF4-FFF2-40B4-BE49-F238E27FC236}">
              <a16:creationId xmlns:a16="http://schemas.microsoft.com/office/drawing/2014/main" id="{00000000-0008-0000-0900-00000EC2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1587500</xdr:colOff>
      <xdr:row>1</xdr:row>
      <xdr:rowOff>76200</xdr:rowOff>
    </xdr:from>
    <xdr:to>
      <xdr:col>1</xdr:col>
      <xdr:colOff>482600</xdr:colOff>
      <xdr:row>1</xdr:row>
      <xdr:rowOff>76200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00000000-0008-0000-0A00-000083080000}"/>
            </a:ext>
          </a:extLst>
        </xdr:cNvPr>
        <xdr:cNvSpPr>
          <a:spLocks noChangeShapeType="1"/>
        </xdr:cNvSpPr>
      </xdr:nvSpPr>
      <xdr:spPr bwMode="auto">
        <a:xfrm>
          <a:off x="1587500" y="22860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114300</xdr:colOff>
      <xdr:row>16</xdr:row>
      <xdr:rowOff>12700</xdr:rowOff>
    </xdr:from>
    <xdr:to>
      <xdr:col>14</xdr:col>
      <xdr:colOff>368300</xdr:colOff>
      <xdr:row>52</xdr:row>
      <xdr:rowOff>76200</xdr:rowOff>
    </xdr:to>
    <xdr:graphicFrame macro="">
      <xdr:nvGraphicFramePr>
        <xdr:cNvPr id="2180" name="Chart 2">
          <a:extLst>
            <a:ext uri="{FF2B5EF4-FFF2-40B4-BE49-F238E27FC236}">
              <a16:creationId xmlns:a16="http://schemas.microsoft.com/office/drawing/2014/main" id="{00000000-0008-0000-0A00-00008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203200</xdr:colOff>
      <xdr:row>16</xdr:row>
      <xdr:rowOff>0</xdr:rowOff>
    </xdr:from>
    <xdr:to>
      <xdr:col>17</xdr:col>
      <xdr:colOff>584200</xdr:colOff>
      <xdr:row>25</xdr:row>
      <xdr:rowOff>101600</xdr:rowOff>
    </xdr:to>
    <xdr:sp macro="" textlink="">
      <xdr:nvSpPr>
        <xdr:cNvPr id="10501" name="Rectangle 1">
          <a:extLst>
            <a:ext uri="{FF2B5EF4-FFF2-40B4-BE49-F238E27FC236}">
              <a16:creationId xmlns:a16="http://schemas.microsoft.com/office/drawing/2014/main" id="{00000000-0008-0000-0B00-000005290000}"/>
            </a:ext>
          </a:extLst>
        </xdr:cNvPr>
        <xdr:cNvSpPr>
          <a:spLocks noChangeArrowheads="1"/>
        </xdr:cNvSpPr>
      </xdr:nvSpPr>
      <xdr:spPr bwMode="auto">
        <a:xfrm>
          <a:off x="11074400" y="2590800"/>
          <a:ext cx="2120900" cy="147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12</xdr:col>
      <xdr:colOff>0</xdr:colOff>
      <xdr:row>32</xdr:row>
      <xdr:rowOff>101600</xdr:rowOff>
    </xdr:to>
    <xdr:graphicFrame macro="">
      <xdr:nvGraphicFramePr>
        <xdr:cNvPr id="10502" name="Chart 2">
          <a:extLst>
            <a:ext uri="{FF2B5EF4-FFF2-40B4-BE49-F238E27FC236}">
              <a16:creationId xmlns:a16="http://schemas.microsoft.com/office/drawing/2014/main" id="{00000000-0008-0000-0B00-000006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11</xdr:col>
      <xdr:colOff>660400</xdr:colOff>
      <xdr:row>65</xdr:row>
      <xdr:rowOff>101600</xdr:rowOff>
    </xdr:to>
    <xdr:graphicFrame macro="">
      <xdr:nvGraphicFramePr>
        <xdr:cNvPr id="10503" name="Chart 3">
          <a:extLst>
            <a:ext uri="{FF2B5EF4-FFF2-40B4-BE49-F238E27FC236}">
              <a16:creationId xmlns:a16="http://schemas.microsoft.com/office/drawing/2014/main" id="{00000000-0008-0000-0B00-000007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254000</xdr:colOff>
      <xdr:row>16</xdr:row>
      <xdr:rowOff>50800</xdr:rowOff>
    </xdr:from>
    <xdr:to>
      <xdr:col>17</xdr:col>
      <xdr:colOff>533400</xdr:colOff>
      <xdr:row>25</xdr:row>
      <xdr:rowOff>50800</xdr:rowOff>
    </xdr:to>
    <xdr:pic>
      <xdr:nvPicPr>
        <xdr:cNvPr id="10504" name="Picture 4">
          <a:extLst>
            <a:ext uri="{FF2B5EF4-FFF2-40B4-BE49-F238E27FC236}">
              <a16:creationId xmlns:a16="http://schemas.microsoft.com/office/drawing/2014/main" id="{00000000-0008-0000-0B00-00000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641600"/>
          <a:ext cx="2019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Beryllium in  H- C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topLeftCell="A2" workbookViewId="0">
      <selection activeCell="V22" sqref="V22"/>
    </sheetView>
  </sheetViews>
  <sheetFormatPr defaultColWidth="8.85546875" defaultRowHeight="12.75" x14ac:dyDescent="0.2"/>
  <sheetData/>
  <phoneticPr fontId="6" type="noConversion"/>
  <pageMargins left="0.75" right="0.75" top="1" bottom="1" header="0.5" footer="0.5"/>
  <pageSetup paperSize="9" orientation="portrait" horizontalDpi="4294967293" verticalDpi="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7"/>
  <sheetViews>
    <sheetView topLeftCell="K1" workbookViewId="0">
      <selection activeCell="BB17" sqref="BB17"/>
    </sheetView>
  </sheetViews>
  <sheetFormatPr defaultColWidth="8.85546875" defaultRowHeight="12.75" x14ac:dyDescent="0.2"/>
  <cols>
    <col min="4" max="4" width="10.42578125" customWidth="1"/>
    <col min="5" max="5" width="13.42578125" customWidth="1"/>
    <col min="17" max="17" width="12.42578125" customWidth="1"/>
    <col min="18" max="18" width="12.28515625" customWidth="1"/>
    <col min="19" max="21" width="13.42578125" customWidth="1"/>
    <col min="22" max="22" width="7.7109375" customWidth="1"/>
    <col min="23" max="23" width="7.140625" customWidth="1"/>
    <col min="24" max="24" width="13.42578125" customWidth="1"/>
    <col min="25" max="25" width="11.140625" customWidth="1"/>
    <col min="26" max="26" width="12.42578125" customWidth="1"/>
    <col min="27" max="27" width="11.140625" customWidth="1"/>
    <col min="33" max="33" width="14.85546875" customWidth="1"/>
    <col min="34" max="34" width="15.42578125" customWidth="1"/>
    <col min="36" max="36" width="5" customWidth="1"/>
    <col min="43" max="43" width="11.7109375" customWidth="1"/>
    <col min="44" max="45" width="12.85546875" customWidth="1"/>
    <col min="46" max="46" width="13.140625" customWidth="1"/>
    <col min="47" max="47" width="12.28515625" customWidth="1"/>
    <col min="50" max="50" width="11.7109375" customWidth="1"/>
    <col min="56" max="56" width="14.42578125" customWidth="1"/>
    <col min="57" max="57" width="15" customWidth="1"/>
  </cols>
  <sheetData>
    <row r="1" spans="1:58" x14ac:dyDescent="0.2">
      <c r="A1" s="59"/>
    </row>
    <row r="2" spans="1:58" x14ac:dyDescent="0.2">
      <c r="A2" s="13"/>
    </row>
    <row r="3" spans="1:58" x14ac:dyDescent="0.2">
      <c r="A3" s="59"/>
      <c r="H3" s="1" t="s">
        <v>1571</v>
      </c>
    </row>
    <row r="4" spans="1:58" ht="15.75" x14ac:dyDescent="0.3">
      <c r="A4" s="13"/>
      <c r="H4" t="s">
        <v>1659</v>
      </c>
      <c r="L4">
        <f ca="1">IF(Reaction!D34&gt;Reaction!D36,(Reaction!H31*Reaction!H34*(F5/J8))/((Reaction!H31+Reaction!H32)*(Reaction!H34+Reaction!H36)),(Reaction!H31*Reaction!H36*(F5/J8))/((Reaction!H31+Reaction!H32)*(Reaction!H34+Reaction!H36)))</f>
        <v>3.3212093289811132E-2</v>
      </c>
    </row>
    <row r="5" spans="1:58" ht="15.75" x14ac:dyDescent="0.3">
      <c r="A5" s="51"/>
      <c r="C5" s="266"/>
      <c r="E5" s="295" t="s">
        <v>313</v>
      </c>
      <c r="F5">
        <f>Reaction!C24</f>
        <v>3</v>
      </c>
      <c r="H5" t="s">
        <v>1572</v>
      </c>
      <c r="L5">
        <f ca="1">IF(Reaction!D34&gt;Reaction!D36,(Reaction!H31*Reaction!H36*(F5/J8))/((Reaction!H31+Reaction!H32)*(Reaction!H36+Reaction!H34)),(Reaction!H31*Reaction!H34*(F5/J8))/((Reaction!H31+Reaction!H32)*(Reaction!H34+Reaction!H36)))</f>
        <v>1.1830241002780118E-3</v>
      </c>
    </row>
    <row r="6" spans="1:58" ht="15.75" x14ac:dyDescent="0.3">
      <c r="A6" s="51"/>
      <c r="C6" s="266"/>
      <c r="E6" s="295" t="s">
        <v>314</v>
      </c>
      <c r="F6">
        <f ca="1">Reaction!K31</f>
        <v>-1.7763568394002505E-15</v>
      </c>
      <c r="H6" t="s">
        <v>1660</v>
      </c>
      <c r="M6">
        <f ca="1">IF(Reaction!D34&gt;Reaction!D36,((Reaction!H32*Reaction!H36)/((Reaction!H31+Reaction!H32)*(Reaction!H36+Reaction!H34)))*(1+((Reaction!H31*F6)/(Reaction!H32*J8))),((Reaction!H32*Reaction!H34)/((Reaction!H31+Reaction!H32)*(Reaction!H34+Reaction!H36)))*(1+((Reaction!H31*F6)/(Reaction!H32*J8))))</f>
        <v>3.3212093289811111E-2</v>
      </c>
    </row>
    <row r="7" spans="1:58" ht="15.75" x14ac:dyDescent="0.3">
      <c r="A7" s="51"/>
      <c r="C7" s="266"/>
      <c r="H7" t="s">
        <v>1573</v>
      </c>
      <c r="M7">
        <f ca="1">IF(Reaction!D34&gt;Reaction!D36,((Reaction!H32*Reaction!H34)/((Reaction!H31+Reaction!H32)*(Reaction!H36+Reaction!H34)))*(1+((Reaction!H31*F6)/(Reaction!H32*J8))),((Reaction!H32*Reaction!H36)/((Reaction!H31+Reaction!H32)*(Reaction!H34+Reaction!H36)))*(1+((Reaction!H31*F6)/(Reaction!H32*J8))))</f>
        <v>0.93239278932009972</v>
      </c>
    </row>
    <row r="8" spans="1:58" ht="15.75" x14ac:dyDescent="0.3">
      <c r="A8" s="51"/>
      <c r="C8" s="266"/>
      <c r="H8" t="s">
        <v>1574</v>
      </c>
      <c r="J8">
        <f ca="1">(F5+F6)</f>
        <v>2.9999999999999982</v>
      </c>
    </row>
    <row r="9" spans="1:58" x14ac:dyDescent="0.2">
      <c r="A9" s="51"/>
    </row>
    <row r="10" spans="1:58" x14ac:dyDescent="0.2">
      <c r="A10" s="51"/>
    </row>
    <row r="11" spans="1:58" x14ac:dyDescent="0.2">
      <c r="A11" s="51"/>
    </row>
    <row r="12" spans="1:58" x14ac:dyDescent="0.2">
      <c r="A12" s="51"/>
    </row>
    <row r="13" spans="1:58" x14ac:dyDescent="0.2">
      <c r="A13" s="51"/>
    </row>
    <row r="14" spans="1:58" x14ac:dyDescent="0.2">
      <c r="A14" s="13"/>
      <c r="Q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58" ht="18.75" thickBot="1" x14ac:dyDescent="0.3">
      <c r="B15" s="242" t="s">
        <v>286</v>
      </c>
      <c r="C15" s="243"/>
      <c r="D15" s="11"/>
      <c r="E15" s="11"/>
      <c r="F15" s="11"/>
      <c r="G15" s="11"/>
      <c r="H15" s="11"/>
      <c r="I15" s="11"/>
      <c r="J15" s="11"/>
      <c r="K15" s="241" t="s">
        <v>106</v>
      </c>
      <c r="L15" s="11"/>
      <c r="M15" s="241"/>
      <c r="N15" s="11"/>
      <c r="O15" s="11"/>
      <c r="P15" s="11"/>
      <c r="R15" s="244" t="s">
        <v>1383</v>
      </c>
      <c r="X15" s="231" t="s">
        <v>1753</v>
      </c>
      <c r="AB15" s="256"/>
      <c r="AC15" s="11"/>
      <c r="AD15" s="11"/>
      <c r="AE15" s="11"/>
      <c r="AF15" s="11"/>
      <c r="AG15" s="11"/>
      <c r="AH15" s="11"/>
      <c r="AI15" s="249"/>
      <c r="AJ15" s="250"/>
      <c r="AK15" s="241" t="s">
        <v>107</v>
      </c>
      <c r="AL15" s="11"/>
      <c r="AM15" s="241"/>
      <c r="AN15" s="11"/>
      <c r="AO15" s="11"/>
      <c r="AP15" s="11"/>
      <c r="AQ15" s="11"/>
      <c r="AR15" s="244"/>
      <c r="AS15" s="245"/>
      <c r="AT15" s="246"/>
      <c r="AU15" s="11"/>
      <c r="AV15" s="247"/>
      <c r="AW15" s="245"/>
      <c r="AX15" s="248"/>
      <c r="AY15" s="248"/>
      <c r="AZ15" s="11"/>
      <c r="BA15" s="11"/>
      <c r="BB15" s="11"/>
      <c r="BC15" s="11"/>
      <c r="BD15" s="11"/>
      <c r="BE15" s="11"/>
      <c r="BF15" s="12"/>
    </row>
    <row r="16" spans="1:58" ht="39.75" x14ac:dyDescent="0.2">
      <c r="B16" s="13"/>
      <c r="C16" s="2"/>
      <c r="D16" s="2"/>
      <c r="E16" s="2"/>
      <c r="F16" s="2"/>
      <c r="G16" s="2"/>
      <c r="H16" s="2"/>
      <c r="I16" s="2"/>
      <c r="J16" s="2"/>
      <c r="K16" s="2"/>
      <c r="L16" s="149" t="s">
        <v>116</v>
      </c>
      <c r="M16" s="149" t="s">
        <v>117</v>
      </c>
      <c r="N16" s="149" t="s">
        <v>297</v>
      </c>
      <c r="O16" s="149" t="s">
        <v>118</v>
      </c>
      <c r="P16" s="288" t="s">
        <v>298</v>
      </c>
      <c r="Q16" s="220" t="s">
        <v>333</v>
      </c>
      <c r="R16" s="223" t="s">
        <v>1658</v>
      </c>
      <c r="S16" s="298" t="s">
        <v>1656</v>
      </c>
      <c r="T16" s="224" t="s">
        <v>1661</v>
      </c>
      <c r="U16" s="225" t="s">
        <v>1657</v>
      </c>
      <c r="V16" s="222" t="s">
        <v>32</v>
      </c>
      <c r="W16" s="288" t="s">
        <v>33</v>
      </c>
      <c r="X16" s="223" t="s">
        <v>1658</v>
      </c>
      <c r="Y16" s="298" t="s">
        <v>1656</v>
      </c>
      <c r="Z16" s="224" t="s">
        <v>1661</v>
      </c>
      <c r="AA16" s="225" t="s">
        <v>1657</v>
      </c>
      <c r="AB16" s="209"/>
      <c r="AC16" s="209"/>
      <c r="AD16" s="209"/>
      <c r="AE16" s="209"/>
      <c r="AF16" s="209"/>
      <c r="AG16" s="209"/>
      <c r="AH16" s="209"/>
      <c r="AI16" s="209"/>
      <c r="AJ16" s="236"/>
      <c r="AK16" s="2"/>
      <c r="AL16" s="149" t="s">
        <v>116</v>
      </c>
      <c r="AM16" s="149" t="s">
        <v>117</v>
      </c>
      <c r="AN16" s="149" t="s">
        <v>297</v>
      </c>
      <c r="AO16" s="149" t="s">
        <v>118</v>
      </c>
      <c r="AP16" s="149" t="s">
        <v>298</v>
      </c>
      <c r="AQ16" s="220" t="s">
        <v>333</v>
      </c>
      <c r="AR16" s="223" t="s">
        <v>334</v>
      </c>
      <c r="AS16" s="224" t="s">
        <v>332</v>
      </c>
      <c r="AT16" s="224" t="s">
        <v>105</v>
      </c>
      <c r="AU16" s="225" t="s">
        <v>283</v>
      </c>
      <c r="AV16" s="223" t="s">
        <v>149</v>
      </c>
      <c r="AW16" s="224" t="s">
        <v>150</v>
      </c>
      <c r="AX16" s="225" t="s">
        <v>283</v>
      </c>
      <c r="AY16" s="222" t="s">
        <v>103</v>
      </c>
      <c r="AZ16" s="148" t="s">
        <v>102</v>
      </c>
      <c r="BA16" s="148" t="s">
        <v>282</v>
      </c>
      <c r="BB16" s="148" t="s">
        <v>104</v>
      </c>
      <c r="BC16" s="149" t="s">
        <v>296</v>
      </c>
      <c r="BD16" s="149" t="s">
        <v>295</v>
      </c>
      <c r="BE16" s="149" t="s">
        <v>108</v>
      </c>
      <c r="BF16" s="14"/>
    </row>
    <row r="17" spans="2:58" x14ac:dyDescent="0.2">
      <c r="B17" s="13"/>
      <c r="C17" s="2"/>
      <c r="D17" s="2"/>
      <c r="E17" s="2"/>
      <c r="F17" s="2"/>
      <c r="G17" s="2"/>
      <c r="H17" s="2"/>
      <c r="I17" s="2"/>
      <c r="J17" s="2"/>
      <c r="K17" s="88" t="s">
        <v>291</v>
      </c>
      <c r="L17" s="79">
        <v>0</v>
      </c>
      <c r="M17" s="211">
        <f>$D$35+(L17*$D$36)</f>
        <v>11.532</v>
      </c>
      <c r="N17" s="212">
        <f>DEGREES(ATAN(M17/$D$27))</f>
        <v>24.762931174916648</v>
      </c>
      <c r="O17" s="212">
        <f>$D$35+$D$38+(L17*$D$36)</f>
        <v>11.923</v>
      </c>
      <c r="P17" s="289">
        <f>DEGREES(ATAN(O17/$D$27))</f>
        <v>25.497407867031544</v>
      </c>
      <c r="Q17" s="221">
        <f>DEGREES(ATAN((M17+($D$38/2))/$D$27))</f>
        <v>25.13127367325248</v>
      </c>
      <c r="R17" s="226"/>
      <c r="S17" s="296">
        <f ca="1">IF($L$4&gt;$M$6,$J$8*$L$4*(COS(RADIANS(Q17))-SQRT(($M$6/$L$4)-(SIN(RADIANS(Q17)))^2))^2,$J$8*$L$4*(COS(RADIANS(Q17))+SQRT(($M$6/$L$4)-(SIN(RADIANS(Q17)))^2))^2)</f>
        <v>0.32666165176442624</v>
      </c>
      <c r="T17" s="296"/>
      <c r="U17" s="286">
        <f ca="1">$J$8*$L$4*(COS(RADIANS(Q17))+SQRT(($M$6/$L$4)-(SIN(RADIANS(Q17)))^2))^2</f>
        <v>0.32666165176442624</v>
      </c>
      <c r="V17" s="240"/>
      <c r="W17" s="299"/>
      <c r="X17" s="300"/>
      <c r="Y17" s="296">
        <f ca="1">IF($L$5&gt;$M$7,$J$8*$L$5*(COS(RADIANS(Q17))-SQRT(($M$7/$L$5)-(SIN(RADIANS(Q17)))^2))^2,$J$8*$L$5*(COS(RADIANS(Q17))+SQRT(($M$7/$L$5)-(SIN(RADIANS(Q17)))^2))^2)</f>
        <v>2.9798353874752883</v>
      </c>
      <c r="Z17" s="296"/>
      <c r="AA17" s="286">
        <f ca="1">$J$8*$L$5*(COS(RADIANS(Q17))+SQRT(($M$7/$L$5)-(SIN(RADIANS(Q17)))^2))^2</f>
        <v>2.9798353874752883</v>
      </c>
      <c r="AB17" s="217"/>
      <c r="AC17" s="86"/>
      <c r="AD17" s="293"/>
      <c r="AE17" s="217"/>
      <c r="AF17" s="86"/>
      <c r="AG17" s="254"/>
      <c r="AH17" s="235"/>
      <c r="AI17" s="235"/>
      <c r="AJ17" s="237"/>
      <c r="AK17" s="88" t="s">
        <v>291</v>
      </c>
      <c r="AL17" s="79">
        <v>0</v>
      </c>
      <c r="AM17" s="211">
        <f>$H$35+(AL17*$H$36)</f>
        <v>11.532</v>
      </c>
      <c r="AN17" s="212">
        <f>DEGREES(ATAN(AM17/$D$28))</f>
        <v>5.4892676467991377</v>
      </c>
      <c r="AO17" s="212">
        <f>$H$35+$H$38+(AL17*$H$36)</f>
        <v>11.923</v>
      </c>
      <c r="AP17" s="212">
        <f>DEGREES(ATAN(AO17/$D$28))</f>
        <v>5.6741900456458954</v>
      </c>
      <c r="AQ17" s="221">
        <f>DEGREES(ATAN((AM17+($H$38/2))/$D$28))</f>
        <v>5.5817434283275169</v>
      </c>
      <c r="AR17" s="226" t="e">
        <f>AQ17+DEGREES(ASIN(($G$18/$G$19)*SIN(RADIANS(AQ17))))</f>
        <v>#DIV/0!</v>
      </c>
      <c r="AS17" s="212" t="e">
        <f>(($F$18*$F$19*$O$30*0.000000000000001)^2)*((1/(4*$L$34))^2)*(1/((SIN(RADIANS(AR17)/2))^4))/1E-31</f>
        <v>#DIV/0!</v>
      </c>
      <c r="AT17" s="212" t="e">
        <f>AS17/((((SIN(RADIANS(AQ17)))^2)/((SIN(RADIANS(AR17))^2)))*COS(RADIANS(AR17)-RADIANS(AQ17)))</f>
        <v>#DIV/0!</v>
      </c>
      <c r="AU17" s="227" t="e">
        <f>$L$33-((2*$L$33*$G$18*$G$19*(1-COS(RADIANS(AR17))))/($G$18+$G$19)^2)</f>
        <v>#DIV/0!</v>
      </c>
      <c r="AV17" s="226" t="e">
        <f>DEGREES(0.5*(PI()-RADIANS(AR17)))</f>
        <v>#DIV/0!</v>
      </c>
      <c r="AW17" s="233" t="e">
        <f>DEGREES(2*RADIANS(AV17))</f>
        <v>#DIV/0!</v>
      </c>
      <c r="AX17" s="286" t="e">
        <f>$L$33-AU17</f>
        <v>#DIV/0!</v>
      </c>
      <c r="AY17" s="232">
        <v>360</v>
      </c>
      <c r="AZ17" s="213">
        <f t="shared" ref="AZ17:AZ64" si="0">(RADIANS(AY17))*(COS(RADIANS(AN17))-COS(RADIANS(AP17)))</f>
        <v>1.9724477203501233E-3</v>
      </c>
      <c r="BA17" s="215" t="e">
        <f>$L$30*($L$31*10000)*(AT17*1E-28*0.001)*AZ17*($L$32/100)</f>
        <v>#DIV/0!</v>
      </c>
      <c r="BB17" s="212">
        <f t="shared" ref="BB17:BB64" si="1">((PI()*(AO17/10)^2)-(PI()*(AM17/10)^2))*(AY17/360)</f>
        <v>0.28811247774769821</v>
      </c>
      <c r="BC17" s="213" t="e">
        <f t="shared" ref="BC17:BC64" si="2">BA17/BB17</f>
        <v>#DIV/0!</v>
      </c>
      <c r="BD17" s="214" t="e">
        <f t="shared" ref="BD17:BD64" si="3">($H$61/BC17)/(60*60)</f>
        <v>#DIV/0!</v>
      </c>
      <c r="BE17" s="219" t="e">
        <f>BD17/24</f>
        <v>#DIV/0!</v>
      </c>
      <c r="BF17" s="14"/>
    </row>
    <row r="18" spans="2:58" x14ac:dyDescent="0.2">
      <c r="B18" s="13"/>
      <c r="C18" s="2"/>
      <c r="D18" s="2"/>
      <c r="E18" s="2"/>
      <c r="F18" s="2"/>
      <c r="G18" s="2"/>
      <c r="H18" s="2"/>
      <c r="I18" s="2"/>
      <c r="J18" s="2"/>
      <c r="K18" s="2"/>
      <c r="L18" s="79">
        <v>1</v>
      </c>
      <c r="M18" s="211">
        <f t="shared" ref="M18:M64" si="4">$D$35+(L18*$D$36)</f>
        <v>12.023</v>
      </c>
      <c r="N18" s="212">
        <f t="shared" ref="N18:N64" si="5">DEGREES(ATAN(M18/$D$27))</f>
        <v>25.683831893342479</v>
      </c>
      <c r="O18" s="212">
        <f t="shared" ref="O18:O64" si="6">$D$35+$D$38+(L18*$D$36)</f>
        <v>12.414</v>
      </c>
      <c r="P18" s="289">
        <f t="shared" ref="P18:P64" si="7">DEGREES(ATAN(O18/$D$27))</f>
        <v>26.407156327699429</v>
      </c>
      <c r="Q18" s="221">
        <f t="shared" ref="Q18:Q64" si="8">DEGREES(ATAN((M18+($D$38/2))/$D$27))</f>
        <v>26.046609821307552</v>
      </c>
      <c r="R18" s="226">
        <f ca="1">ASIN(((($J$8-S18)/$J$8)/$M$7)*SIN(RADIANS(V18)))</f>
        <v>0.88208067186434036</v>
      </c>
      <c r="S18" s="296">
        <f t="shared" ref="S18:S64" ca="1" si="9">IF($L$4&gt;$M$6,$J$8*$L$4*(COS(RADIANS(Q18))-SQRT(($M$6/$L$4)-(SIN(RADIANS(Q18)))^2))^2,$J$8*$L$4*(COS(RADIANS(Q18))+SQRT(($M$6/$L$4)-(SIN(RADIANS(Q18)))^2))^2)</f>
        <v>0.32170135115964843</v>
      </c>
      <c r="T18" s="296"/>
      <c r="U18" s="286">
        <f t="shared" ref="U18:U64" ca="1" si="10">$J$8*$L$4*(COS(RADIANS(Q18))+SQRT(($M$6/$L$4)-(SIN(RADIANS(Q18)))^2))^2</f>
        <v>0.32170135115964843</v>
      </c>
      <c r="V18" s="240">
        <f ca="1">DEGREES(ASIN((SQRT((Reaction!$H$34*S18)/(Reaction!$H$36*($J$8-S18))))*SIN(RADIANS(Q18))))</f>
        <v>53.739082156368227</v>
      </c>
      <c r="W18" s="299">
        <f ca="1">$J$8-S18</f>
        <v>2.6782986488403497</v>
      </c>
      <c r="X18" s="300"/>
      <c r="Y18" s="296">
        <f t="shared" ref="Y18:Y64" ca="1" si="11">IF($L$5&gt;$M$7,$J$8*$L$5*(COS(RADIANS(Q18))-SQRT(($M$7/$L$5)-(SIN(RADIANS(Q18)))^2))^2,$J$8*$L$5*(COS(RADIANS(Q18))+SQRT(($M$7/$L$5)-(SIN(RADIANS(Q18)))^2))^2)</f>
        <v>2.9783708091741916</v>
      </c>
      <c r="Z18" s="296"/>
      <c r="AA18" s="286">
        <f t="shared" ref="AA18:AA64" ca="1" si="12">$J$8*$L$5*(COS(RADIANS(Q18))+SQRT(($M$7/$L$5)-(SIN(RADIANS(Q18)))^2))^2</f>
        <v>2.9783708091741916</v>
      </c>
      <c r="AB18" s="217"/>
      <c r="AC18" s="86"/>
      <c r="AD18" s="293"/>
      <c r="AE18" s="217"/>
      <c r="AF18" s="86"/>
      <c r="AG18" s="254"/>
      <c r="AH18" s="235"/>
      <c r="AI18" s="235"/>
      <c r="AJ18" s="237"/>
      <c r="AK18" s="2"/>
      <c r="AL18" s="79">
        <v>1</v>
      </c>
      <c r="AM18" s="211">
        <f t="shared" ref="AM18:AM64" si="13">$H$35+(AL18*$H$36)</f>
        <v>12.023</v>
      </c>
      <c r="AN18" s="212">
        <f t="shared" ref="AN18:AN64" si="14">DEGREES(ATAN(AM18/$D$28))</f>
        <v>5.7214658924967221</v>
      </c>
      <c r="AO18" s="212">
        <f t="shared" ref="AO18:AO64" si="15">$H$35+$H$38+(AL18*$H$36)</f>
        <v>12.414</v>
      </c>
      <c r="AP18" s="212">
        <f t="shared" ref="AP18:AP64" si="16">DEGREES(ATAN(AO18/$D$28))</f>
        <v>5.9062388536124208</v>
      </c>
      <c r="AQ18" s="221">
        <f t="shared" ref="AQ18:AQ64" si="17">DEGREES(ATAN((AM18+($H$38/2))/$D$28))</f>
        <v>5.8138675411297571</v>
      </c>
      <c r="AR18" s="226" t="e">
        <f t="shared" ref="AR18:AR64" si="18">AQ18+DEGREES(ASIN(($G$18/$G$19)*SIN(RADIANS(AQ18))))</f>
        <v>#DIV/0!</v>
      </c>
      <c r="AS18" s="212" t="e">
        <f t="shared" ref="AS18:AS64" si="19">(($F$18*$F$19*$O$30*0.000000000000001)^2)*((1/(4*$L$34))^2)*(1/((SIN(RADIANS(AR18)/2))^4))/1E-31</f>
        <v>#DIV/0!</v>
      </c>
      <c r="AT18" s="212" t="e">
        <f t="shared" ref="AT18:AT64" si="20">AS18/((((SIN(RADIANS(AQ18)))^2)/((SIN(RADIANS(AR18))^2)))*COS(RADIANS(AR18)-RADIANS(AQ18)))</f>
        <v>#DIV/0!</v>
      </c>
      <c r="AU18" s="227" t="e">
        <f t="shared" ref="AU18:AU64" si="21">$L$33-((2*$L$33*$G$18*$G$19*(1-COS(RADIANS(AR18))))/($G$18+$G$19)^2)</f>
        <v>#DIV/0!</v>
      </c>
      <c r="AV18" s="226" t="e">
        <f t="shared" ref="AV18:AV64" si="22">DEGREES(0.5*(PI()-RADIANS(AR18)))</f>
        <v>#DIV/0!</v>
      </c>
      <c r="AW18" s="233" t="e">
        <f t="shared" ref="AW18:AW64" si="23">DEGREES(2*RADIANS(AV18))</f>
        <v>#DIV/0!</v>
      </c>
      <c r="AX18" s="286" t="e">
        <f t="shared" ref="AX18:AX64" si="24">$L$33-AU18</f>
        <v>#DIV/0!</v>
      </c>
      <c r="AY18" s="232">
        <f t="shared" ref="AY18:AY52" si="25">360-DEGREES(2*ASIN(((TAN(17*PI()/180)*(((AO18+AM18)/2)-$AM$39))+TAN(18*PI()/180)*(((AO18+AM18)/2)-$AM$39))/(AM18+AO18)))</f>
        <v>390.26506506162247</v>
      </c>
      <c r="AZ18" s="213">
        <f t="shared" si="0"/>
        <v>2.225094602569133E-3</v>
      </c>
      <c r="BA18" s="215" t="e">
        <f t="shared" ref="BA18:BA64" si="26">$L$30*($L$31*10000)*(AT18*1E-28*0.001)*AZ18*($L$32/100)</f>
        <v>#DIV/0!</v>
      </c>
      <c r="BB18" s="212">
        <f t="shared" si="1"/>
        <v>0.32541059944552625</v>
      </c>
      <c r="BC18" s="213" t="e">
        <f t="shared" si="2"/>
        <v>#DIV/0!</v>
      </c>
      <c r="BD18" s="214" t="e">
        <f t="shared" si="3"/>
        <v>#DIV/0!</v>
      </c>
      <c r="BE18" s="219" t="e">
        <f t="shared" ref="BE18:BE64" si="27">BD18/24</f>
        <v>#DIV/0!</v>
      </c>
      <c r="BF18" s="14"/>
    </row>
    <row r="19" spans="2:58" x14ac:dyDescent="0.2">
      <c r="B19" s="13"/>
      <c r="C19" s="2"/>
      <c r="D19" s="2"/>
      <c r="E19" s="2"/>
      <c r="F19" s="2"/>
      <c r="G19" s="2"/>
      <c r="H19" s="2"/>
      <c r="I19" s="2"/>
      <c r="J19" s="2"/>
      <c r="K19" s="2"/>
      <c r="L19" s="79">
        <v>2</v>
      </c>
      <c r="M19" s="211">
        <f t="shared" si="4"/>
        <v>12.513999999999999</v>
      </c>
      <c r="N19" s="212">
        <f t="shared" si="5"/>
        <v>26.590713936125336</v>
      </c>
      <c r="O19" s="212">
        <f t="shared" si="6"/>
        <v>12.904999999999999</v>
      </c>
      <c r="P19" s="289">
        <f t="shared" si="7"/>
        <v>27.302782941933451</v>
      </c>
      <c r="Q19" s="221">
        <f t="shared" si="8"/>
        <v>26.94787314778134</v>
      </c>
      <c r="R19" s="226"/>
      <c r="S19" s="296">
        <f t="shared" ca="1" si="9"/>
        <v>0.31669517931688579</v>
      </c>
      <c r="T19" s="296"/>
      <c r="U19" s="286">
        <f t="shared" ca="1" si="10"/>
        <v>0.31669517931688579</v>
      </c>
      <c r="V19" s="240"/>
      <c r="W19" s="299"/>
      <c r="X19" s="300"/>
      <c r="Y19" s="296">
        <f t="shared" ca="1" si="11"/>
        <v>2.976881919630054</v>
      </c>
      <c r="Z19" s="296"/>
      <c r="AA19" s="286">
        <f t="shared" ca="1" si="12"/>
        <v>2.976881919630054</v>
      </c>
      <c r="AB19" s="217"/>
      <c r="AC19" s="86"/>
      <c r="AD19" s="293"/>
      <c r="AE19" s="217"/>
      <c r="AF19" s="86"/>
      <c r="AG19" s="254"/>
      <c r="AH19" s="235"/>
      <c r="AI19" s="235"/>
      <c r="AJ19" s="237"/>
      <c r="AK19" s="2"/>
      <c r="AL19" s="79">
        <f t="shared" ref="AL19:AL64" si="28">IF(AL18=$H$55,FALSE,AL18+1)</f>
        <v>2</v>
      </c>
      <c r="AM19" s="211">
        <f t="shared" si="13"/>
        <v>12.513999999999999</v>
      </c>
      <c r="AN19" s="212">
        <f t="shared" si="14"/>
        <v>5.953475729074329</v>
      </c>
      <c r="AO19" s="212">
        <f t="shared" si="15"/>
        <v>12.904999999999999</v>
      </c>
      <c r="AP19" s="212">
        <f t="shared" si="16"/>
        <v>6.138093380544424</v>
      </c>
      <c r="AQ19" s="221">
        <f t="shared" si="17"/>
        <v>6.0458003059007632</v>
      </c>
      <c r="AR19" s="226" t="e">
        <f t="shared" si="18"/>
        <v>#DIV/0!</v>
      </c>
      <c r="AS19" s="212" t="e">
        <f t="shared" si="19"/>
        <v>#DIV/0!</v>
      </c>
      <c r="AT19" s="212" t="e">
        <f t="shared" si="20"/>
        <v>#DIV/0!</v>
      </c>
      <c r="AU19" s="227" t="e">
        <f t="shared" si="21"/>
        <v>#DIV/0!</v>
      </c>
      <c r="AV19" s="226" t="e">
        <f t="shared" si="22"/>
        <v>#DIV/0!</v>
      </c>
      <c r="AW19" s="233" t="e">
        <f t="shared" si="23"/>
        <v>#DIV/0!</v>
      </c>
      <c r="AX19" s="286" t="e">
        <f t="shared" si="24"/>
        <v>#DIV/0!</v>
      </c>
      <c r="AY19" s="232">
        <f t="shared" si="25"/>
        <v>387.62976891616432</v>
      </c>
      <c r="AZ19" s="213">
        <f t="shared" si="0"/>
        <v>2.295983191853168E-3</v>
      </c>
      <c r="BA19" s="215" t="e">
        <f t="shared" si="26"/>
        <v>#DIV/0!</v>
      </c>
      <c r="BB19" s="212">
        <f t="shared" si="1"/>
        <v>0.33620155108349919</v>
      </c>
      <c r="BC19" s="213" t="e">
        <f t="shared" si="2"/>
        <v>#DIV/0!</v>
      </c>
      <c r="BD19" s="214" t="e">
        <f t="shared" si="3"/>
        <v>#DIV/0!</v>
      </c>
      <c r="BE19" s="219" t="e">
        <f t="shared" si="27"/>
        <v>#DIV/0!</v>
      </c>
      <c r="BF19" s="14"/>
    </row>
    <row r="20" spans="2:58" x14ac:dyDescent="0.2">
      <c r="B20" s="13"/>
      <c r="C20" s="2"/>
      <c r="D20" s="2"/>
      <c r="E20" s="2"/>
      <c r="F20" s="2"/>
      <c r="G20" s="2"/>
      <c r="H20" s="2"/>
      <c r="I20" s="2"/>
      <c r="J20" s="2"/>
      <c r="K20" s="2"/>
      <c r="L20" s="79">
        <v>3</v>
      </c>
      <c r="M20" s="211">
        <f t="shared" si="4"/>
        <v>13.004999999999999</v>
      </c>
      <c r="N20" s="212">
        <f t="shared" si="5"/>
        <v>27.48345100426253</v>
      </c>
      <c r="O20" s="212">
        <f t="shared" si="6"/>
        <v>13.396000000000001</v>
      </c>
      <c r="P20" s="289">
        <f t="shared" si="7"/>
        <v>28.184186518800065</v>
      </c>
      <c r="Q20" s="221">
        <f t="shared" si="8"/>
        <v>27.834950030998826</v>
      </c>
      <c r="R20" s="226"/>
      <c r="S20" s="296">
        <f t="shared" ca="1" si="9"/>
        <v>0.31165430378717235</v>
      </c>
      <c r="T20" s="296"/>
      <c r="U20" s="286">
        <f t="shared" ca="1" si="10"/>
        <v>0.31165430378717235</v>
      </c>
      <c r="V20" s="240"/>
      <c r="W20" s="299"/>
      <c r="X20" s="300"/>
      <c r="Y20" s="296">
        <f t="shared" ca="1" si="11"/>
        <v>2.9753715189393586</v>
      </c>
      <c r="Z20" s="296"/>
      <c r="AA20" s="286">
        <f t="shared" ca="1" si="12"/>
        <v>2.9753715189393586</v>
      </c>
      <c r="AB20" s="217"/>
      <c r="AC20" s="86"/>
      <c r="AD20" s="293"/>
      <c r="AE20" s="217"/>
      <c r="AF20" s="86"/>
      <c r="AG20" s="254"/>
      <c r="AH20" s="235"/>
      <c r="AI20" s="235"/>
      <c r="AJ20" s="237"/>
      <c r="AK20" s="2"/>
      <c r="AL20" s="79">
        <f t="shared" si="28"/>
        <v>3</v>
      </c>
      <c r="AM20" s="211">
        <f t="shared" si="13"/>
        <v>13.004999999999999</v>
      </c>
      <c r="AN20" s="212">
        <f t="shared" si="14"/>
        <v>6.1852897866712375</v>
      </c>
      <c r="AO20" s="212">
        <f t="shared" si="15"/>
        <v>13.396000000000001</v>
      </c>
      <c r="AP20" s="212">
        <f t="shared" si="16"/>
        <v>6.3697462867892698</v>
      </c>
      <c r="AQ20" s="221">
        <f t="shared" si="17"/>
        <v>6.2775343677780953</v>
      </c>
      <c r="AR20" s="226" t="e">
        <f t="shared" si="18"/>
        <v>#DIV/0!</v>
      </c>
      <c r="AS20" s="212" t="e">
        <f t="shared" si="19"/>
        <v>#DIV/0!</v>
      </c>
      <c r="AT20" s="212" t="e">
        <f t="shared" si="20"/>
        <v>#DIV/0!</v>
      </c>
      <c r="AU20" s="227" t="e">
        <f t="shared" si="21"/>
        <v>#DIV/0!</v>
      </c>
      <c r="AV20" s="226" t="e">
        <f t="shared" si="22"/>
        <v>#DIV/0!</v>
      </c>
      <c r="AW20" s="233" t="e">
        <f t="shared" si="23"/>
        <v>#DIV/0!</v>
      </c>
      <c r="AX20" s="286" t="e">
        <f t="shared" si="24"/>
        <v>#DIV/0!</v>
      </c>
      <c r="AY20" s="232">
        <f t="shared" si="25"/>
        <v>385.20376044345716</v>
      </c>
      <c r="AZ20" s="213">
        <f t="shared" si="0"/>
        <v>2.3666559685653374E-3</v>
      </c>
      <c r="BA20" s="215" t="e">
        <f t="shared" si="26"/>
        <v>#DIV/0!</v>
      </c>
      <c r="BB20" s="212">
        <f t="shared" si="1"/>
        <v>0.34700443429379907</v>
      </c>
      <c r="BC20" s="213" t="e">
        <f t="shared" si="2"/>
        <v>#DIV/0!</v>
      </c>
      <c r="BD20" s="214" t="e">
        <f t="shared" si="3"/>
        <v>#DIV/0!</v>
      </c>
      <c r="BE20" s="219" t="e">
        <f t="shared" si="27"/>
        <v>#DIV/0!</v>
      </c>
      <c r="BF20" s="14"/>
    </row>
    <row r="21" spans="2:58" x14ac:dyDescent="0.2">
      <c r="B21" s="13"/>
      <c r="C21" s="2"/>
      <c r="D21" s="2"/>
      <c r="E21" s="2"/>
      <c r="F21" s="2"/>
      <c r="G21" s="2"/>
      <c r="H21" s="2"/>
      <c r="I21" s="2"/>
      <c r="J21" s="2"/>
      <c r="K21" s="2"/>
      <c r="L21" s="79">
        <v>4</v>
      </c>
      <c r="M21" s="211">
        <f t="shared" si="4"/>
        <v>13.496</v>
      </c>
      <c r="N21" s="212">
        <f t="shared" si="5"/>
        <v>28.361948168508391</v>
      </c>
      <c r="O21" s="212">
        <f t="shared" si="6"/>
        <v>13.887</v>
      </c>
      <c r="P21" s="289">
        <f t="shared" si="7"/>
        <v>29.051295972493556</v>
      </c>
      <c r="Q21" s="221">
        <f t="shared" si="8"/>
        <v>28.707757591679741</v>
      </c>
      <c r="R21" s="226"/>
      <c r="S21" s="296">
        <f t="shared" ca="1" si="9"/>
        <v>0.30658932948275575</v>
      </c>
      <c r="T21" s="296"/>
      <c r="U21" s="286">
        <f t="shared" ca="1" si="10"/>
        <v>0.30658932948275575</v>
      </c>
      <c r="V21" s="240"/>
      <c r="W21" s="299"/>
      <c r="X21" s="300"/>
      <c r="Y21" s="296">
        <f t="shared" ca="1" si="11"/>
        <v>2.9738423127014078</v>
      </c>
      <c r="Z21" s="296"/>
      <c r="AA21" s="286">
        <f t="shared" ca="1" si="12"/>
        <v>2.9738423127014078</v>
      </c>
      <c r="AB21" s="217"/>
      <c r="AC21" s="86"/>
      <c r="AD21" s="293"/>
      <c r="AE21" s="217"/>
      <c r="AF21" s="86"/>
      <c r="AG21" s="254"/>
      <c r="AH21" s="235"/>
      <c r="AI21" s="235"/>
      <c r="AJ21" s="237"/>
      <c r="AK21" s="2"/>
      <c r="AL21" s="79">
        <f t="shared" si="28"/>
        <v>4</v>
      </c>
      <c r="AM21" s="211">
        <f t="shared" si="13"/>
        <v>13.496</v>
      </c>
      <c r="AN21" s="212">
        <f t="shared" si="14"/>
        <v>6.416900733496159</v>
      </c>
      <c r="AO21" s="212">
        <f t="shared" si="15"/>
        <v>13.887</v>
      </c>
      <c r="AP21" s="212">
        <f t="shared" si="16"/>
        <v>6.6011902718188944</v>
      </c>
      <c r="AQ21" s="221">
        <f t="shared" si="17"/>
        <v>6.5090624104977834</v>
      </c>
      <c r="AR21" s="226" t="e">
        <f t="shared" si="18"/>
        <v>#DIV/0!</v>
      </c>
      <c r="AS21" s="212" t="e">
        <f t="shared" si="19"/>
        <v>#DIV/0!</v>
      </c>
      <c r="AT21" s="212" t="e">
        <f t="shared" si="20"/>
        <v>#DIV/0!</v>
      </c>
      <c r="AU21" s="227" t="e">
        <f t="shared" si="21"/>
        <v>#DIV/0!</v>
      </c>
      <c r="AV21" s="226" t="e">
        <f t="shared" si="22"/>
        <v>#DIV/0!</v>
      </c>
      <c r="AW21" s="233" t="e">
        <f t="shared" si="23"/>
        <v>#DIV/0!</v>
      </c>
      <c r="AX21" s="286" t="e">
        <f t="shared" si="24"/>
        <v>#DIV/0!</v>
      </c>
      <c r="AY21" s="232">
        <f t="shared" si="25"/>
        <v>382.96200979192741</v>
      </c>
      <c r="AZ21" s="213">
        <f t="shared" si="0"/>
        <v>2.4370870063213988E-3</v>
      </c>
      <c r="BA21" s="215" t="e">
        <f t="shared" si="26"/>
        <v>#DIV/0!</v>
      </c>
      <c r="BB21" s="212">
        <f t="shared" si="1"/>
        <v>0.35781690048300369</v>
      </c>
      <c r="BC21" s="213" t="e">
        <f t="shared" si="2"/>
        <v>#DIV/0!</v>
      </c>
      <c r="BD21" s="214" t="e">
        <f t="shared" si="3"/>
        <v>#DIV/0!</v>
      </c>
      <c r="BE21" s="219" t="e">
        <f t="shared" si="27"/>
        <v>#DIV/0!</v>
      </c>
      <c r="BF21" s="208"/>
    </row>
    <row r="22" spans="2:58" x14ac:dyDescent="0.2">
      <c r="B22" s="13"/>
      <c r="C22" s="2"/>
      <c r="D22" s="2"/>
      <c r="E22" s="2"/>
      <c r="F22" s="2"/>
      <c r="G22" s="2"/>
      <c r="H22" s="2"/>
      <c r="I22" s="2"/>
      <c r="J22" s="2"/>
      <c r="K22" s="2"/>
      <c r="L22" s="79">
        <v>5</v>
      </c>
      <c r="M22" s="211">
        <f t="shared" si="4"/>
        <v>13.987</v>
      </c>
      <c r="N22" s="212">
        <f t="shared" si="5"/>
        <v>29.226140275363313</v>
      </c>
      <c r="O22" s="212">
        <f t="shared" si="6"/>
        <v>14.378</v>
      </c>
      <c r="P22" s="289">
        <f t="shared" si="7"/>
        <v>29.904068686532213</v>
      </c>
      <c r="Q22" s="221">
        <f t="shared" si="8"/>
        <v>29.56624207646399</v>
      </c>
      <c r="R22" s="226"/>
      <c r="S22" s="296">
        <f t="shared" ca="1" si="9"/>
        <v>0.30151028010412234</v>
      </c>
      <c r="T22" s="296"/>
      <c r="U22" s="286">
        <f t="shared" ca="1" si="10"/>
        <v>0.30151028010412234</v>
      </c>
      <c r="V22" s="240"/>
      <c r="W22" s="299"/>
      <c r="X22" s="300"/>
      <c r="Y22" s="296">
        <f t="shared" ca="1" si="11"/>
        <v>2.9722969057601243</v>
      </c>
      <c r="Z22" s="296"/>
      <c r="AA22" s="286">
        <f t="shared" ca="1" si="12"/>
        <v>2.9722969057601243</v>
      </c>
      <c r="AB22" s="217"/>
      <c r="AC22" s="86"/>
      <c r="AD22" s="293"/>
      <c r="AE22" s="217"/>
      <c r="AF22" s="86"/>
      <c r="AG22" s="254"/>
      <c r="AH22" s="235"/>
      <c r="AI22" s="235"/>
      <c r="AJ22" s="237"/>
      <c r="AK22" s="2"/>
      <c r="AL22" s="79">
        <f t="shared" si="28"/>
        <v>5</v>
      </c>
      <c r="AM22" s="211">
        <f t="shared" si="13"/>
        <v>13.987</v>
      </c>
      <c r="AN22" s="212">
        <f t="shared" si="14"/>
        <v>6.6483012771503338</v>
      </c>
      <c r="AO22" s="212">
        <f t="shared" si="15"/>
        <v>14.378</v>
      </c>
      <c r="AP22" s="212">
        <f t="shared" si="16"/>
        <v>6.832418075537972</v>
      </c>
      <c r="AQ22" s="221">
        <f t="shared" si="17"/>
        <v>6.7403771577099993</v>
      </c>
      <c r="AR22" s="226" t="e">
        <f t="shared" si="18"/>
        <v>#DIV/0!</v>
      </c>
      <c r="AS22" s="212" t="e">
        <f t="shared" si="19"/>
        <v>#DIV/0!</v>
      </c>
      <c r="AT22" s="212" t="e">
        <f t="shared" si="20"/>
        <v>#DIV/0!</v>
      </c>
      <c r="AU22" s="227" t="e">
        <f t="shared" si="21"/>
        <v>#DIV/0!</v>
      </c>
      <c r="AV22" s="226" t="e">
        <f t="shared" si="22"/>
        <v>#DIV/0!</v>
      </c>
      <c r="AW22" s="233" t="e">
        <f t="shared" si="23"/>
        <v>#DIV/0!</v>
      </c>
      <c r="AX22" s="286" t="e">
        <f t="shared" si="24"/>
        <v>#DIV/0!</v>
      </c>
      <c r="AY22" s="232">
        <f t="shared" si="25"/>
        <v>380.8834714649355</v>
      </c>
      <c r="AZ22" s="213">
        <f t="shared" si="0"/>
        <v>2.5072539763474886E-3</v>
      </c>
      <c r="BA22" s="215" t="e">
        <f t="shared" si="26"/>
        <v>#DIV/0!</v>
      </c>
      <c r="BB22" s="212">
        <f t="shared" si="1"/>
        <v>0.36863710260401572</v>
      </c>
      <c r="BC22" s="213" t="e">
        <f t="shared" si="2"/>
        <v>#DIV/0!</v>
      </c>
      <c r="BD22" s="214" t="e">
        <f t="shared" si="3"/>
        <v>#DIV/0!</v>
      </c>
      <c r="BE22" s="219" t="e">
        <f t="shared" si="27"/>
        <v>#DIV/0!</v>
      </c>
      <c r="BF22" s="208"/>
    </row>
    <row r="23" spans="2:58" x14ac:dyDescent="0.2">
      <c r="B23" s="13"/>
      <c r="C23" s="2"/>
      <c r="D23" s="2"/>
      <c r="E23" s="2"/>
      <c r="F23" s="2"/>
      <c r="G23" s="2"/>
      <c r="H23" s="2"/>
      <c r="I23" s="2"/>
      <c r="J23" s="2"/>
      <c r="K23" s="2"/>
      <c r="L23" s="79">
        <v>6</v>
      </c>
      <c r="M23" s="211">
        <f t="shared" si="4"/>
        <v>14.478</v>
      </c>
      <c r="N23" s="212">
        <f t="shared" si="5"/>
        <v>30.07599030256257</v>
      </c>
      <c r="O23" s="212">
        <f t="shared" si="6"/>
        <v>14.869</v>
      </c>
      <c r="P23" s="289">
        <f t="shared" si="7"/>
        <v>30.742488842564889</v>
      </c>
      <c r="Q23" s="221">
        <f t="shared" si="8"/>
        <v>30.410377198619507</v>
      </c>
      <c r="R23" s="226"/>
      <c r="S23" s="296">
        <f t="shared" ca="1" si="9"/>
        <v>0.29642658628849522</v>
      </c>
      <c r="T23" s="296"/>
      <c r="U23" s="286">
        <f t="shared" ca="1" si="10"/>
        <v>0.29642658628849522</v>
      </c>
      <c r="V23" s="240"/>
      <c r="W23" s="299"/>
      <c r="X23" s="300"/>
      <c r="Y23" s="296">
        <f t="shared" ca="1" si="11"/>
        <v>2.9707377972227991</v>
      </c>
      <c r="Z23" s="296"/>
      <c r="AA23" s="286">
        <f t="shared" ca="1" si="12"/>
        <v>2.9707377972227991</v>
      </c>
      <c r="AB23" s="217"/>
      <c r="AC23" s="86"/>
      <c r="AD23" s="293"/>
      <c r="AE23" s="217"/>
      <c r="AF23" s="86"/>
      <c r="AG23" s="254"/>
      <c r="AH23" s="235"/>
      <c r="AI23" s="235"/>
      <c r="AJ23" s="237"/>
      <c r="AK23" s="2"/>
      <c r="AL23" s="79">
        <f t="shared" si="28"/>
        <v>6</v>
      </c>
      <c r="AM23" s="211">
        <f t="shared" si="13"/>
        <v>14.478</v>
      </c>
      <c r="AN23" s="212">
        <f t="shared" si="14"/>
        <v>6.8794841659318404</v>
      </c>
      <c r="AO23" s="212">
        <f t="shared" si="15"/>
        <v>14.869</v>
      </c>
      <c r="AP23" s="212">
        <f t="shared" si="16"/>
        <v>7.0634224795728757</v>
      </c>
      <c r="AQ23" s="221">
        <f t="shared" si="17"/>
        <v>6.9714713742757288</v>
      </c>
      <c r="AR23" s="226" t="e">
        <f t="shared" si="18"/>
        <v>#DIV/0!</v>
      </c>
      <c r="AS23" s="212" t="e">
        <f t="shared" si="19"/>
        <v>#DIV/0!</v>
      </c>
      <c r="AT23" s="212" t="e">
        <f t="shared" si="20"/>
        <v>#DIV/0!</v>
      </c>
      <c r="AU23" s="227" t="e">
        <f t="shared" si="21"/>
        <v>#DIV/0!</v>
      </c>
      <c r="AV23" s="226" t="e">
        <f t="shared" si="22"/>
        <v>#DIV/0!</v>
      </c>
      <c r="AW23" s="233" t="e">
        <f t="shared" si="23"/>
        <v>#DIV/0!</v>
      </c>
      <c r="AX23" s="286" t="e">
        <f t="shared" si="24"/>
        <v>#DIV/0!</v>
      </c>
      <c r="AY23" s="232">
        <f t="shared" si="25"/>
        <v>378.95029698586058</v>
      </c>
      <c r="AZ23" s="213">
        <f t="shared" si="0"/>
        <v>2.577137312671081E-3</v>
      </c>
      <c r="BA23" s="215" t="e">
        <f t="shared" si="26"/>
        <v>#DIV/0!</v>
      </c>
      <c r="BB23" s="212">
        <f t="shared" si="1"/>
        <v>0.37946357427373673</v>
      </c>
      <c r="BC23" s="213" t="e">
        <f t="shared" si="2"/>
        <v>#DIV/0!</v>
      </c>
      <c r="BD23" s="214" t="e">
        <f t="shared" si="3"/>
        <v>#DIV/0!</v>
      </c>
      <c r="BE23" s="219" t="e">
        <f t="shared" si="27"/>
        <v>#DIV/0!</v>
      </c>
      <c r="BF23" s="251"/>
    </row>
    <row r="24" spans="2:58" x14ac:dyDescent="0.2">
      <c r="B24" s="13"/>
      <c r="C24" s="2"/>
      <c r="D24" s="2"/>
      <c r="E24" s="2"/>
      <c r="F24" s="2"/>
      <c r="G24" s="2"/>
      <c r="H24" s="2"/>
      <c r="I24" s="2"/>
      <c r="J24" s="2"/>
      <c r="K24" s="2"/>
      <c r="L24" s="79">
        <v>7</v>
      </c>
      <c r="M24" s="211">
        <f t="shared" si="4"/>
        <v>14.968999999999999</v>
      </c>
      <c r="N24" s="212">
        <f t="shared" si="5"/>
        <v>30.911487682874206</v>
      </c>
      <c r="O24" s="212">
        <f t="shared" si="6"/>
        <v>15.36</v>
      </c>
      <c r="P24" s="289">
        <f t="shared" si="7"/>
        <v>31.566565731279763</v>
      </c>
      <c r="Q24" s="221">
        <f t="shared" si="8"/>
        <v>31.240162454090147</v>
      </c>
      <c r="R24" s="226"/>
      <c r="S24" s="296">
        <f t="shared" ca="1" si="9"/>
        <v>0.29134707989351771</v>
      </c>
      <c r="T24" s="296"/>
      <c r="U24" s="286">
        <f t="shared" ca="1" si="10"/>
        <v>0.29134707989351771</v>
      </c>
      <c r="V24" s="240"/>
      <c r="W24" s="299"/>
      <c r="X24" s="300"/>
      <c r="Y24" s="296">
        <f t="shared" ca="1" si="11"/>
        <v>2.9691673766772135</v>
      </c>
      <c r="Z24" s="296"/>
      <c r="AA24" s="286">
        <f t="shared" ca="1" si="12"/>
        <v>2.9691673766772135</v>
      </c>
      <c r="AB24" s="217"/>
      <c r="AC24" s="86"/>
      <c r="AD24" s="293"/>
      <c r="AE24" s="217"/>
      <c r="AF24" s="86"/>
      <c r="AG24" s="254"/>
      <c r="AH24" s="235"/>
      <c r="AI24" s="235"/>
      <c r="AJ24" s="237"/>
      <c r="AK24" s="2"/>
      <c r="AL24" s="79">
        <f t="shared" si="28"/>
        <v>7</v>
      </c>
      <c r="AM24" s="211">
        <f t="shared" si="13"/>
        <v>14.968999999999999</v>
      </c>
      <c r="AN24" s="212">
        <f t="shared" si="14"/>
        <v>7.110442190120561</v>
      </c>
      <c r="AO24" s="212">
        <f t="shared" si="15"/>
        <v>15.36</v>
      </c>
      <c r="AP24" s="212">
        <f t="shared" si="16"/>
        <v>7.2941963085408554</v>
      </c>
      <c r="AQ24" s="221">
        <f t="shared" si="17"/>
        <v>7.2023378675438892</v>
      </c>
      <c r="AR24" s="226" t="e">
        <f t="shared" si="18"/>
        <v>#DIV/0!</v>
      </c>
      <c r="AS24" s="212" t="e">
        <f t="shared" si="19"/>
        <v>#DIV/0!</v>
      </c>
      <c r="AT24" s="212" t="e">
        <f t="shared" si="20"/>
        <v>#DIV/0!</v>
      </c>
      <c r="AU24" s="227" t="e">
        <f t="shared" si="21"/>
        <v>#DIV/0!</v>
      </c>
      <c r="AV24" s="226" t="e">
        <f t="shared" si="22"/>
        <v>#DIV/0!</v>
      </c>
      <c r="AW24" s="233" t="e">
        <f t="shared" si="23"/>
        <v>#DIV/0!</v>
      </c>
      <c r="AX24" s="286" t="e">
        <f t="shared" si="24"/>
        <v>#DIV/0!</v>
      </c>
      <c r="AY24" s="232">
        <f t="shared" si="25"/>
        <v>377.1472321245804</v>
      </c>
      <c r="AZ24" s="213">
        <f t="shared" si="0"/>
        <v>2.6467196039805332E-3</v>
      </c>
      <c r="BA24" s="215" t="e">
        <f t="shared" si="26"/>
        <v>#DIV/0!</v>
      </c>
      <c r="BB24" s="212">
        <f t="shared" si="1"/>
        <v>0.39029514159881701</v>
      </c>
      <c r="BC24" s="213" t="e">
        <f t="shared" si="2"/>
        <v>#DIV/0!</v>
      </c>
      <c r="BD24" s="214" t="e">
        <f t="shared" si="3"/>
        <v>#DIV/0!</v>
      </c>
      <c r="BE24" s="219" t="e">
        <f t="shared" si="27"/>
        <v>#DIV/0!</v>
      </c>
      <c r="BF24" s="252"/>
    </row>
    <row r="25" spans="2:58" x14ac:dyDescent="0.2">
      <c r="B25" s="13"/>
      <c r="C25" s="2"/>
      <c r="D25" s="2"/>
      <c r="E25" s="2"/>
      <c r="F25" s="2"/>
      <c r="G25" s="2"/>
      <c r="H25" s="2"/>
      <c r="I25" s="2"/>
      <c r="J25" s="2"/>
      <c r="K25" s="2"/>
      <c r="L25" s="79">
        <v>8</v>
      </c>
      <c r="M25" s="211">
        <f t="shared" si="4"/>
        <v>15.46</v>
      </c>
      <c r="N25" s="212">
        <f t="shared" si="5"/>
        <v>31.732646613353268</v>
      </c>
      <c r="O25" s="212">
        <f t="shared" si="6"/>
        <v>15.850999999999999</v>
      </c>
      <c r="P25" s="289">
        <f t="shared" si="7"/>
        <v>32.376332061194397</v>
      </c>
      <c r="Q25" s="221">
        <f t="shared" si="8"/>
        <v>32.055621429349891</v>
      </c>
      <c r="R25" s="226"/>
      <c r="S25" s="296">
        <f t="shared" ca="1" si="9"/>
        <v>0.28627999380712599</v>
      </c>
      <c r="T25" s="296"/>
      <c r="U25" s="286">
        <f t="shared" ca="1" si="10"/>
        <v>0.28627999380712599</v>
      </c>
      <c r="V25" s="240"/>
      <c r="W25" s="299"/>
      <c r="X25" s="300"/>
      <c r="Y25" s="296">
        <f t="shared" ca="1" si="11"/>
        <v>2.9675879215213135</v>
      </c>
      <c r="Z25" s="296"/>
      <c r="AA25" s="286">
        <f t="shared" ca="1" si="12"/>
        <v>2.9675879215213135</v>
      </c>
      <c r="AB25" s="217"/>
      <c r="AC25" s="86"/>
      <c r="AD25" s="293"/>
      <c r="AE25" s="217"/>
      <c r="AF25" s="86"/>
      <c r="AG25" s="254"/>
      <c r="AH25" s="235"/>
      <c r="AI25" s="235"/>
      <c r="AJ25" s="237"/>
      <c r="AK25" s="2"/>
      <c r="AL25" s="79">
        <f t="shared" si="28"/>
        <v>8</v>
      </c>
      <c r="AM25" s="211">
        <f t="shared" si="13"/>
        <v>15.46</v>
      </c>
      <c r="AN25" s="212">
        <f t="shared" si="14"/>
        <v>7.3411681832432771</v>
      </c>
      <c r="AO25" s="212">
        <f t="shared" si="15"/>
        <v>15.850999999999999</v>
      </c>
      <c r="AP25" s="212">
        <f t="shared" si="16"/>
        <v>7.5247324312989639</v>
      </c>
      <c r="AQ25" s="221">
        <f t="shared" si="17"/>
        <v>7.432969488608383</v>
      </c>
      <c r="AR25" s="226" t="e">
        <f t="shared" si="18"/>
        <v>#DIV/0!</v>
      </c>
      <c r="AS25" s="212" t="e">
        <f t="shared" si="19"/>
        <v>#DIV/0!</v>
      </c>
      <c r="AT25" s="212" t="e">
        <f t="shared" si="20"/>
        <v>#DIV/0!</v>
      </c>
      <c r="AU25" s="227" t="e">
        <f t="shared" si="21"/>
        <v>#DIV/0!</v>
      </c>
      <c r="AV25" s="226" t="e">
        <f t="shared" si="22"/>
        <v>#DIV/0!</v>
      </c>
      <c r="AW25" s="233" t="e">
        <f t="shared" si="23"/>
        <v>#DIV/0!</v>
      </c>
      <c r="AX25" s="286" t="e">
        <f t="shared" si="24"/>
        <v>#DIV/0!</v>
      </c>
      <c r="AY25" s="232">
        <f t="shared" si="25"/>
        <v>375.4611489842008</v>
      </c>
      <c r="AZ25" s="213">
        <f t="shared" si="0"/>
        <v>2.7159851441309834E-3</v>
      </c>
      <c r="BA25" s="215" t="e">
        <f t="shared" si="26"/>
        <v>#DIV/0!</v>
      </c>
      <c r="BB25" s="212">
        <f t="shared" si="1"/>
        <v>0.40113085789901631</v>
      </c>
      <c r="BC25" s="213" t="e">
        <f t="shared" si="2"/>
        <v>#DIV/0!</v>
      </c>
      <c r="BD25" s="214" t="e">
        <f t="shared" si="3"/>
        <v>#DIV/0!</v>
      </c>
      <c r="BE25" s="219" t="e">
        <f t="shared" si="27"/>
        <v>#DIV/0!</v>
      </c>
      <c r="BF25" s="252"/>
    </row>
    <row r="26" spans="2:58" x14ac:dyDescent="0.2">
      <c r="B26" s="13"/>
      <c r="C26" s="2" t="s">
        <v>287</v>
      </c>
      <c r="D26" s="2"/>
      <c r="E26" s="2"/>
      <c r="F26" s="2"/>
      <c r="G26" s="2"/>
      <c r="H26" s="2"/>
      <c r="I26" s="2"/>
      <c r="J26" s="2"/>
      <c r="K26" s="2"/>
      <c r="L26" s="79">
        <v>9</v>
      </c>
      <c r="M26" s="211">
        <f t="shared" si="4"/>
        <v>15.951000000000001</v>
      </c>
      <c r="N26" s="212">
        <f t="shared" si="5"/>
        <v>32.53950436547774</v>
      </c>
      <c r="O26" s="212">
        <f t="shared" si="6"/>
        <v>16.341999999999999</v>
      </c>
      <c r="P26" s="289">
        <f t="shared" si="7"/>
        <v>33.171842279366722</v>
      </c>
      <c r="Q26" s="221">
        <f t="shared" si="8"/>
        <v>32.856800115796325</v>
      </c>
      <c r="R26" s="226"/>
      <c r="S26" s="296">
        <f t="shared" ca="1" si="9"/>
        <v>0.28123296666698017</v>
      </c>
      <c r="T26" s="296"/>
      <c r="U26" s="286">
        <f t="shared" ca="1" si="10"/>
        <v>0.28123296666698017</v>
      </c>
      <c r="V26" s="240"/>
      <c r="W26" s="299"/>
      <c r="X26" s="300"/>
      <c r="Y26" s="296">
        <f t="shared" ca="1" si="11"/>
        <v>2.9660015953146988</v>
      </c>
      <c r="Z26" s="296"/>
      <c r="AA26" s="286">
        <f t="shared" ca="1" si="12"/>
        <v>2.9660015953146988</v>
      </c>
      <c r="AB26" s="217"/>
      <c r="AC26" s="86"/>
      <c r="AD26" s="293"/>
      <c r="AE26" s="217"/>
      <c r="AF26" s="86"/>
      <c r="AG26" s="254"/>
      <c r="AH26" s="235"/>
      <c r="AI26" s="235"/>
      <c r="AJ26" s="237"/>
      <c r="AK26" s="2"/>
      <c r="AL26" s="79">
        <f t="shared" si="28"/>
        <v>9</v>
      </c>
      <c r="AM26" s="211">
        <f t="shared" si="13"/>
        <v>15.951000000000001</v>
      </c>
      <c r="AN26" s="212">
        <f t="shared" si="14"/>
        <v>7.5716550233184048</v>
      </c>
      <c r="AO26" s="212">
        <f t="shared" si="15"/>
        <v>16.341999999999999</v>
      </c>
      <c r="AP26" s="212">
        <f t="shared" si="16"/>
        <v>7.7550237621721889</v>
      </c>
      <c r="AQ26" s="221">
        <f t="shared" si="17"/>
        <v>7.6633591335445654</v>
      </c>
      <c r="AR26" s="226" t="e">
        <f t="shared" si="18"/>
        <v>#DIV/0!</v>
      </c>
      <c r="AS26" s="212" t="e">
        <f t="shared" si="19"/>
        <v>#DIV/0!</v>
      </c>
      <c r="AT26" s="212" t="e">
        <f t="shared" si="20"/>
        <v>#DIV/0!</v>
      </c>
      <c r="AU26" s="227" t="e">
        <f t="shared" si="21"/>
        <v>#DIV/0!</v>
      </c>
      <c r="AV26" s="226" t="e">
        <f t="shared" si="22"/>
        <v>#DIV/0!</v>
      </c>
      <c r="AW26" s="233" t="e">
        <f t="shared" si="23"/>
        <v>#DIV/0!</v>
      </c>
      <c r="AX26" s="286" t="e">
        <f t="shared" si="24"/>
        <v>#DIV/0!</v>
      </c>
      <c r="AY26" s="232">
        <f t="shared" si="25"/>
        <v>373.88067826032119</v>
      </c>
      <c r="AZ26" s="213">
        <f t="shared" si="0"/>
        <v>2.7849195956320197E-3</v>
      </c>
      <c r="BA26" s="215" t="e">
        <f t="shared" si="26"/>
        <v>#DIV/0!</v>
      </c>
      <c r="BB26" s="212">
        <f t="shared" si="1"/>
        <v>0.4119699547380043</v>
      </c>
      <c r="BC26" s="213" t="e">
        <f t="shared" si="2"/>
        <v>#DIV/0!</v>
      </c>
      <c r="BD26" s="214" t="e">
        <f t="shared" si="3"/>
        <v>#DIV/0!</v>
      </c>
      <c r="BE26" s="219" t="e">
        <f t="shared" si="27"/>
        <v>#DIV/0!</v>
      </c>
      <c r="BF26" s="252"/>
    </row>
    <row r="27" spans="2:58" x14ac:dyDescent="0.2">
      <c r="B27" s="13"/>
      <c r="C27" s="4" t="s">
        <v>241</v>
      </c>
      <c r="D27" s="37">
        <v>25</v>
      </c>
      <c r="E27" s="388" t="s">
        <v>1623</v>
      </c>
      <c r="F27" s="308"/>
      <c r="G27" s="2"/>
      <c r="H27" s="2"/>
      <c r="I27" s="2"/>
      <c r="J27" s="2"/>
      <c r="K27" s="2"/>
      <c r="L27" s="79">
        <v>10</v>
      </c>
      <c r="M27" s="211">
        <f t="shared" si="4"/>
        <v>16.442</v>
      </c>
      <c r="N27" s="212">
        <f t="shared" si="5"/>
        <v>33.332119609852235</v>
      </c>
      <c r="O27" s="212">
        <f t="shared" si="6"/>
        <v>16.832999999999998</v>
      </c>
      <c r="P27" s="289">
        <f t="shared" si="7"/>
        <v>33.953170916339054</v>
      </c>
      <c r="Q27" s="221">
        <f t="shared" si="8"/>
        <v>33.643765243679788</v>
      </c>
      <c r="R27" s="226"/>
      <c r="S27" s="296">
        <f t="shared" ca="1" si="9"/>
        <v>0.27621305187815437</v>
      </c>
      <c r="T27" s="296"/>
      <c r="U27" s="286">
        <f t="shared" ca="1" si="10"/>
        <v>0.27621305187815437</v>
      </c>
      <c r="V27" s="240"/>
      <c r="W27" s="299"/>
      <c r="X27" s="300"/>
      <c r="Y27" s="296">
        <f t="shared" ca="1" si="11"/>
        <v>2.9644104470586408</v>
      </c>
      <c r="Z27" s="296"/>
      <c r="AA27" s="286">
        <f t="shared" ca="1" si="12"/>
        <v>2.9644104470586408</v>
      </c>
      <c r="AB27" s="217"/>
      <c r="AC27" s="86"/>
      <c r="AD27" s="293"/>
      <c r="AE27" s="217"/>
      <c r="AF27" s="86"/>
      <c r="AG27" s="254"/>
      <c r="AH27" s="235"/>
      <c r="AI27" s="235"/>
      <c r="AJ27" s="237"/>
      <c r="AK27" s="2"/>
      <c r="AL27" s="79">
        <f t="shared" si="28"/>
        <v>10</v>
      </c>
      <c r="AM27" s="211">
        <f t="shared" si="13"/>
        <v>16.442</v>
      </c>
      <c r="AN27" s="212">
        <f t="shared" si="14"/>
        <v>7.8018956340798393</v>
      </c>
      <c r="AO27" s="212">
        <f t="shared" si="15"/>
        <v>16.832999999999998</v>
      </c>
      <c r="AP27" s="212">
        <f t="shared" si="16"/>
        <v>7.9850632621603621</v>
      </c>
      <c r="AQ27" s="221">
        <f t="shared" si="17"/>
        <v>7.8934997446246609</v>
      </c>
      <c r="AR27" s="226" t="e">
        <f t="shared" si="18"/>
        <v>#DIV/0!</v>
      </c>
      <c r="AS27" s="212" t="e">
        <f t="shared" si="19"/>
        <v>#DIV/0!</v>
      </c>
      <c r="AT27" s="212" t="e">
        <f t="shared" si="20"/>
        <v>#DIV/0!</v>
      </c>
      <c r="AU27" s="227" t="e">
        <f t="shared" si="21"/>
        <v>#DIV/0!</v>
      </c>
      <c r="AV27" s="226" t="e">
        <f t="shared" si="22"/>
        <v>#DIV/0!</v>
      </c>
      <c r="AW27" s="233" t="e">
        <f t="shared" si="23"/>
        <v>#DIV/0!</v>
      </c>
      <c r="AX27" s="286" t="e">
        <f t="shared" si="24"/>
        <v>#DIV/0!</v>
      </c>
      <c r="AY27" s="232">
        <f t="shared" si="25"/>
        <v>372.39591700362735</v>
      </c>
      <c r="AZ27" s="213">
        <f t="shared" si="0"/>
        <v>2.8535097348014152E-3</v>
      </c>
      <c r="BA27" s="215" t="e">
        <f t="shared" si="26"/>
        <v>#DIV/0!</v>
      </c>
      <c r="BB27" s="212">
        <f t="shared" si="1"/>
        <v>0.42281180474796515</v>
      </c>
      <c r="BC27" s="213" t="e">
        <f t="shared" si="2"/>
        <v>#DIV/0!</v>
      </c>
      <c r="BD27" s="214" t="e">
        <f t="shared" si="3"/>
        <v>#DIV/0!</v>
      </c>
      <c r="BE27" s="219" t="e">
        <f t="shared" si="27"/>
        <v>#DIV/0!</v>
      </c>
      <c r="BF27" s="252"/>
    </row>
    <row r="28" spans="2:58" x14ac:dyDescent="0.2">
      <c r="B28" s="13"/>
      <c r="C28" s="4" t="s">
        <v>521</v>
      </c>
      <c r="D28" s="37">
        <v>120</v>
      </c>
      <c r="E28" s="388" t="s">
        <v>1623</v>
      </c>
      <c r="F28" s="2"/>
      <c r="G28" s="2"/>
      <c r="H28" s="2"/>
      <c r="I28" s="2"/>
      <c r="J28" s="2"/>
      <c r="K28" s="2"/>
      <c r="L28" s="79">
        <v>11</v>
      </c>
      <c r="M28" s="211">
        <f t="shared" si="4"/>
        <v>16.933</v>
      </c>
      <c r="N28" s="212">
        <f t="shared" si="5"/>
        <v>34.110570767443747</v>
      </c>
      <c r="O28" s="212">
        <f t="shared" si="6"/>
        <v>17.323999999999998</v>
      </c>
      <c r="P28" s="289">
        <f t="shared" si="7"/>
        <v>34.720410965941817</v>
      </c>
      <c r="Q28" s="221">
        <f t="shared" si="8"/>
        <v>34.416602646859133</v>
      </c>
      <c r="R28" s="226"/>
      <c r="S28" s="296">
        <f t="shared" ca="1" si="9"/>
        <v>0.27122673033389111</v>
      </c>
      <c r="T28" s="296"/>
      <c r="U28" s="286">
        <f t="shared" ca="1" si="10"/>
        <v>0.27122673033389111</v>
      </c>
      <c r="V28" s="240"/>
      <c r="W28" s="299"/>
      <c r="X28" s="300"/>
      <c r="Y28" s="296">
        <f t="shared" ca="1" si="11"/>
        <v>2.9628164113106408</v>
      </c>
      <c r="Z28" s="296"/>
      <c r="AA28" s="286">
        <f t="shared" ca="1" si="12"/>
        <v>2.9628164113106408</v>
      </c>
      <c r="AB28" s="217"/>
      <c r="AC28" s="86"/>
      <c r="AD28" s="293"/>
      <c r="AE28" s="217"/>
      <c r="AF28" s="86"/>
      <c r="AG28" s="254"/>
      <c r="AH28" s="235"/>
      <c r="AI28" s="235"/>
      <c r="AJ28" s="237"/>
      <c r="AK28" s="2"/>
      <c r="AL28" s="79">
        <f t="shared" si="28"/>
        <v>11</v>
      </c>
      <c r="AM28" s="211">
        <f t="shared" si="13"/>
        <v>16.933</v>
      </c>
      <c r="AN28" s="212">
        <f t="shared" si="14"/>
        <v>8.0318829861794754</v>
      </c>
      <c r="AO28" s="212">
        <f t="shared" si="15"/>
        <v>17.323999999999998</v>
      </c>
      <c r="AP28" s="212">
        <f t="shared" si="16"/>
        <v>8.2148439401233322</v>
      </c>
      <c r="AQ28" s="221">
        <f t="shared" si="17"/>
        <v>8.1233843115116411</v>
      </c>
      <c r="AR28" s="226" t="e">
        <f t="shared" si="18"/>
        <v>#DIV/0!</v>
      </c>
      <c r="AS28" s="212" t="e">
        <f t="shared" si="19"/>
        <v>#DIV/0!</v>
      </c>
      <c r="AT28" s="212" t="e">
        <f t="shared" si="20"/>
        <v>#DIV/0!</v>
      </c>
      <c r="AU28" s="227" t="e">
        <f t="shared" si="21"/>
        <v>#DIV/0!</v>
      </c>
      <c r="AV28" s="226" t="e">
        <f t="shared" si="22"/>
        <v>#DIV/0!</v>
      </c>
      <c r="AW28" s="233" t="e">
        <f t="shared" si="23"/>
        <v>#DIV/0!</v>
      </c>
      <c r="AX28" s="286" t="e">
        <f t="shared" si="24"/>
        <v>#DIV/0!</v>
      </c>
      <c r="AY28" s="232">
        <f t="shared" si="25"/>
        <v>370.99819404431514</v>
      </c>
      <c r="AZ28" s="213">
        <f t="shared" si="0"/>
        <v>2.9217432567821794E-3</v>
      </c>
      <c r="BA28" s="215" t="e">
        <f t="shared" si="26"/>
        <v>#DIV/0!</v>
      </c>
      <c r="BB28" s="212">
        <f t="shared" si="1"/>
        <v>0.43365589310250868</v>
      </c>
      <c r="BC28" s="213" t="e">
        <f t="shared" si="2"/>
        <v>#DIV/0!</v>
      </c>
      <c r="BD28" s="214" t="e">
        <f t="shared" si="3"/>
        <v>#DIV/0!</v>
      </c>
      <c r="BE28" s="219" t="e">
        <f t="shared" si="27"/>
        <v>#DIV/0!</v>
      </c>
      <c r="BF28" s="252"/>
    </row>
    <row r="29" spans="2:58" x14ac:dyDescent="0.2">
      <c r="B29" s="13"/>
      <c r="C29" s="2"/>
      <c r="D29" s="2"/>
      <c r="E29" s="2"/>
      <c r="F29" s="2"/>
      <c r="G29" s="2"/>
      <c r="H29" s="2"/>
      <c r="I29" s="2"/>
      <c r="J29" s="2"/>
      <c r="K29" s="2"/>
      <c r="L29" s="79">
        <v>12</v>
      </c>
      <c r="M29" s="211">
        <f t="shared" si="4"/>
        <v>17.423999999999999</v>
      </c>
      <c r="N29" s="212">
        <f t="shared" si="5"/>
        <v>34.874954397640572</v>
      </c>
      <c r="O29" s="212">
        <f t="shared" si="6"/>
        <v>17.814999999999998</v>
      </c>
      <c r="P29" s="289">
        <f t="shared" si="7"/>
        <v>35.473672308966016</v>
      </c>
      <c r="Q29" s="221">
        <f t="shared" si="8"/>
        <v>35.175415668027725</v>
      </c>
      <c r="R29" s="226"/>
      <c r="S29" s="296">
        <f t="shared" ca="1" si="9"/>
        <v>0.26627992626904257</v>
      </c>
      <c r="T29" s="296"/>
      <c r="U29" s="286">
        <f t="shared" ca="1" si="10"/>
        <v>0.26627992626904257</v>
      </c>
      <c r="V29" s="240"/>
      <c r="W29" s="299"/>
      <c r="X29" s="300"/>
      <c r="Y29" s="296">
        <f t="shared" ca="1" si="11"/>
        <v>2.9612213090405946</v>
      </c>
      <c r="Z29" s="296"/>
      <c r="AA29" s="286">
        <f t="shared" ca="1" si="12"/>
        <v>2.9612213090405946</v>
      </c>
      <c r="AB29" s="217"/>
      <c r="AC29" s="86"/>
      <c r="AD29" s="293"/>
      <c r="AE29" s="217"/>
      <c r="AF29" s="86"/>
      <c r="AG29" s="254"/>
      <c r="AH29" s="235"/>
      <c r="AI29" s="235"/>
      <c r="AJ29" s="237"/>
      <c r="AK29" s="2"/>
      <c r="AL29" s="79">
        <f t="shared" si="28"/>
        <v>12</v>
      </c>
      <c r="AM29" s="211">
        <f t="shared" si="13"/>
        <v>17.423999999999999</v>
      </c>
      <c r="AN29" s="212">
        <f t="shared" si="14"/>
        <v>8.2616100983679015</v>
      </c>
      <c r="AO29" s="212">
        <f t="shared" si="15"/>
        <v>17.814999999999998</v>
      </c>
      <c r="AP29" s="212">
        <f t="shared" si="16"/>
        <v>8.4443588539440011</v>
      </c>
      <c r="AQ29" s="221">
        <f t="shared" si="17"/>
        <v>8.3530058724311349</v>
      </c>
      <c r="AR29" s="226" t="e">
        <f t="shared" si="18"/>
        <v>#DIV/0!</v>
      </c>
      <c r="AS29" s="212" t="e">
        <f t="shared" si="19"/>
        <v>#DIV/0!</v>
      </c>
      <c r="AT29" s="212" t="e">
        <f t="shared" si="20"/>
        <v>#DIV/0!</v>
      </c>
      <c r="AU29" s="227" t="e">
        <f t="shared" si="21"/>
        <v>#DIV/0!</v>
      </c>
      <c r="AV29" s="226" t="e">
        <f t="shared" si="22"/>
        <v>#DIV/0!</v>
      </c>
      <c r="AW29" s="233" t="e">
        <f t="shared" si="23"/>
        <v>#DIV/0!</v>
      </c>
      <c r="AX29" s="286" t="e">
        <f t="shared" si="24"/>
        <v>#DIV/0!</v>
      </c>
      <c r="AY29" s="232">
        <f t="shared" si="25"/>
        <v>369.67987997851355</v>
      </c>
      <c r="AZ29" s="213">
        <f t="shared" si="0"/>
        <v>2.9896086249898298E-3</v>
      </c>
      <c r="BA29" s="215" t="e">
        <f t="shared" si="26"/>
        <v>#DIV/0!</v>
      </c>
      <c r="BB29" s="212">
        <f t="shared" si="1"/>
        <v>0.44450179541121704</v>
      </c>
      <c r="BC29" s="213" t="e">
        <f t="shared" si="2"/>
        <v>#DIV/0!</v>
      </c>
      <c r="BD29" s="214" t="e">
        <f t="shared" si="3"/>
        <v>#DIV/0!</v>
      </c>
      <c r="BE29" s="219" t="e">
        <f t="shared" si="27"/>
        <v>#DIV/0!</v>
      </c>
      <c r="BF29" s="252"/>
    </row>
    <row r="30" spans="2:58" x14ac:dyDescent="0.2">
      <c r="B30" s="91" t="s">
        <v>289</v>
      </c>
      <c r="C30" s="2"/>
      <c r="D30" s="2"/>
      <c r="E30" s="2"/>
      <c r="F30" s="2"/>
      <c r="G30" s="2"/>
      <c r="H30" s="2"/>
      <c r="I30" s="2"/>
      <c r="J30" s="2"/>
      <c r="K30" s="2"/>
      <c r="L30" s="79">
        <v>13</v>
      </c>
      <c r="M30" s="211">
        <f t="shared" si="4"/>
        <v>17.914999999999999</v>
      </c>
      <c r="N30" s="212">
        <f t="shared" si="5"/>
        <v>35.625383631823979</v>
      </c>
      <c r="O30" s="212">
        <f t="shared" si="6"/>
        <v>18.306000000000001</v>
      </c>
      <c r="P30" s="289">
        <f t="shared" si="7"/>
        <v>36.213080188182715</v>
      </c>
      <c r="Q30" s="221">
        <f t="shared" si="8"/>
        <v>35.920323612486101</v>
      </c>
      <c r="R30" s="226"/>
      <c r="S30" s="296">
        <f t="shared" ca="1" si="9"/>
        <v>0.26137802570735613</v>
      </c>
      <c r="T30" s="296"/>
      <c r="U30" s="286">
        <f t="shared" ca="1" si="10"/>
        <v>0.26137802570735613</v>
      </c>
      <c r="V30" s="240"/>
      <c r="W30" s="299"/>
      <c r="X30" s="300"/>
      <c r="Y30" s="296">
        <f t="shared" ca="1" si="11"/>
        <v>2.959626849138004</v>
      </c>
      <c r="Z30" s="296"/>
      <c r="AA30" s="286">
        <f t="shared" ca="1" si="12"/>
        <v>2.959626849138004</v>
      </c>
      <c r="AB30" s="217"/>
      <c r="AC30" s="86"/>
      <c r="AD30" s="293"/>
      <c r="AE30" s="217"/>
      <c r="AF30" s="86"/>
      <c r="AG30" s="254"/>
      <c r="AH30" s="235"/>
      <c r="AI30" s="235"/>
      <c r="AJ30" s="237"/>
      <c r="AK30" s="2"/>
      <c r="AL30" s="79">
        <f t="shared" si="28"/>
        <v>13</v>
      </c>
      <c r="AM30" s="211">
        <f t="shared" si="13"/>
        <v>17.914999999999999</v>
      </c>
      <c r="AN30" s="212">
        <f t="shared" si="14"/>
        <v>8.491070038652877</v>
      </c>
      <c r="AO30" s="212">
        <f t="shared" si="15"/>
        <v>18.306000000000001</v>
      </c>
      <c r="AP30" s="212">
        <f t="shared" si="16"/>
        <v>8.6736011116687717</v>
      </c>
      <c r="AQ30" s="221">
        <f t="shared" si="17"/>
        <v>8.5823575153209077</v>
      </c>
      <c r="AR30" s="226" t="e">
        <f t="shared" si="18"/>
        <v>#DIV/0!</v>
      </c>
      <c r="AS30" s="212" t="e">
        <f t="shared" si="19"/>
        <v>#DIV/0!</v>
      </c>
      <c r="AT30" s="212" t="e">
        <f t="shared" si="20"/>
        <v>#DIV/0!</v>
      </c>
      <c r="AU30" s="227" t="e">
        <f t="shared" si="21"/>
        <v>#DIV/0!</v>
      </c>
      <c r="AV30" s="226" t="e">
        <f t="shared" si="22"/>
        <v>#DIV/0!</v>
      </c>
      <c r="AW30" s="233" t="e">
        <f t="shared" si="23"/>
        <v>#DIV/0!</v>
      </c>
      <c r="AX30" s="286" t="e">
        <f t="shared" si="24"/>
        <v>#DIV/0!</v>
      </c>
      <c r="AY30" s="232">
        <f t="shared" si="25"/>
        <v>368.43423196617374</v>
      </c>
      <c r="AZ30" s="213">
        <f t="shared" si="0"/>
        <v>3.0570949538976126E-3</v>
      </c>
      <c r="BA30" s="215" t="e">
        <f t="shared" si="26"/>
        <v>#DIV/0!</v>
      </c>
      <c r="BB30" s="212">
        <f t="shared" si="1"/>
        <v>0.45534916043710544</v>
      </c>
      <c r="BC30" s="213" t="e">
        <f t="shared" si="2"/>
        <v>#DIV/0!</v>
      </c>
      <c r="BD30" s="214" t="e">
        <f t="shared" si="3"/>
        <v>#DIV/0!</v>
      </c>
      <c r="BE30" s="219" t="e">
        <f t="shared" si="27"/>
        <v>#DIV/0!</v>
      </c>
      <c r="BF30" s="252"/>
    </row>
    <row r="31" spans="2:58" x14ac:dyDescent="0.2">
      <c r="B31" s="13"/>
      <c r="C31" s="2"/>
      <c r="D31" s="2"/>
      <c r="E31" s="2"/>
      <c r="F31" s="2"/>
      <c r="G31" s="2"/>
      <c r="H31" s="2"/>
      <c r="I31" s="2"/>
      <c r="J31" s="2"/>
      <c r="K31" s="2"/>
      <c r="L31" s="79">
        <v>14</v>
      </c>
      <c r="M31" s="211">
        <f t="shared" si="4"/>
        <v>18.405999999999999</v>
      </c>
      <c r="N31" s="212">
        <f t="shared" si="5"/>
        <v>36.361986659631484</v>
      </c>
      <c r="O31" s="212">
        <f t="shared" si="6"/>
        <v>18.797000000000001</v>
      </c>
      <c r="P31" s="289">
        <f t="shared" si="7"/>
        <v>36.938773740759011</v>
      </c>
      <c r="Q31" s="221">
        <f t="shared" si="8"/>
        <v>36.651460257066553</v>
      </c>
      <c r="R31" s="226"/>
      <c r="S31" s="296">
        <f t="shared" ca="1" si="9"/>
        <v>0.25652589700023415</v>
      </c>
      <c r="T31" s="296"/>
      <c r="U31" s="286">
        <f t="shared" ca="1" si="10"/>
        <v>0.25652589700023415</v>
      </c>
      <c r="V31" s="240"/>
      <c r="W31" s="299"/>
      <c r="X31" s="300"/>
      <c r="Y31" s="296">
        <f t="shared" ca="1" si="11"/>
        <v>2.9580346304832084</v>
      </c>
      <c r="Z31" s="296"/>
      <c r="AA31" s="286">
        <f t="shared" ca="1" si="12"/>
        <v>2.9580346304832084</v>
      </c>
      <c r="AB31" s="217"/>
      <c r="AC31" s="86"/>
      <c r="AD31" s="293"/>
      <c r="AE31" s="217"/>
      <c r="AF31" s="86"/>
      <c r="AG31" s="254"/>
      <c r="AH31" s="235"/>
      <c r="AI31" s="235"/>
      <c r="AJ31" s="237"/>
      <c r="AK31" s="2"/>
      <c r="AL31" s="79">
        <f t="shared" si="28"/>
        <v>14</v>
      </c>
      <c r="AM31" s="211">
        <f t="shared" si="13"/>
        <v>18.405999999999999</v>
      </c>
      <c r="AN31" s="212">
        <f t="shared" si="14"/>
        <v>8.7202559254351346</v>
      </c>
      <c r="AO31" s="212">
        <f t="shared" si="15"/>
        <v>18.797000000000001</v>
      </c>
      <c r="AP31" s="212">
        <f t="shared" si="16"/>
        <v>8.9025638726250129</v>
      </c>
      <c r="AQ31" s="221">
        <f t="shared" si="17"/>
        <v>8.8114323789575426</v>
      </c>
      <c r="AR31" s="226" t="e">
        <f t="shared" si="18"/>
        <v>#DIV/0!</v>
      </c>
      <c r="AS31" s="212" t="e">
        <f t="shared" si="19"/>
        <v>#DIV/0!</v>
      </c>
      <c r="AT31" s="212" t="e">
        <f t="shared" si="20"/>
        <v>#DIV/0!</v>
      </c>
      <c r="AU31" s="227" t="e">
        <f t="shared" si="21"/>
        <v>#DIV/0!</v>
      </c>
      <c r="AV31" s="226" t="e">
        <f t="shared" si="22"/>
        <v>#DIV/0!</v>
      </c>
      <c r="AW31" s="233" t="e">
        <f t="shared" si="23"/>
        <v>#DIV/0!</v>
      </c>
      <c r="AX31" s="286" t="e">
        <f t="shared" si="24"/>
        <v>#DIV/0!</v>
      </c>
      <c r="AY31" s="232">
        <f t="shared" si="25"/>
        <v>367.25526599227237</v>
      </c>
      <c r="AZ31" s="213">
        <f t="shared" si="0"/>
        <v>3.124191917098285E-3</v>
      </c>
      <c r="BA31" s="215" t="e">
        <f t="shared" si="26"/>
        <v>#DIV/0!</v>
      </c>
      <c r="BB31" s="212">
        <f t="shared" si="1"/>
        <v>0.46619769647414089</v>
      </c>
      <c r="BC31" s="213" t="e">
        <f t="shared" si="2"/>
        <v>#DIV/0!</v>
      </c>
      <c r="BD31" s="214" t="e">
        <f t="shared" si="3"/>
        <v>#DIV/0!</v>
      </c>
      <c r="BE31" s="219" t="e">
        <f t="shared" si="27"/>
        <v>#DIV/0!</v>
      </c>
      <c r="BF31" s="252"/>
    </row>
    <row r="32" spans="2:58" x14ac:dyDescent="0.2">
      <c r="B32" s="13"/>
      <c r="C32" s="8" t="s">
        <v>106</v>
      </c>
      <c r="D32" s="8"/>
      <c r="E32" s="2"/>
      <c r="F32" s="2"/>
      <c r="G32" s="8" t="s">
        <v>107</v>
      </c>
      <c r="H32" s="8"/>
      <c r="I32" s="210"/>
      <c r="J32" s="8"/>
      <c r="K32" s="2"/>
      <c r="L32" s="79">
        <v>15</v>
      </c>
      <c r="M32" s="211">
        <f t="shared" si="4"/>
        <v>18.896999999999998</v>
      </c>
      <c r="N32" s="212">
        <f t="shared" si="5"/>
        <v>37.084905273683191</v>
      </c>
      <c r="O32" s="212">
        <f t="shared" si="6"/>
        <v>19.288</v>
      </c>
      <c r="P32" s="289">
        <f t="shared" si="7"/>
        <v>37.650904592802078</v>
      </c>
      <c r="Q32" s="221">
        <f t="shared" si="8"/>
        <v>37.368972419452419</v>
      </c>
      <c r="R32" s="226"/>
      <c r="S32" s="296">
        <f t="shared" ca="1" si="9"/>
        <v>0.25172791299437364</v>
      </c>
      <c r="T32" s="296"/>
      <c r="U32" s="286">
        <f t="shared" ca="1" si="10"/>
        <v>0.25172791299437364</v>
      </c>
      <c r="V32" s="240"/>
      <c r="W32" s="299"/>
      <c r="X32" s="300"/>
      <c r="Y32" s="296">
        <f t="shared" ca="1" si="11"/>
        <v>2.956446144499997</v>
      </c>
      <c r="Z32" s="296"/>
      <c r="AA32" s="286">
        <f t="shared" ca="1" si="12"/>
        <v>2.956446144499997</v>
      </c>
      <c r="AB32" s="217"/>
      <c r="AC32" s="86"/>
      <c r="AD32" s="293"/>
      <c r="AE32" s="217"/>
      <c r="AF32" s="86"/>
      <c r="AG32" s="254"/>
      <c r="AH32" s="235"/>
      <c r="AI32" s="235"/>
      <c r="AJ32" s="237"/>
      <c r="AK32" s="2"/>
      <c r="AL32" s="79">
        <f t="shared" si="28"/>
        <v>15</v>
      </c>
      <c r="AM32" s="211">
        <f t="shared" si="13"/>
        <v>18.896999999999998</v>
      </c>
      <c r="AN32" s="212">
        <f t="shared" si="14"/>
        <v>8.9491609286211062</v>
      </c>
      <c r="AO32" s="212">
        <f t="shared" si="15"/>
        <v>19.288</v>
      </c>
      <c r="AP32" s="212">
        <f t="shared" si="16"/>
        <v>9.131240348515167</v>
      </c>
      <c r="AQ32" s="221">
        <f t="shared" si="17"/>
        <v>9.0402236540598793</v>
      </c>
      <c r="AR32" s="226" t="e">
        <f t="shared" si="18"/>
        <v>#DIV/0!</v>
      </c>
      <c r="AS32" s="212" t="e">
        <f t="shared" si="19"/>
        <v>#DIV/0!</v>
      </c>
      <c r="AT32" s="212" t="e">
        <f t="shared" si="20"/>
        <v>#DIV/0!</v>
      </c>
      <c r="AU32" s="227" t="e">
        <f t="shared" si="21"/>
        <v>#DIV/0!</v>
      </c>
      <c r="AV32" s="226" t="e">
        <f t="shared" si="22"/>
        <v>#DIV/0!</v>
      </c>
      <c r="AW32" s="233" t="e">
        <f t="shared" si="23"/>
        <v>#DIV/0!</v>
      </c>
      <c r="AX32" s="286" t="e">
        <f t="shared" si="24"/>
        <v>#DIV/0!</v>
      </c>
      <c r="AY32" s="232">
        <f t="shared" si="25"/>
        <v>366.1376509905794</v>
      </c>
      <c r="AZ32" s="213">
        <f t="shared" si="0"/>
        <v>3.1908896747030605E-3</v>
      </c>
      <c r="BA32" s="215" t="e">
        <f t="shared" si="26"/>
        <v>#DIV/0!</v>
      </c>
      <c r="BB32" s="212">
        <f t="shared" si="1"/>
        <v>0.47704716052901242</v>
      </c>
      <c r="BC32" s="213" t="e">
        <f t="shared" si="2"/>
        <v>#DIV/0!</v>
      </c>
      <c r="BD32" s="214" t="e">
        <f t="shared" si="3"/>
        <v>#DIV/0!</v>
      </c>
      <c r="BE32" s="219" t="e">
        <f t="shared" si="27"/>
        <v>#DIV/0!</v>
      </c>
      <c r="BF32" s="252"/>
    </row>
    <row r="33" spans="2:58" x14ac:dyDescent="0.2">
      <c r="B33" s="13"/>
      <c r="C33" s="88" t="s">
        <v>290</v>
      </c>
      <c r="D33" s="37">
        <v>48</v>
      </c>
      <c r="E33" s="2"/>
      <c r="F33" s="87"/>
      <c r="G33" s="88" t="s">
        <v>290</v>
      </c>
      <c r="H33" s="37">
        <v>48</v>
      </c>
      <c r="I33" s="87"/>
      <c r="J33" s="2"/>
      <c r="K33" s="2"/>
      <c r="L33" s="79">
        <v>16</v>
      </c>
      <c r="M33" s="211">
        <f t="shared" si="4"/>
        <v>19.387999999999998</v>
      </c>
      <c r="N33" s="212">
        <f t="shared" si="5"/>
        <v>37.794293477249077</v>
      </c>
      <c r="O33" s="212">
        <f t="shared" si="6"/>
        <v>19.779</v>
      </c>
      <c r="P33" s="289">
        <f t="shared" si="7"/>
        <v>38.349635519562703</v>
      </c>
      <c r="Q33" s="221">
        <f t="shared" si="8"/>
        <v>38.073018591886864</v>
      </c>
      <c r="R33" s="226"/>
      <c r="S33" s="296">
        <f t="shared" ca="1" si="9"/>
        <v>0.24698797440738224</v>
      </c>
      <c r="T33" s="296"/>
      <c r="U33" s="286">
        <f t="shared" ca="1" si="10"/>
        <v>0.24698797440738224</v>
      </c>
      <c r="V33" s="240"/>
      <c r="W33" s="299"/>
      <c r="X33" s="300"/>
      <c r="Y33" s="296">
        <f t="shared" ca="1" si="11"/>
        <v>2.9548627781120129</v>
      </c>
      <c r="Z33" s="296"/>
      <c r="AA33" s="286">
        <f t="shared" ca="1" si="12"/>
        <v>2.9548627781120129</v>
      </c>
      <c r="AB33" s="217"/>
      <c r="AC33" s="86"/>
      <c r="AD33" s="293"/>
      <c r="AE33" s="217"/>
      <c r="AF33" s="86"/>
      <c r="AG33" s="254"/>
      <c r="AH33" s="235"/>
      <c r="AI33" s="235"/>
      <c r="AJ33" s="237"/>
      <c r="AK33" s="2"/>
      <c r="AL33" s="79">
        <f t="shared" si="28"/>
        <v>16</v>
      </c>
      <c r="AM33" s="211">
        <f t="shared" si="13"/>
        <v>19.387999999999998</v>
      </c>
      <c r="AN33" s="212">
        <f t="shared" si="14"/>
        <v>9.1777782707122295</v>
      </c>
      <c r="AO33" s="212">
        <f t="shared" si="15"/>
        <v>19.779</v>
      </c>
      <c r="AP33" s="212">
        <f t="shared" si="16"/>
        <v>9.3596238044871054</v>
      </c>
      <c r="AQ33" s="221">
        <f t="shared" si="17"/>
        <v>9.2687245843688633</v>
      </c>
      <c r="AR33" s="226" t="e">
        <f t="shared" si="18"/>
        <v>#DIV/0!</v>
      </c>
      <c r="AS33" s="212" t="e">
        <f t="shared" si="19"/>
        <v>#DIV/0!</v>
      </c>
      <c r="AT33" s="212" t="e">
        <f t="shared" si="20"/>
        <v>#DIV/0!</v>
      </c>
      <c r="AU33" s="227" t="e">
        <f t="shared" si="21"/>
        <v>#DIV/0!</v>
      </c>
      <c r="AV33" s="226" t="e">
        <f t="shared" si="22"/>
        <v>#DIV/0!</v>
      </c>
      <c r="AW33" s="233" t="e">
        <f t="shared" si="23"/>
        <v>#DIV/0!</v>
      </c>
      <c r="AX33" s="286" t="e">
        <f t="shared" si="24"/>
        <v>#DIV/0!</v>
      </c>
      <c r="AY33" s="232">
        <f t="shared" si="25"/>
        <v>365.07662051655171</v>
      </c>
      <c r="AZ33" s="213">
        <f t="shared" si="0"/>
        <v>3.2571788156721812E-3</v>
      </c>
      <c r="BA33" s="215" t="e">
        <f t="shared" si="26"/>
        <v>#DIV/0!</v>
      </c>
      <c r="BB33" s="212">
        <f t="shared" si="1"/>
        <v>0.48789734967042436</v>
      </c>
      <c r="BC33" s="213" t="e">
        <f t="shared" si="2"/>
        <v>#DIV/0!</v>
      </c>
      <c r="BD33" s="214" t="e">
        <f t="shared" si="3"/>
        <v>#DIV/0!</v>
      </c>
      <c r="BE33" s="219" t="e">
        <f t="shared" si="27"/>
        <v>#DIV/0!</v>
      </c>
      <c r="BF33" s="252"/>
    </row>
    <row r="34" spans="2:58" x14ac:dyDescent="0.2">
      <c r="B34" s="13"/>
      <c r="C34" s="88" t="s">
        <v>113</v>
      </c>
      <c r="D34" s="37">
        <v>35</v>
      </c>
      <c r="E34" s="84" t="s">
        <v>1623</v>
      </c>
      <c r="F34" s="87"/>
      <c r="G34" s="88" t="s">
        <v>113</v>
      </c>
      <c r="H34" s="37">
        <v>35</v>
      </c>
      <c r="I34" s="84" t="s">
        <v>1623</v>
      </c>
      <c r="J34" s="2"/>
      <c r="K34" s="2"/>
      <c r="L34" s="79">
        <v>17</v>
      </c>
      <c r="M34" s="211">
        <f t="shared" si="4"/>
        <v>19.878999999999998</v>
      </c>
      <c r="N34" s="212">
        <f t="shared" si="5"/>
        <v>38.490316158158393</v>
      </c>
      <c r="O34" s="212">
        <f t="shared" si="6"/>
        <v>20.27</v>
      </c>
      <c r="P34" s="289">
        <f t="shared" si="7"/>
        <v>39.035139173748433</v>
      </c>
      <c r="Q34" s="221">
        <f t="shared" si="8"/>
        <v>38.763767642137623</v>
      </c>
      <c r="R34" s="226"/>
      <c r="S34" s="296">
        <f t="shared" ca="1" si="9"/>
        <v>0.24230953403285274</v>
      </c>
      <c r="T34" s="296"/>
      <c r="U34" s="286">
        <f t="shared" ca="1" si="10"/>
        <v>0.24230953403285274</v>
      </c>
      <c r="V34" s="240"/>
      <c r="W34" s="299"/>
      <c r="X34" s="300"/>
      <c r="Y34" s="296">
        <f t="shared" ca="1" si="11"/>
        <v>2.9532858170308214</v>
      </c>
      <c r="Z34" s="296"/>
      <c r="AA34" s="286">
        <f t="shared" ca="1" si="12"/>
        <v>2.9532858170308214</v>
      </c>
      <c r="AB34" s="217"/>
      <c r="AC34" s="86"/>
      <c r="AD34" s="293"/>
      <c r="AE34" s="217"/>
      <c r="AF34" s="86"/>
      <c r="AG34" s="254"/>
      <c r="AH34" s="235"/>
      <c r="AI34" s="235"/>
      <c r="AJ34" s="237"/>
      <c r="AK34" s="2"/>
      <c r="AL34" s="79">
        <f t="shared" si="28"/>
        <v>17</v>
      </c>
      <c r="AM34" s="211">
        <f t="shared" si="13"/>
        <v>19.878999999999998</v>
      </c>
      <c r="AN34" s="212">
        <f t="shared" si="14"/>
        <v>9.4061012278704279</v>
      </c>
      <c r="AO34" s="212">
        <f t="shared" si="15"/>
        <v>20.27</v>
      </c>
      <c r="AP34" s="212">
        <f t="shared" si="16"/>
        <v>9.5877075601804069</v>
      </c>
      <c r="AQ34" s="221">
        <f t="shared" si="17"/>
        <v>9.4969284677034711</v>
      </c>
      <c r="AR34" s="226" t="e">
        <f t="shared" si="18"/>
        <v>#DIV/0!</v>
      </c>
      <c r="AS34" s="212" t="e">
        <f t="shared" si="19"/>
        <v>#DIV/0!</v>
      </c>
      <c r="AT34" s="212" t="e">
        <f t="shared" si="20"/>
        <v>#DIV/0!</v>
      </c>
      <c r="AU34" s="227" t="e">
        <f t="shared" si="21"/>
        <v>#DIV/0!</v>
      </c>
      <c r="AV34" s="226" t="e">
        <f t="shared" si="22"/>
        <v>#DIV/0!</v>
      </c>
      <c r="AW34" s="233" t="e">
        <f t="shared" si="23"/>
        <v>#DIV/0!</v>
      </c>
      <c r="AX34" s="286" t="e">
        <f t="shared" si="24"/>
        <v>#DIV/0!</v>
      </c>
      <c r="AY34" s="232">
        <f t="shared" si="25"/>
        <v>364.06789861543359</v>
      </c>
      <c r="AZ34" s="213">
        <f t="shared" si="0"/>
        <v>3.3230503117429875E-3</v>
      </c>
      <c r="BA34" s="215" t="e">
        <f t="shared" si="26"/>
        <v>#DIV/0!</v>
      </c>
      <c r="BB34" s="212">
        <f t="shared" si="1"/>
        <v>0.49874809406737469</v>
      </c>
      <c r="BC34" s="213" t="e">
        <f t="shared" si="2"/>
        <v>#DIV/0!</v>
      </c>
      <c r="BD34" s="214" t="e">
        <f t="shared" si="3"/>
        <v>#DIV/0!</v>
      </c>
      <c r="BE34" s="219" t="e">
        <f t="shared" si="27"/>
        <v>#DIV/0!</v>
      </c>
      <c r="BF34" s="252"/>
    </row>
    <row r="35" spans="2:58" x14ac:dyDescent="0.2">
      <c r="B35" s="13"/>
      <c r="C35" s="88" t="s">
        <v>114</v>
      </c>
      <c r="D35" s="37">
        <v>11.532</v>
      </c>
      <c r="E35" s="84" t="s">
        <v>1623</v>
      </c>
      <c r="F35" s="87"/>
      <c r="G35" s="88" t="s">
        <v>114</v>
      </c>
      <c r="H35" s="37">
        <v>11.532</v>
      </c>
      <c r="I35" s="84" t="s">
        <v>1623</v>
      </c>
      <c r="J35" s="2"/>
      <c r="K35" s="2"/>
      <c r="L35" s="79">
        <v>18</v>
      </c>
      <c r="M35" s="211">
        <f t="shared" si="4"/>
        <v>20.369999999999997</v>
      </c>
      <c r="N35" s="212">
        <f t="shared" si="5"/>
        <v>39.173147831196118</v>
      </c>
      <c r="O35" s="212">
        <f t="shared" si="6"/>
        <v>20.760999999999999</v>
      </c>
      <c r="P35" s="289">
        <f t="shared" si="7"/>
        <v>39.707596883434782</v>
      </c>
      <c r="Q35" s="221">
        <f t="shared" si="8"/>
        <v>39.441397583574933</v>
      </c>
      <c r="R35" s="226"/>
      <c r="S35" s="296">
        <f t="shared" ca="1" si="9"/>
        <v>0.23769562143847914</v>
      </c>
      <c r="T35" s="296"/>
      <c r="U35" s="286">
        <f t="shared" ca="1" si="10"/>
        <v>0.23769562143847914</v>
      </c>
      <c r="V35" s="240"/>
      <c r="W35" s="299"/>
      <c r="X35" s="300"/>
      <c r="Y35" s="296">
        <f t="shared" ca="1" si="11"/>
        <v>2.9517164493093047</v>
      </c>
      <c r="Z35" s="296"/>
      <c r="AA35" s="286">
        <f t="shared" ca="1" si="12"/>
        <v>2.9517164493093047</v>
      </c>
      <c r="AB35" s="217"/>
      <c r="AC35" s="86"/>
      <c r="AD35" s="293"/>
      <c r="AE35" s="217"/>
      <c r="AF35" s="86"/>
      <c r="AG35" s="254"/>
      <c r="AH35" s="235"/>
      <c r="AI35" s="235"/>
      <c r="AJ35" s="237"/>
      <c r="AK35" s="2"/>
      <c r="AL35" s="79">
        <f t="shared" si="28"/>
        <v>18</v>
      </c>
      <c r="AM35" s="211">
        <f t="shared" si="13"/>
        <v>20.369999999999997</v>
      </c>
      <c r="AN35" s="212">
        <f t="shared" si="14"/>
        <v>9.634123130959436</v>
      </c>
      <c r="AO35" s="212">
        <f t="shared" si="15"/>
        <v>20.760999999999999</v>
      </c>
      <c r="AP35" s="212">
        <f t="shared" si="16"/>
        <v>9.8154849907482209</v>
      </c>
      <c r="AQ35" s="221">
        <f t="shared" si="17"/>
        <v>9.7248286569923188</v>
      </c>
      <c r="AR35" s="226" t="e">
        <f t="shared" si="18"/>
        <v>#DIV/0!</v>
      </c>
      <c r="AS35" s="212" t="e">
        <f t="shared" si="19"/>
        <v>#DIV/0!</v>
      </c>
      <c r="AT35" s="212" t="e">
        <f t="shared" si="20"/>
        <v>#DIV/0!</v>
      </c>
      <c r="AU35" s="227" t="e">
        <f t="shared" si="21"/>
        <v>#DIV/0!</v>
      </c>
      <c r="AV35" s="226" t="e">
        <f t="shared" si="22"/>
        <v>#DIV/0!</v>
      </c>
      <c r="AW35" s="233" t="e">
        <f t="shared" si="23"/>
        <v>#DIV/0!</v>
      </c>
      <c r="AX35" s="286" t="e">
        <f t="shared" si="24"/>
        <v>#DIV/0!</v>
      </c>
      <c r="AY35" s="232">
        <f t="shared" si="25"/>
        <v>363.10763725459111</v>
      </c>
      <c r="AZ35" s="213">
        <f t="shared" si="0"/>
        <v>3.38849548045467E-3</v>
      </c>
      <c r="BA35" s="215" t="e">
        <f t="shared" si="26"/>
        <v>#DIV/0!</v>
      </c>
      <c r="BB35" s="212">
        <f t="shared" si="1"/>
        <v>0.50959925135347794</v>
      </c>
      <c r="BC35" s="213" t="e">
        <f t="shared" si="2"/>
        <v>#DIV/0!</v>
      </c>
      <c r="BD35" s="214" t="e">
        <f t="shared" si="3"/>
        <v>#DIV/0!</v>
      </c>
      <c r="BE35" s="219" t="e">
        <f t="shared" si="27"/>
        <v>#DIV/0!</v>
      </c>
      <c r="BF35" s="252"/>
    </row>
    <row r="36" spans="2:58" x14ac:dyDescent="0.2">
      <c r="B36" s="13"/>
      <c r="C36" s="106" t="s">
        <v>115</v>
      </c>
      <c r="D36" s="37">
        <v>0.49099999999999999</v>
      </c>
      <c r="E36" s="83" t="s">
        <v>1623</v>
      </c>
      <c r="F36" s="87"/>
      <c r="G36" s="106" t="s">
        <v>115</v>
      </c>
      <c r="H36" s="37">
        <v>0.49099999999999999</v>
      </c>
      <c r="I36" s="2" t="s">
        <v>1623</v>
      </c>
      <c r="J36" s="2"/>
      <c r="K36" s="2"/>
      <c r="L36" s="79">
        <v>19</v>
      </c>
      <c r="M36" s="211">
        <f t="shared" si="4"/>
        <v>20.861000000000001</v>
      </c>
      <c r="N36" s="212">
        <f t="shared" si="5"/>
        <v>39.842971450293135</v>
      </c>
      <c r="O36" s="212">
        <f t="shared" si="6"/>
        <v>21.252000000000002</v>
      </c>
      <c r="P36" s="289">
        <f t="shared" si="7"/>
        <v>40.36719752021687</v>
      </c>
      <c r="Q36" s="221">
        <f t="shared" si="8"/>
        <v>40.10609441532818</v>
      </c>
      <c r="R36" s="226"/>
      <c r="S36" s="296">
        <f t="shared" ca="1" si="9"/>
        <v>0.23314886786179528</v>
      </c>
      <c r="T36" s="296"/>
      <c r="U36" s="286">
        <f t="shared" ca="1" si="10"/>
        <v>0.23314886786179528</v>
      </c>
      <c r="V36" s="240"/>
      <c r="W36" s="299"/>
      <c r="X36" s="300"/>
      <c r="Y36" s="296">
        <f t="shared" ca="1" si="11"/>
        <v>2.9501557690998519</v>
      </c>
      <c r="Z36" s="296"/>
      <c r="AA36" s="286">
        <f t="shared" ca="1" si="12"/>
        <v>2.9501557690998519</v>
      </c>
      <c r="AB36" s="217"/>
      <c r="AC36" s="86"/>
      <c r="AD36" s="293"/>
      <c r="AE36" s="217"/>
      <c r="AF36" s="86"/>
      <c r="AG36" s="254"/>
      <c r="AH36" s="235"/>
      <c r="AI36" s="235"/>
      <c r="AJ36" s="237"/>
      <c r="AK36" s="2"/>
      <c r="AL36" s="79">
        <f t="shared" si="28"/>
        <v>19</v>
      </c>
      <c r="AM36" s="211">
        <f t="shared" si="13"/>
        <v>20.861000000000001</v>
      </c>
      <c r="AN36" s="212">
        <f t="shared" si="14"/>
        <v>9.8618373665616659</v>
      </c>
      <c r="AO36" s="212">
        <f t="shared" si="15"/>
        <v>21.252000000000002</v>
      </c>
      <c r="AP36" s="212">
        <f t="shared" si="16"/>
        <v>10.042949527854411</v>
      </c>
      <c r="AQ36" s="221">
        <f t="shared" si="17"/>
        <v>9.952418561280691</v>
      </c>
      <c r="AR36" s="226" t="e">
        <f t="shared" si="18"/>
        <v>#DIV/0!</v>
      </c>
      <c r="AS36" s="212" t="e">
        <f t="shared" si="19"/>
        <v>#DIV/0!</v>
      </c>
      <c r="AT36" s="212" t="e">
        <f t="shared" si="20"/>
        <v>#DIV/0!</v>
      </c>
      <c r="AU36" s="227" t="e">
        <f t="shared" si="21"/>
        <v>#DIV/0!</v>
      </c>
      <c r="AV36" s="226" t="e">
        <f t="shared" si="22"/>
        <v>#DIV/0!</v>
      </c>
      <c r="AW36" s="233" t="e">
        <f t="shared" si="23"/>
        <v>#DIV/0!</v>
      </c>
      <c r="AX36" s="286" t="e">
        <f t="shared" si="24"/>
        <v>#DIV/0!</v>
      </c>
      <c r="AY36" s="232">
        <f t="shared" si="25"/>
        <v>362.1923632392548</v>
      </c>
      <c r="AZ36" s="213">
        <f t="shared" si="0"/>
        <v>3.4535059553331667E-3</v>
      </c>
      <c r="BA36" s="215" t="e">
        <f t="shared" si="26"/>
        <v>#DIV/0!</v>
      </c>
      <c r="BB36" s="212">
        <f t="shared" si="1"/>
        <v>0.52045070203978794</v>
      </c>
      <c r="BC36" s="213" t="e">
        <f t="shared" si="2"/>
        <v>#DIV/0!</v>
      </c>
      <c r="BD36" s="214" t="e">
        <f t="shared" si="3"/>
        <v>#DIV/0!</v>
      </c>
      <c r="BE36" s="219" t="e">
        <f t="shared" si="27"/>
        <v>#DIV/0!</v>
      </c>
      <c r="BF36" s="252"/>
    </row>
    <row r="37" spans="2:58" x14ac:dyDescent="0.2">
      <c r="B37" s="13"/>
      <c r="C37" s="106" t="s">
        <v>109</v>
      </c>
      <c r="D37" s="192">
        <v>0.1</v>
      </c>
      <c r="E37" s="84" t="s">
        <v>1623</v>
      </c>
      <c r="F37" s="193"/>
      <c r="G37" s="106" t="s">
        <v>109</v>
      </c>
      <c r="H37" s="192">
        <v>0.1</v>
      </c>
      <c r="I37" s="84" t="s">
        <v>1623</v>
      </c>
      <c r="J37" s="2"/>
      <c r="K37" s="2"/>
      <c r="L37" s="79">
        <v>20</v>
      </c>
      <c r="M37" s="211">
        <f t="shared" si="4"/>
        <v>21.352</v>
      </c>
      <c r="N37" s="212">
        <f t="shared" si="5"/>
        <v>40.499977290994103</v>
      </c>
      <c r="O37" s="212">
        <f t="shared" si="6"/>
        <v>21.743000000000002</v>
      </c>
      <c r="P37" s="289">
        <f t="shared" si="7"/>
        <v>41.014136437509329</v>
      </c>
      <c r="Q37" s="221">
        <f t="shared" si="8"/>
        <v>40.758051032708615</v>
      </c>
      <c r="R37" s="226"/>
      <c r="S37" s="296">
        <f t="shared" ca="1" si="9"/>
        <v>0.22867153104739199</v>
      </c>
      <c r="T37" s="296"/>
      <c r="U37" s="286">
        <f t="shared" ca="1" si="10"/>
        <v>0.22867153104739199</v>
      </c>
      <c r="V37" s="240"/>
      <c r="W37" s="299"/>
      <c r="X37" s="300"/>
      <c r="Y37" s="296">
        <f t="shared" ca="1" si="11"/>
        <v>2.9486047805627393</v>
      </c>
      <c r="Z37" s="296"/>
      <c r="AA37" s="286">
        <f t="shared" ca="1" si="12"/>
        <v>2.9486047805627393</v>
      </c>
      <c r="AB37" s="217"/>
      <c r="AC37" s="86"/>
      <c r="AD37" s="293"/>
      <c r="AE37" s="217"/>
      <c r="AF37" s="86"/>
      <c r="AG37" s="254"/>
      <c r="AH37" s="235"/>
      <c r="AI37" s="235"/>
      <c r="AJ37" s="237"/>
      <c r="AK37" s="2"/>
      <c r="AL37" s="79">
        <f t="shared" si="28"/>
        <v>20</v>
      </c>
      <c r="AM37" s="211">
        <f t="shared" si="13"/>
        <v>21.352</v>
      </c>
      <c r="AN37" s="212">
        <f t="shared" si="14"/>
        <v>10.089237377970264</v>
      </c>
      <c r="AO37" s="212">
        <f t="shared" si="15"/>
        <v>21.743000000000002</v>
      </c>
      <c r="AP37" s="212">
        <f t="shared" si="16"/>
        <v>10.270094660645688</v>
      </c>
      <c r="AQ37" s="221">
        <f t="shared" si="17"/>
        <v>10.179691646712659</v>
      </c>
      <c r="AR37" s="226" t="e">
        <f t="shared" si="18"/>
        <v>#DIV/0!</v>
      </c>
      <c r="AS37" s="212" t="e">
        <f t="shared" si="19"/>
        <v>#DIV/0!</v>
      </c>
      <c r="AT37" s="212" t="e">
        <f t="shared" si="20"/>
        <v>#DIV/0!</v>
      </c>
      <c r="AU37" s="227" t="e">
        <f t="shared" si="21"/>
        <v>#DIV/0!</v>
      </c>
      <c r="AV37" s="226" t="e">
        <f t="shared" si="22"/>
        <v>#DIV/0!</v>
      </c>
      <c r="AW37" s="233" t="e">
        <f t="shared" si="23"/>
        <v>#DIV/0!</v>
      </c>
      <c r="AX37" s="286" t="e">
        <f t="shared" si="24"/>
        <v>#DIV/0!</v>
      </c>
      <c r="AY37" s="232">
        <f t="shared" si="25"/>
        <v>361.31893295338324</v>
      </c>
      <c r="AZ37" s="213">
        <f t="shared" si="0"/>
        <v>3.5180736617467772E-3</v>
      </c>
      <c r="BA37" s="215" t="e">
        <f t="shared" si="26"/>
        <v>#DIV/0!</v>
      </c>
      <c r="BB37" s="212">
        <f t="shared" si="1"/>
        <v>0.53130234576175095</v>
      </c>
      <c r="BC37" s="213" t="e">
        <f t="shared" si="2"/>
        <v>#DIV/0!</v>
      </c>
      <c r="BD37" s="214" t="e">
        <f t="shared" si="3"/>
        <v>#DIV/0!</v>
      </c>
      <c r="BE37" s="219" t="e">
        <f t="shared" si="27"/>
        <v>#DIV/0!</v>
      </c>
      <c r="BF37" s="252"/>
    </row>
    <row r="38" spans="2:58" x14ac:dyDescent="0.2">
      <c r="B38" s="13"/>
      <c r="C38" s="106" t="s">
        <v>110</v>
      </c>
      <c r="D38" s="80">
        <f>D$36-D$37</f>
        <v>0.39100000000000001</v>
      </c>
      <c r="E38" s="87" t="s">
        <v>1623</v>
      </c>
      <c r="F38" s="193"/>
      <c r="G38" s="106" t="s">
        <v>110</v>
      </c>
      <c r="H38" s="80">
        <f>H$36-H$37</f>
        <v>0.39100000000000001</v>
      </c>
      <c r="I38" s="2"/>
      <c r="J38" s="2"/>
      <c r="K38" s="2"/>
      <c r="L38" s="79">
        <v>21</v>
      </c>
      <c r="M38" s="211">
        <f t="shared" si="4"/>
        <v>21.843</v>
      </c>
      <c r="N38" s="212">
        <f t="shared" si="5"/>
        <v>41.144361902974509</v>
      </c>
      <c r="O38" s="212">
        <f t="shared" si="6"/>
        <v>22.234000000000002</v>
      </c>
      <c r="P38" s="289">
        <f t="shared" si="7"/>
        <v>41.648614478273373</v>
      </c>
      <c r="Q38" s="221">
        <f t="shared" si="8"/>
        <v>41.397466207415356</v>
      </c>
      <c r="R38" s="226"/>
      <c r="S38" s="296">
        <f t="shared" ca="1" si="9"/>
        <v>0.22426551980655027</v>
      </c>
      <c r="T38" s="296"/>
      <c r="U38" s="286">
        <f t="shared" ca="1" si="10"/>
        <v>0.22426551980655027</v>
      </c>
      <c r="V38" s="240"/>
      <c r="W38" s="299"/>
      <c r="X38" s="300"/>
      <c r="Y38" s="296">
        <f t="shared" ca="1" si="11"/>
        <v>2.9470644018757941</v>
      </c>
      <c r="Z38" s="296"/>
      <c r="AA38" s="286">
        <f t="shared" ca="1" si="12"/>
        <v>2.9470644018757941</v>
      </c>
      <c r="AB38" s="217"/>
      <c r="AC38" s="86"/>
      <c r="AD38" s="293"/>
      <c r="AE38" s="217"/>
      <c r="AF38" s="86"/>
      <c r="AG38" s="254"/>
      <c r="AH38" s="235"/>
      <c r="AI38" s="235"/>
      <c r="AJ38" s="237"/>
      <c r="AK38" s="2"/>
      <c r="AL38" s="79">
        <f t="shared" si="28"/>
        <v>21</v>
      </c>
      <c r="AM38" s="211">
        <f t="shared" si="13"/>
        <v>21.843</v>
      </c>
      <c r="AN38" s="212">
        <f t="shared" si="14"/>
        <v>10.31631666615613</v>
      </c>
      <c r="AO38" s="212">
        <f t="shared" si="15"/>
        <v>22.234000000000002</v>
      </c>
      <c r="AP38" s="212">
        <f t="shared" si="16"/>
        <v>10.496913936698455</v>
      </c>
      <c r="AQ38" s="221">
        <f t="shared" si="17"/>
        <v>10.406641437488034</v>
      </c>
      <c r="AR38" s="226" t="e">
        <f t="shared" si="18"/>
        <v>#DIV/0!</v>
      </c>
      <c r="AS38" s="212" t="e">
        <f t="shared" si="19"/>
        <v>#DIV/0!</v>
      </c>
      <c r="AT38" s="212" t="e">
        <f t="shared" si="20"/>
        <v>#DIV/0!</v>
      </c>
      <c r="AU38" s="227" t="e">
        <f t="shared" si="21"/>
        <v>#DIV/0!</v>
      </c>
      <c r="AV38" s="226" t="e">
        <f t="shared" si="22"/>
        <v>#DIV/0!</v>
      </c>
      <c r="AW38" s="233" t="e">
        <f t="shared" si="23"/>
        <v>#DIV/0!</v>
      </c>
      <c r="AX38" s="286" t="e">
        <f t="shared" si="24"/>
        <v>#DIV/0!</v>
      </c>
      <c r="AY38" s="232">
        <f t="shared" si="25"/>
        <v>360.48449359468367</v>
      </c>
      <c r="AZ38" s="213">
        <f t="shared" si="0"/>
        <v>3.5821907972966847E-3</v>
      </c>
      <c r="BA38" s="215" t="e">
        <f t="shared" si="26"/>
        <v>#DIV/0!</v>
      </c>
      <c r="BB38" s="212">
        <f t="shared" si="1"/>
        <v>0.54215409819436411</v>
      </c>
      <c r="BC38" s="213" t="e">
        <f t="shared" si="2"/>
        <v>#DIV/0!</v>
      </c>
      <c r="BD38" s="214" t="e">
        <f t="shared" si="3"/>
        <v>#DIV/0!</v>
      </c>
      <c r="BE38" s="219" t="e">
        <f t="shared" si="27"/>
        <v>#DIV/0!</v>
      </c>
      <c r="BF38" s="252"/>
    </row>
    <row r="39" spans="2:58" ht="14.25" x14ac:dyDescent="0.2">
      <c r="B39" s="13"/>
      <c r="C39" s="106" t="s">
        <v>293</v>
      </c>
      <c r="D39" s="189">
        <v>300000000</v>
      </c>
      <c r="E39" s="2" t="s">
        <v>294</v>
      </c>
      <c r="F39" s="194"/>
      <c r="G39" s="106" t="s">
        <v>293</v>
      </c>
      <c r="H39" s="189">
        <v>300000000</v>
      </c>
      <c r="I39" s="2" t="s">
        <v>294</v>
      </c>
      <c r="J39" s="2"/>
      <c r="K39" s="2"/>
      <c r="L39" s="79">
        <v>22</v>
      </c>
      <c r="M39" s="211">
        <f t="shared" si="4"/>
        <v>22.334</v>
      </c>
      <c r="N39" s="212">
        <f t="shared" si="5"/>
        <v>41.776327131769726</v>
      </c>
      <c r="O39" s="212">
        <f t="shared" si="6"/>
        <v>22.725000000000001</v>
      </c>
      <c r="P39" s="289">
        <f t="shared" si="7"/>
        <v>42.270837050918736</v>
      </c>
      <c r="Q39" s="221">
        <f t="shared" si="8"/>
        <v>42.024543636472437</v>
      </c>
      <c r="R39" s="226"/>
      <c r="S39" s="296">
        <f t="shared" ca="1" si="9"/>
        <v>0.21993241811478362</v>
      </c>
      <c r="T39" s="296"/>
      <c r="U39" s="286">
        <f t="shared" ca="1" si="10"/>
        <v>0.21993241811478362</v>
      </c>
      <c r="V39" s="240"/>
      <c r="W39" s="299"/>
      <c r="X39" s="300"/>
      <c r="Y39" s="296">
        <f t="shared" ca="1" si="11"/>
        <v>2.9455354693019968</v>
      </c>
      <c r="Z39" s="296"/>
      <c r="AA39" s="286">
        <f t="shared" ca="1" si="12"/>
        <v>2.9455354693019968</v>
      </c>
      <c r="AB39" s="217"/>
      <c r="AC39" s="86"/>
      <c r="AD39" s="293"/>
      <c r="AE39" s="217"/>
      <c r="AF39" s="86"/>
      <c r="AG39" s="254"/>
      <c r="AH39" s="235"/>
      <c r="AI39" s="235"/>
      <c r="AJ39" s="237"/>
      <c r="AK39" s="2"/>
      <c r="AL39" s="79">
        <f t="shared" si="28"/>
        <v>22</v>
      </c>
      <c r="AM39" s="211">
        <f t="shared" si="13"/>
        <v>22.334</v>
      </c>
      <c r="AN39" s="212">
        <f t="shared" si="14"/>
        <v>10.543068790709576</v>
      </c>
      <c r="AO39" s="212">
        <f t="shared" si="15"/>
        <v>22.725000000000001</v>
      </c>
      <c r="AP39" s="212">
        <f t="shared" si="16"/>
        <v>10.723400962940149</v>
      </c>
      <c r="AQ39" s="221">
        <f t="shared" si="17"/>
        <v>10.633261516793885</v>
      </c>
      <c r="AR39" s="226" t="e">
        <f t="shared" si="18"/>
        <v>#DIV/0!</v>
      </c>
      <c r="AS39" s="212" t="e">
        <f t="shared" si="19"/>
        <v>#DIV/0!</v>
      </c>
      <c r="AT39" s="212" t="e">
        <f t="shared" si="20"/>
        <v>#DIV/0!</v>
      </c>
      <c r="AU39" s="227" t="e">
        <f t="shared" si="21"/>
        <v>#DIV/0!</v>
      </c>
      <c r="AV39" s="226" t="e">
        <f t="shared" si="22"/>
        <v>#DIV/0!</v>
      </c>
      <c r="AW39" s="233" t="e">
        <f t="shared" si="23"/>
        <v>#DIV/0!</v>
      </c>
      <c r="AX39" s="286" t="e">
        <f t="shared" si="24"/>
        <v>#DIV/0!</v>
      </c>
      <c r="AY39" s="232">
        <f t="shared" si="25"/>
        <v>359.68644982842812</v>
      </c>
      <c r="AZ39" s="213">
        <f t="shared" si="0"/>
        <v>3.6458498158196601E-3</v>
      </c>
      <c r="BA39" s="215" t="e">
        <f t="shared" si="26"/>
        <v>#DIV/0!</v>
      </c>
      <c r="BB39" s="212">
        <f t="shared" si="1"/>
        <v>0.55300588850487387</v>
      </c>
      <c r="BC39" s="213" t="e">
        <f t="shared" si="2"/>
        <v>#DIV/0!</v>
      </c>
      <c r="BD39" s="214" t="e">
        <f t="shared" si="3"/>
        <v>#DIV/0!</v>
      </c>
      <c r="BE39" s="219" t="e">
        <f t="shared" si="27"/>
        <v>#DIV/0!</v>
      </c>
      <c r="BF39" s="252"/>
    </row>
    <row r="40" spans="2:58" ht="15.75" x14ac:dyDescent="0.3">
      <c r="B40" s="13"/>
      <c r="C40" s="88" t="s">
        <v>279</v>
      </c>
      <c r="D40" s="38">
        <f>DEGREES(ATAN(($D$35)/$D$27))</f>
        <v>24.762931174916648</v>
      </c>
      <c r="E40" s="2" t="s">
        <v>288</v>
      </c>
      <c r="F40" s="195"/>
      <c r="G40" s="88" t="s">
        <v>279</v>
      </c>
      <c r="H40" s="38">
        <f>DEGREES(ATAN(($H$35)/$D$28))</f>
        <v>5.4892676467991377</v>
      </c>
      <c r="I40" s="2" t="s">
        <v>288</v>
      </c>
      <c r="J40" s="2"/>
      <c r="K40" s="2"/>
      <c r="L40" s="79">
        <v>23</v>
      </c>
      <c r="M40" s="211">
        <f t="shared" si="4"/>
        <v>22.824999999999999</v>
      </c>
      <c r="N40" s="212">
        <f t="shared" si="5"/>
        <v>42.396079208367276</v>
      </c>
      <c r="O40" s="212">
        <f t="shared" si="6"/>
        <v>23.216000000000001</v>
      </c>
      <c r="P40" s="289">
        <f t="shared" si="7"/>
        <v>42.881013271688261</v>
      </c>
      <c r="Q40" s="221">
        <f t="shared" si="8"/>
        <v>42.639491058369572</v>
      </c>
      <c r="R40" s="226"/>
      <c r="S40" s="296">
        <f t="shared" ca="1" si="9"/>
        <v>0.21567350859461568</v>
      </c>
      <c r="T40" s="296"/>
      <c r="U40" s="286">
        <f t="shared" ca="1" si="10"/>
        <v>0.21567350859461568</v>
      </c>
      <c r="V40" s="240"/>
      <c r="W40" s="299"/>
      <c r="X40" s="300"/>
      <c r="Y40" s="296">
        <f t="shared" ca="1" si="11"/>
        <v>2.9440187412769854</v>
      </c>
      <c r="Z40" s="296"/>
      <c r="AA40" s="286">
        <f t="shared" ca="1" si="12"/>
        <v>2.9440187412769854</v>
      </c>
      <c r="AB40" s="217"/>
      <c r="AC40" s="86"/>
      <c r="AD40" s="293"/>
      <c r="AE40" s="217"/>
      <c r="AF40" s="86"/>
      <c r="AG40" s="254"/>
      <c r="AH40" s="235"/>
      <c r="AI40" s="235"/>
      <c r="AJ40" s="237"/>
      <c r="AK40" s="2"/>
      <c r="AL40" s="79">
        <f t="shared" si="28"/>
        <v>23</v>
      </c>
      <c r="AM40" s="211">
        <f t="shared" si="13"/>
        <v>22.824999999999999</v>
      </c>
      <c r="AN40" s="212">
        <f t="shared" si="14"/>
        <v>10.769487370756433</v>
      </c>
      <c r="AO40" s="212">
        <f t="shared" si="15"/>
        <v>23.216000000000001</v>
      </c>
      <c r="AP40" s="212">
        <f t="shared" si="16"/>
        <v>10.949549406544786</v>
      </c>
      <c r="AQ40" s="221">
        <f t="shared" si="17"/>
        <v>10.859545527710377</v>
      </c>
      <c r="AR40" s="226" t="e">
        <f t="shared" si="18"/>
        <v>#DIV/0!</v>
      </c>
      <c r="AS40" s="212" t="e">
        <f t="shared" si="19"/>
        <v>#DIV/0!</v>
      </c>
      <c r="AT40" s="212" t="e">
        <f t="shared" si="20"/>
        <v>#DIV/0!</v>
      </c>
      <c r="AU40" s="227" t="e">
        <f t="shared" si="21"/>
        <v>#DIV/0!</v>
      </c>
      <c r="AV40" s="226" t="e">
        <f t="shared" si="22"/>
        <v>#DIV/0!</v>
      </c>
      <c r="AW40" s="233" t="e">
        <f t="shared" si="23"/>
        <v>#DIV/0!</v>
      </c>
      <c r="AX40" s="286" t="e">
        <f t="shared" si="24"/>
        <v>#DIV/0!</v>
      </c>
      <c r="AY40" s="232">
        <f t="shared" si="25"/>
        <v>358.92243498580257</v>
      </c>
      <c r="AZ40" s="213">
        <f t="shared" si="0"/>
        <v>3.7090434143030003E-3</v>
      </c>
      <c r="BA40" s="215" t="e">
        <f t="shared" si="26"/>
        <v>#DIV/0!</v>
      </c>
      <c r="BB40" s="212">
        <f t="shared" si="1"/>
        <v>0.56385765724110926</v>
      </c>
      <c r="BC40" s="213" t="e">
        <f t="shared" si="2"/>
        <v>#DIV/0!</v>
      </c>
      <c r="BD40" s="214" t="e">
        <f t="shared" si="3"/>
        <v>#DIV/0!</v>
      </c>
      <c r="BE40" s="219" t="e">
        <f t="shared" si="27"/>
        <v>#DIV/0!</v>
      </c>
      <c r="BF40" s="252"/>
    </row>
    <row r="41" spans="2:58" ht="15.75" x14ac:dyDescent="0.3">
      <c r="B41" s="13"/>
      <c r="C41" s="88" t="s">
        <v>280</v>
      </c>
      <c r="D41" s="38">
        <f>DEGREES(ATAN(($D$34)/$D$27))</f>
        <v>54.462322208025618</v>
      </c>
      <c r="E41" s="2" t="s">
        <v>288</v>
      </c>
      <c r="F41" s="195"/>
      <c r="G41" s="88" t="s">
        <v>280</v>
      </c>
      <c r="H41" s="38">
        <f>DEGREES(ATAN(($H$34)/$D$28))</f>
        <v>16.26020470831196</v>
      </c>
      <c r="I41" s="2" t="s">
        <v>288</v>
      </c>
      <c r="J41" s="2"/>
      <c r="K41" s="2"/>
      <c r="L41" s="79">
        <v>24</v>
      </c>
      <c r="M41" s="211">
        <f t="shared" si="4"/>
        <v>23.315999999999999</v>
      </c>
      <c r="N41" s="212">
        <f t="shared" si="5"/>
        <v>43.003827904890613</v>
      </c>
      <c r="O41" s="212">
        <f t="shared" si="6"/>
        <v>23.707000000000001</v>
      </c>
      <c r="P41" s="289">
        <f t="shared" si="7"/>
        <v>43.479355171475277</v>
      </c>
      <c r="Q41" s="221">
        <f t="shared" si="8"/>
        <v>43.242519434489829</v>
      </c>
      <c r="R41" s="226"/>
      <c r="S41" s="296">
        <f t="shared" ca="1" si="9"/>
        <v>0.21148979525990214</v>
      </c>
      <c r="T41" s="296"/>
      <c r="U41" s="286">
        <f t="shared" ca="1" si="10"/>
        <v>0.21148979525990214</v>
      </c>
      <c r="V41" s="240"/>
      <c r="W41" s="299"/>
      <c r="X41" s="300"/>
      <c r="Y41" s="296">
        <f t="shared" ca="1" si="11"/>
        <v>2.9425149024834019</v>
      </c>
      <c r="Z41" s="296"/>
      <c r="AA41" s="286">
        <f t="shared" ca="1" si="12"/>
        <v>2.9425149024834019</v>
      </c>
      <c r="AB41" s="217"/>
      <c r="AC41" s="86"/>
      <c r="AD41" s="293"/>
      <c r="AE41" s="217"/>
      <c r="AF41" s="86"/>
      <c r="AG41" s="254"/>
      <c r="AH41" s="235"/>
      <c r="AI41" s="235"/>
      <c r="AJ41" s="237"/>
      <c r="AK41" s="2"/>
      <c r="AL41" s="79">
        <f t="shared" si="28"/>
        <v>24</v>
      </c>
      <c r="AM41" s="211">
        <f t="shared" si="13"/>
        <v>23.315999999999999</v>
      </c>
      <c r="AN41" s="212">
        <f t="shared" si="14"/>
        <v>10.99556608584834</v>
      </c>
      <c r="AO41" s="212">
        <f t="shared" si="15"/>
        <v>23.707000000000001</v>
      </c>
      <c r="AP41" s="212">
        <f t="shared" si="16"/>
        <v>11.175352995802571</v>
      </c>
      <c r="AQ41" s="221">
        <f t="shared" si="17"/>
        <v>11.085487174090748</v>
      </c>
      <c r="AR41" s="226" t="e">
        <f t="shared" si="18"/>
        <v>#DIV/0!</v>
      </c>
      <c r="AS41" s="212" t="e">
        <f t="shared" si="19"/>
        <v>#DIV/0!</v>
      </c>
      <c r="AT41" s="212" t="e">
        <f t="shared" si="20"/>
        <v>#DIV/0!</v>
      </c>
      <c r="AU41" s="227" t="e">
        <f t="shared" si="21"/>
        <v>#DIV/0!</v>
      </c>
      <c r="AV41" s="226" t="e">
        <f t="shared" si="22"/>
        <v>#DIV/0!</v>
      </c>
      <c r="AW41" s="233" t="e">
        <f t="shared" si="23"/>
        <v>#DIV/0!</v>
      </c>
      <c r="AX41" s="286" t="e">
        <f t="shared" si="24"/>
        <v>#DIV/0!</v>
      </c>
      <c r="AY41" s="232">
        <f t="shared" si="25"/>
        <v>358.19028609185273</v>
      </c>
      <c r="AZ41" s="213">
        <f t="shared" si="0"/>
        <v>3.7717645221473257E-3</v>
      </c>
      <c r="BA41" s="215" t="e">
        <f t="shared" si="26"/>
        <v>#DIV/0!</v>
      </c>
      <c r="BB41" s="212">
        <f t="shared" si="1"/>
        <v>0.57470935457376615</v>
      </c>
      <c r="BC41" s="213" t="e">
        <f t="shared" si="2"/>
        <v>#DIV/0!</v>
      </c>
      <c r="BD41" s="214" t="e">
        <f t="shared" si="3"/>
        <v>#DIV/0!</v>
      </c>
      <c r="BE41" s="219" t="e">
        <f t="shared" si="27"/>
        <v>#DIV/0!</v>
      </c>
      <c r="BF41" s="252"/>
    </row>
    <row r="42" spans="2:58" x14ac:dyDescent="0.2">
      <c r="B42" s="13"/>
      <c r="C42" s="106"/>
      <c r="D42" s="19"/>
      <c r="E42" s="87"/>
      <c r="F42" s="19"/>
      <c r="G42" s="106"/>
      <c r="H42" s="19"/>
      <c r="I42" s="87"/>
      <c r="J42" s="2"/>
      <c r="K42" s="2"/>
      <c r="L42" s="79">
        <v>25</v>
      </c>
      <c r="M42" s="211">
        <f t="shared" si="4"/>
        <v>23.807000000000002</v>
      </c>
      <c r="N42" s="212">
        <f t="shared" si="5"/>
        <v>43.599785754261298</v>
      </c>
      <c r="O42" s="212">
        <f t="shared" si="6"/>
        <v>24.198</v>
      </c>
      <c r="P42" s="289">
        <f t="shared" si="7"/>
        <v>44.066076964740873</v>
      </c>
      <c r="Q42" s="221">
        <f t="shared" si="8"/>
        <v>43.833842193595537</v>
      </c>
      <c r="R42" s="226"/>
      <c r="S42" s="296">
        <f t="shared" ca="1" si="9"/>
        <v>0.20738202542414202</v>
      </c>
      <c r="T42" s="296"/>
      <c r="U42" s="286">
        <f t="shared" ca="1" si="10"/>
        <v>0.20738202542414202</v>
      </c>
      <c r="V42" s="240"/>
      <c r="W42" s="299"/>
      <c r="X42" s="300"/>
      <c r="Y42" s="296">
        <f t="shared" ca="1" si="11"/>
        <v>2.9410245678836779</v>
      </c>
      <c r="Z42" s="296"/>
      <c r="AA42" s="286">
        <f t="shared" ca="1" si="12"/>
        <v>2.9410245678836779</v>
      </c>
      <c r="AB42" s="217"/>
      <c r="AC42" s="86"/>
      <c r="AD42" s="293"/>
      <c r="AE42" s="217"/>
      <c r="AF42" s="86"/>
      <c r="AG42" s="254"/>
      <c r="AH42" s="235"/>
      <c r="AI42" s="235"/>
      <c r="AJ42" s="237"/>
      <c r="AK42" s="2"/>
      <c r="AL42" s="79">
        <f t="shared" si="28"/>
        <v>25</v>
      </c>
      <c r="AM42" s="211">
        <f t="shared" si="13"/>
        <v>23.807000000000002</v>
      </c>
      <c r="AN42" s="212">
        <f t="shared" si="14"/>
        <v>11.221298676827018</v>
      </c>
      <c r="AO42" s="212">
        <f t="shared" si="15"/>
        <v>24.198</v>
      </c>
      <c r="AP42" s="212">
        <f t="shared" si="16"/>
        <v>11.400805520963319</v>
      </c>
      <c r="AQ42" s="221">
        <f t="shared" si="17"/>
        <v>11.311080221415164</v>
      </c>
      <c r="AR42" s="226" t="e">
        <f t="shared" si="18"/>
        <v>#DIV/0!</v>
      </c>
      <c r="AS42" s="212" t="e">
        <f t="shared" si="19"/>
        <v>#DIV/0!</v>
      </c>
      <c r="AT42" s="212" t="e">
        <f t="shared" si="20"/>
        <v>#DIV/0!</v>
      </c>
      <c r="AU42" s="227" t="e">
        <f t="shared" si="21"/>
        <v>#DIV/0!</v>
      </c>
      <c r="AV42" s="226" t="e">
        <f t="shared" si="22"/>
        <v>#DIV/0!</v>
      </c>
      <c r="AW42" s="233" t="e">
        <f t="shared" si="23"/>
        <v>#DIV/0!</v>
      </c>
      <c r="AX42" s="286" t="e">
        <f t="shared" si="24"/>
        <v>#DIV/0!</v>
      </c>
      <c r="AY42" s="232">
        <f t="shared" si="25"/>
        <v>357.48802213516001</v>
      </c>
      <c r="AZ42" s="213">
        <f t="shared" si="0"/>
        <v>3.8340062923259001E-3</v>
      </c>
      <c r="BA42" s="215" t="e">
        <f t="shared" si="26"/>
        <v>#DIV/0!</v>
      </c>
      <c r="BB42" s="212">
        <f t="shared" si="1"/>
        <v>0.58556093882829785</v>
      </c>
      <c r="BC42" s="213" t="e">
        <f t="shared" si="2"/>
        <v>#DIV/0!</v>
      </c>
      <c r="BD42" s="214" t="e">
        <f t="shared" si="3"/>
        <v>#DIV/0!</v>
      </c>
      <c r="BE42" s="219" t="e">
        <f t="shared" si="27"/>
        <v>#DIV/0!</v>
      </c>
      <c r="BF42" s="252"/>
    </row>
    <row r="43" spans="2:58" x14ac:dyDescent="0.2">
      <c r="B43" s="13"/>
      <c r="C43" s="83"/>
      <c r="D43" s="83"/>
      <c r="E43" s="87"/>
      <c r="F43" s="87"/>
      <c r="G43" s="83"/>
      <c r="H43" s="87"/>
      <c r="I43" s="87"/>
      <c r="J43" s="2"/>
      <c r="K43" s="2"/>
      <c r="L43" s="79">
        <v>26</v>
      </c>
      <c r="M43" s="211">
        <f t="shared" si="4"/>
        <v>24.298000000000002</v>
      </c>
      <c r="N43" s="212">
        <f t="shared" si="5"/>
        <v>44.184167331457438</v>
      </c>
      <c r="O43" s="212">
        <f t="shared" si="6"/>
        <v>24.689</v>
      </c>
      <c r="P43" s="289">
        <f t="shared" si="7"/>
        <v>44.641394377982195</v>
      </c>
      <c r="Q43" s="221">
        <f t="shared" si="8"/>
        <v>44.413674536901979</v>
      </c>
      <c r="R43" s="226"/>
      <c r="S43" s="296">
        <f t="shared" ca="1" si="9"/>
        <v>0.20335071069852942</v>
      </c>
      <c r="T43" s="296"/>
      <c r="U43" s="286">
        <f t="shared" ca="1" si="10"/>
        <v>0.20335071069852942</v>
      </c>
      <c r="V43" s="240"/>
      <c r="W43" s="299"/>
      <c r="X43" s="300"/>
      <c r="Y43" s="296">
        <f t="shared" ca="1" si="11"/>
        <v>2.9395482866871814</v>
      </c>
      <c r="Z43" s="296"/>
      <c r="AA43" s="286">
        <f t="shared" ca="1" si="12"/>
        <v>2.9395482866871814</v>
      </c>
      <c r="AB43" s="217"/>
      <c r="AC43" s="86"/>
      <c r="AD43" s="293"/>
      <c r="AE43" s="217"/>
      <c r="AF43" s="86"/>
      <c r="AG43" s="254"/>
      <c r="AH43" s="235"/>
      <c r="AI43" s="235"/>
      <c r="AJ43" s="237"/>
      <c r="AK43" s="2"/>
      <c r="AL43" s="79">
        <f t="shared" si="28"/>
        <v>26</v>
      </c>
      <c r="AM43" s="211">
        <f t="shared" si="13"/>
        <v>24.298000000000002</v>
      </c>
      <c r="AN43" s="212">
        <f t="shared" si="14"/>
        <v>11.446678946662374</v>
      </c>
      <c r="AO43" s="212">
        <f t="shared" si="15"/>
        <v>24.689</v>
      </c>
      <c r="AP43" s="212">
        <f t="shared" si="16"/>
        <v>11.625900835053576</v>
      </c>
      <c r="AQ43" s="221">
        <f t="shared" si="17"/>
        <v>11.536318497618339</v>
      </c>
      <c r="AR43" s="226" t="e">
        <f t="shared" si="18"/>
        <v>#DIV/0!</v>
      </c>
      <c r="AS43" s="212" t="e">
        <f t="shared" si="19"/>
        <v>#DIV/0!</v>
      </c>
      <c r="AT43" s="212" t="e">
        <f t="shared" si="20"/>
        <v>#DIV/0!</v>
      </c>
      <c r="AU43" s="227" t="e">
        <f t="shared" si="21"/>
        <v>#DIV/0!</v>
      </c>
      <c r="AV43" s="226" t="e">
        <f t="shared" si="22"/>
        <v>#DIV/0!</v>
      </c>
      <c r="AW43" s="233" t="e">
        <f t="shared" si="23"/>
        <v>#DIV/0!</v>
      </c>
      <c r="AX43" s="286" t="e">
        <f t="shared" si="24"/>
        <v>#DIV/0!</v>
      </c>
      <c r="AY43" s="232">
        <f t="shared" si="25"/>
        <v>356.81382509335134</v>
      </c>
      <c r="AZ43" s="213">
        <f t="shared" si="0"/>
        <v>3.8957620940852453E-3</v>
      </c>
      <c r="BA43" s="215" t="e">
        <f t="shared" si="26"/>
        <v>#DIV/0!</v>
      </c>
      <c r="BB43" s="212">
        <f t="shared" si="1"/>
        <v>0.59641237525445234</v>
      </c>
      <c r="BC43" s="213" t="e">
        <f t="shared" si="2"/>
        <v>#DIV/0!</v>
      </c>
      <c r="BD43" s="214" t="e">
        <f t="shared" si="3"/>
        <v>#DIV/0!</v>
      </c>
      <c r="BE43" s="219" t="e">
        <f t="shared" si="27"/>
        <v>#DIV/0!</v>
      </c>
      <c r="BF43" s="252"/>
    </row>
    <row r="44" spans="2:58" x14ac:dyDescent="0.2">
      <c r="B44" s="13"/>
      <c r="C44" s="2"/>
      <c r="D44" s="2"/>
      <c r="E44" s="2"/>
      <c r="F44" s="2"/>
      <c r="G44" s="2"/>
      <c r="H44" s="2"/>
      <c r="I44" s="2"/>
      <c r="J44" s="2"/>
      <c r="K44" s="2"/>
      <c r="L44" s="79">
        <v>27</v>
      </c>
      <c r="M44" s="211">
        <f t="shared" si="4"/>
        <v>24.789000000000001</v>
      </c>
      <c r="N44" s="212">
        <f t="shared" si="5"/>
        <v>44.757188593782836</v>
      </c>
      <c r="O44" s="212">
        <f t="shared" si="6"/>
        <v>25.18</v>
      </c>
      <c r="P44" s="289">
        <f t="shared" si="7"/>
        <v>45.205524035044981</v>
      </c>
      <c r="Q44" s="221">
        <f t="shared" si="8"/>
        <v>44.9822328010886</v>
      </c>
      <c r="R44" s="226"/>
      <c r="S44" s="296">
        <f t="shared" ca="1" si="9"/>
        <v>0.19939614702608327</v>
      </c>
      <c r="T44" s="296"/>
      <c r="U44" s="286">
        <f t="shared" ca="1" si="10"/>
        <v>0.19939614702608327</v>
      </c>
      <c r="V44" s="240"/>
      <c r="W44" s="299"/>
      <c r="X44" s="300"/>
      <c r="Y44" s="296">
        <f t="shared" ca="1" si="11"/>
        <v>2.938086546231554</v>
      </c>
      <c r="Z44" s="296"/>
      <c r="AA44" s="286">
        <f t="shared" ca="1" si="12"/>
        <v>2.938086546231554</v>
      </c>
      <c r="AB44" s="217"/>
      <c r="AC44" s="86"/>
      <c r="AD44" s="293"/>
      <c r="AE44" s="217"/>
      <c r="AF44" s="86"/>
      <c r="AG44" s="254"/>
      <c r="AH44" s="235"/>
      <c r="AI44" s="235"/>
      <c r="AJ44" s="237"/>
      <c r="AK44" s="2"/>
      <c r="AL44" s="79">
        <f t="shared" si="28"/>
        <v>27</v>
      </c>
      <c r="AM44" s="211">
        <f t="shared" si="13"/>
        <v>24.789000000000001</v>
      </c>
      <c r="AN44" s="212">
        <f t="shared" si="14"/>
        <v>11.671700761264203</v>
      </c>
      <c r="AO44" s="212">
        <f t="shared" si="15"/>
        <v>25.18</v>
      </c>
      <c r="AP44" s="212">
        <f t="shared" si="16"/>
        <v>11.850632854667241</v>
      </c>
      <c r="AQ44" s="221">
        <f t="shared" si="17"/>
        <v>11.761195893890715</v>
      </c>
      <c r="AR44" s="226" t="e">
        <f t="shared" si="18"/>
        <v>#DIV/0!</v>
      </c>
      <c r="AS44" s="212" t="e">
        <f t="shared" si="19"/>
        <v>#DIV/0!</v>
      </c>
      <c r="AT44" s="212" t="e">
        <f t="shared" si="20"/>
        <v>#DIV/0!</v>
      </c>
      <c r="AU44" s="227" t="e">
        <f t="shared" si="21"/>
        <v>#DIV/0!</v>
      </c>
      <c r="AV44" s="226" t="e">
        <f t="shared" si="22"/>
        <v>#DIV/0!</v>
      </c>
      <c r="AW44" s="233" t="e">
        <f t="shared" si="23"/>
        <v>#DIV/0!</v>
      </c>
      <c r="AX44" s="286" t="e">
        <f t="shared" si="24"/>
        <v>#DIV/0!</v>
      </c>
      <c r="AY44" s="232">
        <f t="shared" si="25"/>
        <v>356.16602331085841</v>
      </c>
      <c r="AZ44" s="213">
        <f t="shared" si="0"/>
        <v>3.9570255068914224E-3</v>
      </c>
      <c r="BA44" s="215" t="e">
        <f t="shared" si="26"/>
        <v>#DIV/0!</v>
      </c>
      <c r="BB44" s="212">
        <f t="shared" si="1"/>
        <v>0.60726363499163005</v>
      </c>
      <c r="BC44" s="213" t="e">
        <f t="shared" si="2"/>
        <v>#DIV/0!</v>
      </c>
      <c r="BD44" s="214" t="e">
        <f t="shared" si="3"/>
        <v>#DIV/0!</v>
      </c>
      <c r="BE44" s="219" t="e">
        <f t="shared" si="27"/>
        <v>#DIV/0!</v>
      </c>
      <c r="BF44" s="252"/>
    </row>
    <row r="45" spans="2:58" x14ac:dyDescent="0.2">
      <c r="B45" s="13"/>
      <c r="C45" s="2"/>
      <c r="D45" s="2"/>
      <c r="E45" s="2"/>
      <c r="F45" s="2"/>
      <c r="G45" s="2"/>
      <c r="H45" s="2"/>
      <c r="I45" s="2"/>
      <c r="J45" s="2"/>
      <c r="K45" s="2"/>
      <c r="L45" s="79">
        <v>28</v>
      </c>
      <c r="M45" s="211">
        <f t="shared" si="4"/>
        <v>25.28</v>
      </c>
      <c r="N45" s="212">
        <f t="shared" si="5"/>
        <v>45.31906627741472</v>
      </c>
      <c r="O45" s="212">
        <f t="shared" si="6"/>
        <v>25.670999999999999</v>
      </c>
      <c r="P45" s="289">
        <f t="shared" si="7"/>
        <v>45.758682896468272</v>
      </c>
      <c r="Q45" s="221">
        <f t="shared" si="8"/>
        <v>45.539733876471693</v>
      </c>
      <c r="R45" s="226"/>
      <c r="S45" s="296">
        <f t="shared" ca="1" si="9"/>
        <v>0.19551843371619032</v>
      </c>
      <c r="T45" s="296"/>
      <c r="U45" s="286">
        <f t="shared" ca="1" si="10"/>
        <v>0.19551843371619032</v>
      </c>
      <c r="V45" s="240"/>
      <c r="W45" s="299"/>
      <c r="X45" s="300"/>
      <c r="Y45" s="296">
        <f t="shared" ca="1" si="11"/>
        <v>2.9366397757617002</v>
      </c>
      <c r="Z45" s="296"/>
      <c r="AA45" s="286">
        <f t="shared" ca="1" si="12"/>
        <v>2.9366397757617002</v>
      </c>
      <c r="AB45" s="217"/>
      <c r="AC45" s="86"/>
      <c r="AD45" s="293"/>
      <c r="AE45" s="217"/>
      <c r="AF45" s="86"/>
      <c r="AG45" s="254"/>
      <c r="AH45" s="235"/>
      <c r="AI45" s="235"/>
      <c r="AJ45" s="237"/>
      <c r="AK45" s="2"/>
      <c r="AL45" s="79">
        <f t="shared" si="28"/>
        <v>28</v>
      </c>
      <c r="AM45" s="211">
        <f t="shared" si="13"/>
        <v>25.28</v>
      </c>
      <c r="AN45" s="212">
        <f t="shared" si="14"/>
        <v>11.896358050267425</v>
      </c>
      <c r="AO45" s="212">
        <f t="shared" si="15"/>
        <v>25.670999999999999</v>
      </c>
      <c r="AP45" s="212">
        <f t="shared" si="16"/>
        <v>12.074995560729564</v>
      </c>
      <c r="AQ45" s="221">
        <f t="shared" si="17"/>
        <v>11.985706365453094</v>
      </c>
      <c r="AR45" s="226" t="e">
        <f t="shared" si="18"/>
        <v>#DIV/0!</v>
      </c>
      <c r="AS45" s="212" t="e">
        <f t="shared" si="19"/>
        <v>#DIV/0!</v>
      </c>
      <c r="AT45" s="212" t="e">
        <f t="shared" si="20"/>
        <v>#DIV/0!</v>
      </c>
      <c r="AU45" s="227" t="e">
        <f t="shared" si="21"/>
        <v>#DIV/0!</v>
      </c>
      <c r="AV45" s="226" t="e">
        <f t="shared" si="22"/>
        <v>#DIV/0!</v>
      </c>
      <c r="AW45" s="233" t="e">
        <f t="shared" si="23"/>
        <v>#DIV/0!</v>
      </c>
      <c r="AX45" s="286" t="e">
        <f t="shared" si="24"/>
        <v>#DIV/0!</v>
      </c>
      <c r="AY45" s="232">
        <f t="shared" si="25"/>
        <v>355.54307689214971</v>
      </c>
      <c r="AZ45" s="213">
        <f t="shared" si="0"/>
        <v>4.0177903153974792E-3</v>
      </c>
      <c r="BA45" s="215" t="e">
        <f t="shared" si="26"/>
        <v>#DIV/0!</v>
      </c>
      <c r="BB45" s="212">
        <f t="shared" si="1"/>
        <v>0.61811469419653364</v>
      </c>
      <c r="BC45" s="213" t="e">
        <f t="shared" si="2"/>
        <v>#DIV/0!</v>
      </c>
      <c r="BD45" s="214" t="e">
        <f t="shared" si="3"/>
        <v>#DIV/0!</v>
      </c>
      <c r="BE45" s="219" t="e">
        <f t="shared" si="27"/>
        <v>#DIV/0!</v>
      </c>
      <c r="BF45" s="252"/>
    </row>
    <row r="46" spans="2:58" x14ac:dyDescent="0.2">
      <c r="B46" s="13"/>
      <c r="C46" s="2"/>
      <c r="D46" s="2"/>
      <c r="E46" s="2"/>
      <c r="F46" s="2"/>
      <c r="G46" s="2"/>
      <c r="H46" s="2"/>
      <c r="I46" s="2"/>
      <c r="J46" s="2"/>
      <c r="K46" s="2"/>
      <c r="L46" s="79">
        <v>29</v>
      </c>
      <c r="M46" s="211">
        <f t="shared" si="4"/>
        <v>25.771000000000001</v>
      </c>
      <c r="N46" s="212">
        <f t="shared" si="5"/>
        <v>45.870017347401962</v>
      </c>
      <c r="O46" s="212">
        <f t="shared" si="6"/>
        <v>26.161999999999999</v>
      </c>
      <c r="P46" s="289">
        <f t="shared" si="7"/>
        <v>46.301087749987509</v>
      </c>
      <c r="Q46" s="221">
        <f t="shared" si="8"/>
        <v>46.086394677484421</v>
      </c>
      <c r="R46" s="226"/>
      <c r="S46" s="296">
        <f t="shared" ca="1" si="9"/>
        <v>0.19171749145945483</v>
      </c>
      <c r="T46" s="296"/>
      <c r="U46" s="286">
        <f t="shared" ca="1" si="10"/>
        <v>0.19171749145945483</v>
      </c>
      <c r="V46" s="240"/>
      <c r="W46" s="299"/>
      <c r="X46" s="300"/>
      <c r="Y46" s="296">
        <f t="shared" ca="1" si="11"/>
        <v>2.9352083500930668</v>
      </c>
      <c r="Z46" s="296"/>
      <c r="AA46" s="286">
        <f t="shared" ca="1" si="12"/>
        <v>2.9352083500930668</v>
      </c>
      <c r="AB46" s="217"/>
      <c r="AC46" s="86"/>
      <c r="AD46" s="293"/>
      <c r="AE46" s="217"/>
      <c r="AF46" s="86"/>
      <c r="AG46" s="254"/>
      <c r="AH46" s="235"/>
      <c r="AI46" s="235"/>
      <c r="AJ46" s="237"/>
      <c r="AK46" s="2"/>
      <c r="AL46" s="79">
        <f t="shared" si="28"/>
        <v>29</v>
      </c>
      <c r="AM46" s="211">
        <f t="shared" si="13"/>
        <v>25.771000000000001</v>
      </c>
      <c r="AN46" s="212">
        <f t="shared" si="14"/>
        <v>12.120644807790651</v>
      </c>
      <c r="AO46" s="212">
        <f t="shared" si="15"/>
        <v>26.161999999999999</v>
      </c>
      <c r="AP46" s="212">
        <f t="shared" si="16"/>
        <v>12.298982999234454</v>
      </c>
      <c r="AQ46" s="221">
        <f t="shared" si="17"/>
        <v>12.209843932304567</v>
      </c>
      <c r="AR46" s="226" t="e">
        <f t="shared" si="18"/>
        <v>#DIV/0!</v>
      </c>
      <c r="AS46" s="212" t="e">
        <f t="shared" si="19"/>
        <v>#DIV/0!</v>
      </c>
      <c r="AT46" s="212" t="e">
        <f t="shared" si="20"/>
        <v>#DIV/0!</v>
      </c>
      <c r="AU46" s="227" t="e">
        <f t="shared" si="21"/>
        <v>#DIV/0!</v>
      </c>
      <c r="AV46" s="226" t="e">
        <f t="shared" si="22"/>
        <v>#DIV/0!</v>
      </c>
      <c r="AW46" s="233" t="e">
        <f t="shared" si="23"/>
        <v>#DIV/0!</v>
      </c>
      <c r="AX46" s="286" t="e">
        <f t="shared" si="24"/>
        <v>#DIV/0!</v>
      </c>
      <c r="AY46" s="232">
        <f t="shared" si="25"/>
        <v>354.94356482817102</v>
      </c>
      <c r="AZ46" s="213">
        <f t="shared" si="0"/>
        <v>4.07805050523064E-3</v>
      </c>
      <c r="BA46" s="215" t="e">
        <f t="shared" si="26"/>
        <v>#DIV/0!</v>
      </c>
      <c r="BB46" s="212">
        <f t="shared" si="1"/>
        <v>0.62896553330537075</v>
      </c>
      <c r="BC46" s="213" t="e">
        <f t="shared" si="2"/>
        <v>#DIV/0!</v>
      </c>
      <c r="BD46" s="214" t="e">
        <f t="shared" si="3"/>
        <v>#DIV/0!</v>
      </c>
      <c r="BE46" s="219" t="e">
        <f t="shared" si="27"/>
        <v>#DIV/0!</v>
      </c>
      <c r="BF46" s="252"/>
    </row>
    <row r="47" spans="2:58" x14ac:dyDescent="0.2">
      <c r="B47" s="13"/>
      <c r="C47" s="2"/>
      <c r="D47" s="2"/>
      <c r="E47" s="2"/>
      <c r="F47" s="2"/>
      <c r="G47" s="2"/>
      <c r="H47" s="2"/>
      <c r="I47" s="2"/>
      <c r="J47" s="2"/>
      <c r="K47" s="2"/>
      <c r="L47" s="79">
        <v>30</v>
      </c>
      <c r="M47" s="211">
        <f t="shared" si="4"/>
        <v>26.262</v>
      </c>
      <c r="N47" s="212">
        <f t="shared" si="5"/>
        <v>46.410258498232579</v>
      </c>
      <c r="O47" s="212">
        <f t="shared" si="6"/>
        <v>26.652999999999999</v>
      </c>
      <c r="P47" s="289">
        <f t="shared" si="7"/>
        <v>46.832954749299788</v>
      </c>
      <c r="Q47" s="221">
        <f t="shared" si="8"/>
        <v>46.622431662572794</v>
      </c>
      <c r="R47" s="226"/>
      <c r="S47" s="296">
        <f t="shared" ca="1" si="9"/>
        <v>0.18799307931606182</v>
      </c>
      <c r="T47" s="296"/>
      <c r="U47" s="286">
        <f t="shared" ca="1" si="10"/>
        <v>0.18799307931606182</v>
      </c>
      <c r="V47" s="240"/>
      <c r="W47" s="299"/>
      <c r="X47" s="300"/>
      <c r="Y47" s="296">
        <f t="shared" ca="1" si="11"/>
        <v>2.9337925931487825</v>
      </c>
      <c r="Z47" s="296"/>
      <c r="AA47" s="286">
        <f t="shared" ca="1" si="12"/>
        <v>2.9337925931487825</v>
      </c>
      <c r="AB47" s="217"/>
      <c r="AC47" s="86"/>
      <c r="AD47" s="293"/>
      <c r="AE47" s="217"/>
      <c r="AF47" s="86"/>
      <c r="AG47" s="254"/>
      <c r="AH47" s="235"/>
      <c r="AI47" s="235"/>
      <c r="AJ47" s="237"/>
      <c r="AK47" s="2"/>
      <c r="AL47" s="79">
        <f t="shared" si="28"/>
        <v>30</v>
      </c>
      <c r="AM47" s="211">
        <f t="shared" si="13"/>
        <v>26.262</v>
      </c>
      <c r="AN47" s="212">
        <f t="shared" si="14"/>
        <v>12.344555093168019</v>
      </c>
      <c r="AO47" s="212">
        <f t="shared" si="15"/>
        <v>26.652999999999999</v>
      </c>
      <c r="AP47" s="212">
        <f t="shared" si="16"/>
        <v>12.522589281954939</v>
      </c>
      <c r="AQ47" s="221">
        <f t="shared" si="17"/>
        <v>12.433602679943679</v>
      </c>
      <c r="AR47" s="226" t="e">
        <f t="shared" si="18"/>
        <v>#DIV/0!</v>
      </c>
      <c r="AS47" s="212" t="e">
        <f t="shared" si="19"/>
        <v>#DIV/0!</v>
      </c>
      <c r="AT47" s="212" t="e">
        <f t="shared" si="20"/>
        <v>#DIV/0!</v>
      </c>
      <c r="AU47" s="227" t="e">
        <f t="shared" si="21"/>
        <v>#DIV/0!</v>
      </c>
      <c r="AV47" s="226" t="e">
        <f t="shared" si="22"/>
        <v>#DIV/0!</v>
      </c>
      <c r="AW47" s="233" t="e">
        <f t="shared" si="23"/>
        <v>#DIV/0!</v>
      </c>
      <c r="AX47" s="286" t="e">
        <f t="shared" si="24"/>
        <v>#DIV/0!</v>
      </c>
      <c r="AY47" s="232">
        <f t="shared" si="25"/>
        <v>354.36617361842639</v>
      </c>
      <c r="AZ47" s="213">
        <f t="shared" si="0"/>
        <v>4.1378002594589887E-3</v>
      </c>
      <c r="BA47" s="215" t="e">
        <f t="shared" si="26"/>
        <v>#DIV/0!</v>
      </c>
      <c r="BB47" s="212">
        <f t="shared" si="1"/>
        <v>0.63981613640847235</v>
      </c>
      <c r="BC47" s="213" t="e">
        <f t="shared" si="2"/>
        <v>#DIV/0!</v>
      </c>
      <c r="BD47" s="214" t="e">
        <f t="shared" si="3"/>
        <v>#DIV/0!</v>
      </c>
      <c r="BE47" s="219" t="e">
        <f t="shared" si="27"/>
        <v>#DIV/0!</v>
      </c>
      <c r="BF47" s="252"/>
    </row>
    <row r="48" spans="2:58" x14ac:dyDescent="0.2">
      <c r="B48" s="13"/>
      <c r="C48" s="2"/>
      <c r="D48" s="2"/>
      <c r="E48" s="2"/>
      <c r="F48" s="2"/>
      <c r="G48" s="2"/>
      <c r="H48" s="2"/>
      <c r="I48" s="2"/>
      <c r="J48" s="2"/>
      <c r="K48" s="2"/>
      <c r="L48" s="79">
        <v>31</v>
      </c>
      <c r="M48" s="211">
        <f t="shared" si="4"/>
        <v>26.753</v>
      </c>
      <c r="N48" s="212">
        <f t="shared" si="5"/>
        <v>46.940005702073464</v>
      </c>
      <c r="O48" s="212">
        <f t="shared" si="6"/>
        <v>27.143999999999998</v>
      </c>
      <c r="P48" s="289">
        <f t="shared" si="7"/>
        <v>47.354498998203702</v>
      </c>
      <c r="Q48" s="221">
        <f t="shared" si="8"/>
        <v>47.148060400613033</v>
      </c>
      <c r="R48" s="226"/>
      <c r="S48" s="296">
        <f t="shared" ca="1" si="9"/>
        <v>0.18434481068210187</v>
      </c>
      <c r="T48" s="296"/>
      <c r="U48" s="286">
        <f t="shared" ca="1" si="10"/>
        <v>0.18434481068210187</v>
      </c>
      <c r="V48" s="240"/>
      <c r="W48" s="299"/>
      <c r="X48" s="300"/>
      <c r="Y48" s="296">
        <f t="shared" ca="1" si="11"/>
        <v>2.9323927813627657</v>
      </c>
      <c r="Z48" s="296"/>
      <c r="AA48" s="286">
        <f t="shared" ca="1" si="12"/>
        <v>2.9323927813627657</v>
      </c>
      <c r="AB48" s="217"/>
      <c r="AC48" s="86"/>
      <c r="AD48" s="293"/>
      <c r="AE48" s="217"/>
      <c r="AF48" s="86"/>
      <c r="AG48" s="254"/>
      <c r="AH48" s="235"/>
      <c r="AI48" s="235"/>
      <c r="AJ48" s="237"/>
      <c r="AK48" s="2"/>
      <c r="AL48" s="79">
        <f t="shared" si="28"/>
        <v>31</v>
      </c>
      <c r="AM48" s="211">
        <f t="shared" si="13"/>
        <v>26.753</v>
      </c>
      <c r="AN48" s="212">
        <f t="shared" si="14"/>
        <v>12.568083031654183</v>
      </c>
      <c r="AO48" s="212">
        <f t="shared" si="15"/>
        <v>27.143999999999998</v>
      </c>
      <c r="AP48" s="212">
        <f t="shared" si="16"/>
        <v>12.745808587126739</v>
      </c>
      <c r="AQ48" s="221">
        <f t="shared" si="17"/>
        <v>12.656976760062719</v>
      </c>
      <c r="AR48" s="226" t="e">
        <f t="shared" si="18"/>
        <v>#DIV/0!</v>
      </c>
      <c r="AS48" s="212" t="e">
        <f t="shared" si="19"/>
        <v>#DIV/0!</v>
      </c>
      <c r="AT48" s="212" t="e">
        <f t="shared" si="20"/>
        <v>#DIV/0!</v>
      </c>
      <c r="AU48" s="227" t="e">
        <f t="shared" si="21"/>
        <v>#DIV/0!</v>
      </c>
      <c r="AV48" s="226" t="e">
        <f t="shared" si="22"/>
        <v>#DIV/0!</v>
      </c>
      <c r="AW48" s="233" t="e">
        <f t="shared" si="23"/>
        <v>#DIV/0!</v>
      </c>
      <c r="AX48" s="286" t="e">
        <f t="shared" si="24"/>
        <v>#DIV/0!</v>
      </c>
      <c r="AY48" s="232">
        <f t="shared" si="25"/>
        <v>353.80968718795771</v>
      </c>
      <c r="AZ48" s="213">
        <f t="shared" si="0"/>
        <v>4.1970339555916321E-3</v>
      </c>
      <c r="BA48" s="215" t="e">
        <f t="shared" si="26"/>
        <v>#DIV/0!</v>
      </c>
      <c r="BB48" s="212">
        <f t="shared" si="1"/>
        <v>0.65066649071874483</v>
      </c>
      <c r="BC48" s="213" t="e">
        <f t="shared" si="2"/>
        <v>#DIV/0!</v>
      </c>
      <c r="BD48" s="214" t="e">
        <f t="shared" si="3"/>
        <v>#DIV/0!</v>
      </c>
      <c r="BE48" s="219" t="e">
        <f t="shared" si="27"/>
        <v>#DIV/0!</v>
      </c>
      <c r="BF48" s="252"/>
    </row>
    <row r="49" spans="2:58" x14ac:dyDescent="0.2">
      <c r="B49" s="13"/>
      <c r="C49" s="2"/>
      <c r="D49" s="2"/>
      <c r="E49" s="2"/>
      <c r="F49" s="2"/>
      <c r="G49" s="2"/>
      <c r="H49" s="2"/>
      <c r="I49" s="2"/>
      <c r="J49" s="2"/>
      <c r="K49" s="2"/>
      <c r="L49" s="79">
        <v>32</v>
      </c>
      <c r="M49" s="211">
        <f t="shared" si="4"/>
        <v>27.244</v>
      </c>
      <c r="N49" s="212">
        <f t="shared" si="5"/>
        <v>47.459473801800691</v>
      </c>
      <c r="O49" s="212">
        <f t="shared" si="6"/>
        <v>27.634999999999998</v>
      </c>
      <c r="P49" s="289">
        <f t="shared" si="7"/>
        <v>47.865934177263412</v>
      </c>
      <c r="Q49" s="221">
        <f t="shared" si="8"/>
        <v>47.663495180982103</v>
      </c>
      <c r="R49" s="226"/>
      <c r="S49" s="296">
        <f t="shared" ca="1" si="9"/>
        <v>0.18077216824767303</v>
      </c>
      <c r="T49" s="296"/>
      <c r="U49" s="286">
        <f t="shared" ca="1" si="10"/>
        <v>0.18077216824767303</v>
      </c>
      <c r="V49" s="240"/>
      <c r="W49" s="299"/>
      <c r="X49" s="300"/>
      <c r="Y49" s="296">
        <f t="shared" ca="1" si="11"/>
        <v>2.9310091469431736</v>
      </c>
      <c r="Z49" s="296"/>
      <c r="AA49" s="286">
        <f t="shared" ca="1" si="12"/>
        <v>2.9310091469431736</v>
      </c>
      <c r="AB49" s="217"/>
      <c r="AC49" s="86"/>
      <c r="AD49" s="293"/>
      <c r="AE49" s="217"/>
      <c r="AF49" s="86"/>
      <c r="AG49" s="254"/>
      <c r="AH49" s="235"/>
      <c r="AI49" s="235"/>
      <c r="AJ49" s="237"/>
      <c r="AK49" s="2"/>
      <c r="AL49" s="79">
        <f t="shared" si="28"/>
        <v>32</v>
      </c>
      <c r="AM49" s="211">
        <f t="shared" si="13"/>
        <v>27.244</v>
      </c>
      <c r="AN49" s="212">
        <f t="shared" si="14"/>
        <v>12.791222815102421</v>
      </c>
      <c r="AO49" s="212">
        <f t="shared" si="15"/>
        <v>27.634999999999998</v>
      </c>
      <c r="AP49" s="212">
        <f t="shared" si="16"/>
        <v>12.968635160104901</v>
      </c>
      <c r="AQ49" s="221">
        <f t="shared" si="17"/>
        <v>12.879960391215084</v>
      </c>
      <c r="AR49" s="226" t="e">
        <f t="shared" si="18"/>
        <v>#DIV/0!</v>
      </c>
      <c r="AS49" s="212" t="e">
        <f t="shared" si="19"/>
        <v>#DIV/0!</v>
      </c>
      <c r="AT49" s="212" t="e">
        <f t="shared" si="20"/>
        <v>#DIV/0!</v>
      </c>
      <c r="AU49" s="227" t="e">
        <f t="shared" si="21"/>
        <v>#DIV/0!</v>
      </c>
      <c r="AV49" s="226" t="e">
        <f t="shared" si="22"/>
        <v>#DIV/0!</v>
      </c>
      <c r="AW49" s="233" t="e">
        <f t="shared" si="23"/>
        <v>#DIV/0!</v>
      </c>
      <c r="AX49" s="286" t="e">
        <f t="shared" si="24"/>
        <v>#DIV/0!</v>
      </c>
      <c r="AY49" s="232">
        <f t="shared" si="25"/>
        <v>353.27297792895303</v>
      </c>
      <c r="AZ49" s="213">
        <f t="shared" si="0"/>
        <v>4.2557461630301852E-3</v>
      </c>
      <c r="BA49" s="215" t="e">
        <f t="shared" si="26"/>
        <v>#DIV/0!</v>
      </c>
      <c r="BB49" s="212">
        <f t="shared" si="1"/>
        <v>0.66151658611891595</v>
      </c>
      <c r="BC49" s="213" t="e">
        <f t="shared" si="2"/>
        <v>#DIV/0!</v>
      </c>
      <c r="BD49" s="214" t="e">
        <f t="shared" si="3"/>
        <v>#DIV/0!</v>
      </c>
      <c r="BE49" s="219" t="e">
        <f t="shared" si="27"/>
        <v>#DIV/0!</v>
      </c>
      <c r="BF49" s="252"/>
    </row>
    <row r="50" spans="2:58" x14ac:dyDescent="0.2">
      <c r="B50" s="13"/>
      <c r="C50" s="2"/>
      <c r="D50" s="2"/>
      <c r="E50" s="2"/>
      <c r="F50" s="2"/>
      <c r="G50" s="2"/>
      <c r="H50" s="2"/>
      <c r="I50" s="2"/>
      <c r="J50" s="2"/>
      <c r="K50" s="2"/>
      <c r="L50" s="79">
        <v>33</v>
      </c>
      <c r="M50" s="211">
        <f t="shared" si="4"/>
        <v>27.734999999999999</v>
      </c>
      <c r="N50" s="212">
        <f t="shared" si="5"/>
        <v>47.968876145979571</v>
      </c>
      <c r="O50" s="212">
        <f t="shared" si="6"/>
        <v>28.125999999999998</v>
      </c>
      <c r="P50" s="289">
        <f t="shared" si="7"/>
        <v>48.36747221020417</v>
      </c>
      <c r="Q50" s="221">
        <f t="shared" si="8"/>
        <v>48.168948664463549</v>
      </c>
      <c r="R50" s="226"/>
      <c r="S50" s="296">
        <f t="shared" ca="1" si="9"/>
        <v>0.17727451796825777</v>
      </c>
      <c r="T50" s="296"/>
      <c r="U50" s="286">
        <f t="shared" ca="1" si="10"/>
        <v>0.17727451796825777</v>
      </c>
      <c r="V50" s="240"/>
      <c r="W50" s="299"/>
      <c r="X50" s="300"/>
      <c r="Y50" s="296">
        <f t="shared" ca="1" si="11"/>
        <v>2.9296418809925235</v>
      </c>
      <c r="Z50" s="296"/>
      <c r="AA50" s="286">
        <f t="shared" ca="1" si="12"/>
        <v>2.9296418809925235</v>
      </c>
      <c r="AB50" s="217"/>
      <c r="AC50" s="86"/>
      <c r="AD50" s="293"/>
      <c r="AE50" s="217"/>
      <c r="AF50" s="86"/>
      <c r="AG50" s="254"/>
      <c r="AH50" s="235"/>
      <c r="AI50" s="235"/>
      <c r="AJ50" s="237"/>
      <c r="AK50" s="2"/>
      <c r="AL50" s="79">
        <f t="shared" si="28"/>
        <v>33</v>
      </c>
      <c r="AM50" s="211">
        <f t="shared" si="13"/>
        <v>27.734999999999999</v>
      </c>
      <c r="AN50" s="212">
        <f t="shared" si="14"/>
        <v>13.013968702615758</v>
      </c>
      <c r="AO50" s="212">
        <f t="shared" si="15"/>
        <v>28.125999999999998</v>
      </c>
      <c r="AP50" s="212">
        <f t="shared" si="16"/>
        <v>13.191063313993441</v>
      </c>
      <c r="AQ50" s="221">
        <f t="shared" si="17"/>
        <v>13.102547859455674</v>
      </c>
      <c r="AR50" s="226" t="e">
        <f t="shared" si="18"/>
        <v>#DIV/0!</v>
      </c>
      <c r="AS50" s="212" t="e">
        <f t="shared" si="19"/>
        <v>#DIV/0!</v>
      </c>
      <c r="AT50" s="212" t="e">
        <f t="shared" si="20"/>
        <v>#DIV/0!</v>
      </c>
      <c r="AU50" s="227" t="e">
        <f t="shared" si="21"/>
        <v>#DIV/0!</v>
      </c>
      <c r="AV50" s="226" t="e">
        <f t="shared" si="22"/>
        <v>#DIV/0!</v>
      </c>
      <c r="AW50" s="233" t="e">
        <f t="shared" si="23"/>
        <v>#DIV/0!</v>
      </c>
      <c r="AX50" s="286" t="e">
        <f t="shared" si="24"/>
        <v>#DIV/0!</v>
      </c>
      <c r="AY50" s="232">
        <f t="shared" si="25"/>
        <v>352.75499872203994</v>
      </c>
      <c r="AZ50" s="213">
        <f t="shared" si="0"/>
        <v>4.3139316408670426E-3</v>
      </c>
      <c r="BA50" s="215" t="e">
        <f t="shared" si="26"/>
        <v>#DIV/0!</v>
      </c>
      <c r="BB50" s="212">
        <f t="shared" si="1"/>
        <v>0.67236641477519421</v>
      </c>
      <c r="BC50" s="213" t="e">
        <f t="shared" si="2"/>
        <v>#DIV/0!</v>
      </c>
      <c r="BD50" s="214" t="e">
        <f t="shared" si="3"/>
        <v>#DIV/0!</v>
      </c>
      <c r="BE50" s="219" t="e">
        <f t="shared" si="27"/>
        <v>#DIV/0!</v>
      </c>
      <c r="BF50" s="252"/>
    </row>
    <row r="51" spans="2:58" x14ac:dyDescent="0.2">
      <c r="B51" s="13"/>
      <c r="C51" s="2"/>
      <c r="D51" s="2"/>
      <c r="E51" s="2"/>
      <c r="F51" s="2"/>
      <c r="G51" s="2"/>
      <c r="H51" s="2"/>
      <c r="I51" s="2"/>
      <c r="J51" s="2"/>
      <c r="K51" s="2"/>
      <c r="L51" s="79">
        <v>34</v>
      </c>
      <c r="M51" s="211">
        <f t="shared" si="4"/>
        <v>28.225999999999999</v>
      </c>
      <c r="N51" s="212">
        <f t="shared" si="5"/>
        <v>48.468424263016665</v>
      </c>
      <c r="O51" s="212">
        <f t="shared" si="6"/>
        <v>28.616999999999997</v>
      </c>
      <c r="P51" s="289">
        <f t="shared" si="7"/>
        <v>48.859322967323763</v>
      </c>
      <c r="Q51" s="221">
        <f t="shared" si="8"/>
        <v>48.664631572240346</v>
      </c>
      <c r="R51" s="226"/>
      <c r="S51" s="296">
        <f t="shared" ca="1" si="9"/>
        <v>0.17385112207704986</v>
      </c>
      <c r="T51" s="296"/>
      <c r="U51" s="286">
        <f t="shared" ca="1" si="10"/>
        <v>0.17385112207704986</v>
      </c>
      <c r="V51" s="240"/>
      <c r="W51" s="299"/>
      <c r="X51" s="300"/>
      <c r="Y51" s="296">
        <f t="shared" ca="1" si="11"/>
        <v>2.9282911364825495</v>
      </c>
      <c r="Z51" s="296"/>
      <c r="AA51" s="286">
        <f t="shared" ca="1" si="12"/>
        <v>2.9282911364825495</v>
      </c>
      <c r="AB51" s="217"/>
      <c r="AC51" s="86"/>
      <c r="AD51" s="293"/>
      <c r="AE51" s="217"/>
      <c r="AF51" s="86"/>
      <c r="AG51" s="254"/>
      <c r="AH51" s="235"/>
      <c r="AI51" s="235"/>
      <c r="AJ51" s="237"/>
      <c r="AK51" s="2"/>
      <c r="AL51" s="79">
        <f t="shared" si="28"/>
        <v>34</v>
      </c>
      <c r="AM51" s="211">
        <f t="shared" si="13"/>
        <v>28.225999999999999</v>
      </c>
      <c r="AN51" s="212">
        <f t="shared" si="14"/>
        <v>13.236315021171116</v>
      </c>
      <c r="AO51" s="212">
        <f t="shared" si="15"/>
        <v>28.616999999999997</v>
      </c>
      <c r="AP51" s="212">
        <f t="shared" si="16"/>
        <v>13.413087430247987</v>
      </c>
      <c r="AQ51" s="221">
        <f t="shared" si="17"/>
        <v>13.324733518954281</v>
      </c>
      <c r="AR51" s="226" t="e">
        <f t="shared" si="18"/>
        <v>#DIV/0!</v>
      </c>
      <c r="AS51" s="212" t="e">
        <f t="shared" si="19"/>
        <v>#DIV/0!</v>
      </c>
      <c r="AT51" s="212" t="e">
        <f t="shared" si="20"/>
        <v>#DIV/0!</v>
      </c>
      <c r="AU51" s="227" t="e">
        <f t="shared" si="21"/>
        <v>#DIV/0!</v>
      </c>
      <c r="AV51" s="226" t="e">
        <f t="shared" si="22"/>
        <v>#DIV/0!</v>
      </c>
      <c r="AW51" s="233" t="e">
        <f t="shared" si="23"/>
        <v>#DIV/0!</v>
      </c>
      <c r="AX51" s="286" t="e">
        <f t="shared" si="24"/>
        <v>#DIV/0!</v>
      </c>
      <c r="AY51" s="232">
        <f t="shared" si="25"/>
        <v>352.25477581345513</v>
      </c>
      <c r="AZ51" s="213">
        <f t="shared" si="0"/>
        <v>4.3715853359696504E-3</v>
      </c>
      <c r="BA51" s="215" t="e">
        <f t="shared" si="26"/>
        <v>#DIV/0!</v>
      </c>
      <c r="BB51" s="212">
        <f t="shared" si="1"/>
        <v>0.68321597080671359</v>
      </c>
      <c r="BC51" s="213" t="e">
        <f t="shared" si="2"/>
        <v>#DIV/0!</v>
      </c>
      <c r="BD51" s="214" t="e">
        <f t="shared" si="3"/>
        <v>#DIV/0!</v>
      </c>
      <c r="BE51" s="219" t="e">
        <f t="shared" si="27"/>
        <v>#DIV/0!</v>
      </c>
      <c r="BF51" s="252"/>
    </row>
    <row r="52" spans="2:58" x14ac:dyDescent="0.2">
      <c r="B52" s="13"/>
      <c r="C52" s="2"/>
      <c r="D52" s="2"/>
      <c r="E52" s="2"/>
      <c r="F52" s="2"/>
      <c r="G52" s="2"/>
      <c r="H52" s="2"/>
      <c r="I52" s="2"/>
      <c r="J52" s="2"/>
      <c r="K52" s="2"/>
      <c r="L52" s="79">
        <v>35</v>
      </c>
      <c r="M52" s="211">
        <f t="shared" si="4"/>
        <v>28.716999999999999</v>
      </c>
      <c r="N52" s="212">
        <f t="shared" si="5"/>
        <v>48.958327571784977</v>
      </c>
      <c r="O52" s="212">
        <f t="shared" si="6"/>
        <v>29.107999999999997</v>
      </c>
      <c r="P52" s="289">
        <f t="shared" si="7"/>
        <v>49.34169400329413</v>
      </c>
      <c r="Q52" s="221">
        <f t="shared" si="8"/>
        <v>49.150752410311696</v>
      </c>
      <c r="R52" s="226"/>
      <c r="S52" s="296">
        <f t="shared" ca="1" si="9"/>
        <v>0.17050115117076137</v>
      </c>
      <c r="T52" s="296"/>
      <c r="U52" s="286">
        <f t="shared" ca="1" si="10"/>
        <v>0.17050115117076137</v>
      </c>
      <c r="V52" s="240"/>
      <c r="W52" s="299"/>
      <c r="X52" s="300"/>
      <c r="Y52" s="296">
        <f t="shared" ca="1" si="11"/>
        <v>2.9269570310832789</v>
      </c>
      <c r="Z52" s="296"/>
      <c r="AA52" s="286">
        <f t="shared" ca="1" si="12"/>
        <v>2.9269570310832789</v>
      </c>
      <c r="AB52" s="217"/>
      <c r="AC52" s="86"/>
      <c r="AD52" s="293"/>
      <c r="AE52" s="217"/>
      <c r="AF52" s="86"/>
      <c r="AG52" s="254"/>
      <c r="AH52" s="235"/>
      <c r="AI52" s="235"/>
      <c r="AJ52" s="237"/>
      <c r="AK52" s="2"/>
      <c r="AL52" s="79">
        <f t="shared" si="28"/>
        <v>35</v>
      </c>
      <c r="AM52" s="211">
        <f t="shared" si="13"/>
        <v>28.716999999999999</v>
      </c>
      <c r="AN52" s="212">
        <f t="shared" si="14"/>
        <v>13.458256166216461</v>
      </c>
      <c r="AO52" s="212">
        <f t="shared" si="15"/>
        <v>29.107999999999997</v>
      </c>
      <c r="AP52" s="212">
        <f t="shared" si="16"/>
        <v>13.634701959251423</v>
      </c>
      <c r="AQ52" s="221">
        <f t="shared" si="17"/>
        <v>13.546511792581986</v>
      </c>
      <c r="AR52" s="226" t="e">
        <f t="shared" si="18"/>
        <v>#DIV/0!</v>
      </c>
      <c r="AS52" s="212" t="e">
        <f t="shared" si="19"/>
        <v>#DIV/0!</v>
      </c>
      <c r="AT52" s="212" t="e">
        <f t="shared" si="20"/>
        <v>#DIV/0!</v>
      </c>
      <c r="AU52" s="227" t="e">
        <f t="shared" si="21"/>
        <v>#DIV/0!</v>
      </c>
      <c r="AV52" s="226" t="e">
        <f t="shared" si="22"/>
        <v>#DIV/0!</v>
      </c>
      <c r="AW52" s="233" t="e">
        <f t="shared" si="23"/>
        <v>#DIV/0!</v>
      </c>
      <c r="AX52" s="286" t="e">
        <f t="shared" si="24"/>
        <v>#DIV/0!</v>
      </c>
      <c r="AY52" s="232">
        <f t="shared" si="25"/>
        <v>351.77140244198273</v>
      </c>
      <c r="AZ52" s="213">
        <f t="shared" si="0"/>
        <v>4.4287023812916567E-3</v>
      </c>
      <c r="BA52" s="215" t="e">
        <f t="shared" si="26"/>
        <v>#DIV/0!</v>
      </c>
      <c r="BB52" s="212">
        <f t="shared" si="1"/>
        <v>0.69406525000250618</v>
      </c>
      <c r="BC52" s="213" t="e">
        <f t="shared" si="2"/>
        <v>#DIV/0!</v>
      </c>
      <c r="BD52" s="214" t="e">
        <f t="shared" si="3"/>
        <v>#DIV/0!</v>
      </c>
      <c r="BE52" s="219" t="e">
        <f t="shared" si="27"/>
        <v>#DIV/0!</v>
      </c>
      <c r="BF52" s="252"/>
    </row>
    <row r="53" spans="2:58" x14ac:dyDescent="0.2">
      <c r="B53" s="13"/>
      <c r="C53" s="2"/>
      <c r="D53" s="2"/>
      <c r="E53" s="2"/>
      <c r="F53" s="2"/>
      <c r="G53" s="2"/>
      <c r="H53" s="2"/>
      <c r="I53" s="2"/>
      <c r="J53" s="2"/>
      <c r="K53" s="2"/>
      <c r="L53" s="79">
        <v>36</v>
      </c>
      <c r="M53" s="211">
        <f t="shared" si="4"/>
        <v>29.207999999999998</v>
      </c>
      <c r="N53" s="212">
        <f t="shared" si="5"/>
        <v>49.438793126116956</v>
      </c>
      <c r="O53" s="212">
        <f t="shared" si="6"/>
        <v>29.598999999999997</v>
      </c>
      <c r="P53" s="289">
        <f t="shared" si="7"/>
        <v>49.814790326829083</v>
      </c>
      <c r="Q53" s="221">
        <f t="shared" si="8"/>
        <v>49.627517226768425</v>
      </c>
      <c r="R53" s="226"/>
      <c r="S53" s="296">
        <f t="shared" ca="1" si="9"/>
        <v>0.16722369540512602</v>
      </c>
      <c r="T53" s="296"/>
      <c r="U53" s="286">
        <f t="shared" ca="1" si="10"/>
        <v>0.16722369540512602</v>
      </c>
      <c r="V53" s="240"/>
      <c r="W53" s="299"/>
      <c r="X53" s="300"/>
      <c r="Y53" s="296">
        <f t="shared" ca="1" si="11"/>
        <v>2.9256396498471053</v>
      </c>
      <c r="Z53" s="296"/>
      <c r="AA53" s="286">
        <f t="shared" ca="1" si="12"/>
        <v>2.9256396498471053</v>
      </c>
      <c r="AB53" s="217"/>
      <c r="AC53" s="86"/>
      <c r="AD53" s="293"/>
      <c r="AE53" s="217"/>
      <c r="AF53" s="86"/>
      <c r="AG53" s="254"/>
      <c r="AH53" s="235"/>
      <c r="AI53" s="235"/>
      <c r="AJ53" s="237"/>
      <c r="AK53" s="2"/>
      <c r="AL53" s="79">
        <f t="shared" si="28"/>
        <v>36</v>
      </c>
      <c r="AM53" s="211">
        <f t="shared" si="13"/>
        <v>29.207999999999998</v>
      </c>
      <c r="AN53" s="212">
        <f t="shared" si="14"/>
        <v>13.679786602240938</v>
      </c>
      <c r="AO53" s="212">
        <f t="shared" si="15"/>
        <v>29.598999999999997</v>
      </c>
      <c r="AP53" s="212">
        <f t="shared" si="16"/>
        <v>13.855901420862535</v>
      </c>
      <c r="AQ53" s="221">
        <f t="shared" si="17"/>
        <v>13.767877172470556</v>
      </c>
      <c r="AR53" s="226" t="e">
        <f t="shared" si="18"/>
        <v>#DIV/0!</v>
      </c>
      <c r="AS53" s="212" t="e">
        <f t="shared" si="19"/>
        <v>#DIV/0!</v>
      </c>
      <c r="AT53" s="212" t="e">
        <f t="shared" si="20"/>
        <v>#DIV/0!</v>
      </c>
      <c r="AU53" s="227" t="e">
        <f t="shared" si="21"/>
        <v>#DIV/0!</v>
      </c>
      <c r="AV53" s="226" t="e">
        <f t="shared" si="22"/>
        <v>#DIV/0!</v>
      </c>
      <c r="AW53" s="233" t="e">
        <f t="shared" si="23"/>
        <v>#DIV/0!</v>
      </c>
      <c r="AX53" s="286" t="e">
        <f t="shared" si="24"/>
        <v>#DIV/0!</v>
      </c>
      <c r="AY53" s="240">
        <f>360-DEGREES(2*ACOS((29*2)/(AM53+AO53)))</f>
        <v>340.99412879652334</v>
      </c>
      <c r="AZ53" s="213">
        <f t="shared" si="0"/>
        <v>4.3536462778233616E-3</v>
      </c>
      <c r="BA53" s="215" t="e">
        <f t="shared" si="26"/>
        <v>#DIV/0!</v>
      </c>
      <c r="BB53" s="212">
        <f t="shared" si="1"/>
        <v>0.68422676014691042</v>
      </c>
      <c r="BC53" s="213" t="e">
        <f t="shared" si="2"/>
        <v>#DIV/0!</v>
      </c>
      <c r="BD53" s="214" t="e">
        <f t="shared" si="3"/>
        <v>#DIV/0!</v>
      </c>
      <c r="BE53" s="219" t="e">
        <f t="shared" si="27"/>
        <v>#DIV/0!</v>
      </c>
      <c r="BF53" s="252"/>
    </row>
    <row r="54" spans="2:58" x14ac:dyDescent="0.2">
      <c r="B54" s="13"/>
      <c r="C54" s="2"/>
      <c r="D54" s="2"/>
      <c r="E54" s="2"/>
      <c r="F54" s="2"/>
      <c r="G54" s="2"/>
      <c r="H54" s="2"/>
      <c r="I54" s="2"/>
      <c r="J54" s="2"/>
      <c r="K54" s="2"/>
      <c r="L54" s="79">
        <v>37</v>
      </c>
      <c r="M54" s="211">
        <f t="shared" si="4"/>
        <v>29.698999999999998</v>
      </c>
      <c r="N54" s="212">
        <f t="shared" si="5"/>
        <v>49.910025390662447</v>
      </c>
      <c r="O54" s="212">
        <f t="shared" si="6"/>
        <v>30.089999999999996</v>
      </c>
      <c r="P54" s="289">
        <f t="shared" si="7"/>
        <v>50.278814199802845</v>
      </c>
      <c r="Q54" s="221">
        <f t="shared" si="8"/>
        <v>50.095129399467233</v>
      </c>
      <c r="R54" s="226"/>
      <c r="S54" s="296">
        <f t="shared" ca="1" si="9"/>
        <v>0.1640177748390004</v>
      </c>
      <c r="T54" s="296"/>
      <c r="U54" s="286">
        <f t="shared" ca="1" si="10"/>
        <v>0.1640177748390004</v>
      </c>
      <c r="V54" s="240"/>
      <c r="W54" s="299"/>
      <c r="X54" s="300"/>
      <c r="Y54" s="296">
        <f t="shared" ca="1" si="11"/>
        <v>2.9243390477496285</v>
      </c>
      <c r="Z54" s="296"/>
      <c r="AA54" s="286">
        <f t="shared" ca="1" si="12"/>
        <v>2.9243390477496285</v>
      </c>
      <c r="AB54" s="217"/>
      <c r="AC54" s="86"/>
      <c r="AD54" s="293"/>
      <c r="AE54" s="217"/>
      <c r="AF54" s="86"/>
      <c r="AG54" s="254"/>
      <c r="AH54" s="235"/>
      <c r="AI54" s="235"/>
      <c r="AJ54" s="237"/>
      <c r="AK54" s="2"/>
      <c r="AL54" s="79">
        <f t="shared" si="28"/>
        <v>37</v>
      </c>
      <c r="AM54" s="211">
        <f t="shared" si="13"/>
        <v>29.698999999999998</v>
      </c>
      <c r="AN54" s="212">
        <f t="shared" si="14"/>
        <v>13.900900863318039</v>
      </c>
      <c r="AO54" s="212">
        <f t="shared" si="15"/>
        <v>30.089999999999996</v>
      </c>
      <c r="AP54" s="212">
        <f t="shared" si="16"/>
        <v>14.076680404937727</v>
      </c>
      <c r="AQ54" s="221">
        <f t="shared" si="17"/>
        <v>13.988824220544858</v>
      </c>
      <c r="AR54" s="226" t="e">
        <f t="shared" si="18"/>
        <v>#DIV/0!</v>
      </c>
      <c r="AS54" s="212" t="e">
        <f t="shared" si="19"/>
        <v>#DIV/0!</v>
      </c>
      <c r="AT54" s="212" t="e">
        <f t="shared" si="20"/>
        <v>#DIV/0!</v>
      </c>
      <c r="AU54" s="227" t="e">
        <f t="shared" si="21"/>
        <v>#DIV/0!</v>
      </c>
      <c r="AV54" s="226" t="e">
        <f t="shared" si="22"/>
        <v>#DIV/0!</v>
      </c>
      <c r="AW54" s="233" t="e">
        <f t="shared" si="23"/>
        <v>#DIV/0!</v>
      </c>
      <c r="AX54" s="286" t="e">
        <f t="shared" si="24"/>
        <v>#DIV/0!</v>
      </c>
      <c r="AY54" s="232">
        <f t="shared" ref="AY54:AY64" si="29">360-DEGREES(2*ACOS((29*2)/(AM54+AO54)))</f>
        <v>331.89710565089155</v>
      </c>
      <c r="AZ54" s="213">
        <f t="shared" si="0"/>
        <v>4.2959638107755195E-3</v>
      </c>
      <c r="BA54" s="215" t="e">
        <f t="shared" si="26"/>
        <v>#DIV/0!</v>
      </c>
      <c r="BB54" s="212">
        <f t="shared" si="1"/>
        <v>0.67709387335282789</v>
      </c>
      <c r="BC54" s="213" t="e">
        <f t="shared" si="2"/>
        <v>#DIV/0!</v>
      </c>
      <c r="BD54" s="214" t="e">
        <f t="shared" si="3"/>
        <v>#DIV/0!</v>
      </c>
      <c r="BE54" s="219" t="e">
        <f t="shared" si="27"/>
        <v>#DIV/0!</v>
      </c>
      <c r="BF54" s="252"/>
    </row>
    <row r="55" spans="2:58" x14ac:dyDescent="0.2">
      <c r="B55" s="13"/>
      <c r="C55" s="2"/>
      <c r="D55" s="2"/>
      <c r="E55" s="2"/>
      <c r="F55" s="2"/>
      <c r="G55" s="2"/>
      <c r="H55" s="2"/>
      <c r="I55" s="2"/>
      <c r="J55" s="2"/>
      <c r="K55" s="2"/>
      <c r="L55" s="79">
        <v>38</v>
      </c>
      <c r="M55" s="211">
        <f t="shared" si="4"/>
        <v>30.19</v>
      </c>
      <c r="N55" s="212">
        <f t="shared" si="5"/>
        <v>50.372226045719707</v>
      </c>
      <c r="O55" s="212">
        <f t="shared" si="6"/>
        <v>30.581000000000003</v>
      </c>
      <c r="P55" s="289">
        <f t="shared" si="7"/>
        <v>50.733964963518865</v>
      </c>
      <c r="Q55" s="221">
        <f t="shared" si="8"/>
        <v>50.553789451757417</v>
      </c>
      <c r="R55" s="226"/>
      <c r="S55" s="296">
        <f t="shared" ca="1" si="9"/>
        <v>0.16088234896777565</v>
      </c>
      <c r="T55" s="296"/>
      <c r="U55" s="286">
        <f t="shared" ca="1" si="10"/>
        <v>0.16088234896777565</v>
      </c>
      <c r="V55" s="240"/>
      <c r="W55" s="299"/>
      <c r="X55" s="300"/>
      <c r="Y55" s="296">
        <f t="shared" ca="1" si="11"/>
        <v>2.9230552520899362</v>
      </c>
      <c r="Z55" s="296"/>
      <c r="AA55" s="286">
        <f t="shared" ca="1" si="12"/>
        <v>2.9230552520899362</v>
      </c>
      <c r="AB55" s="217"/>
      <c r="AC55" s="86"/>
      <c r="AD55" s="293"/>
      <c r="AE55" s="217"/>
      <c r="AF55" s="86"/>
      <c r="AG55" s="254"/>
      <c r="AH55" s="235"/>
      <c r="AI55" s="235"/>
      <c r="AJ55" s="237"/>
      <c r="AK55" s="2"/>
      <c r="AL55" s="79">
        <f t="shared" si="28"/>
        <v>38</v>
      </c>
      <c r="AM55" s="211">
        <f t="shared" si="13"/>
        <v>30.19</v>
      </c>
      <c r="AN55" s="212">
        <f t="shared" si="14"/>
        <v>14.121593553621825</v>
      </c>
      <c r="AO55" s="212">
        <f t="shared" si="15"/>
        <v>30.581000000000003</v>
      </c>
      <c r="AP55" s="212">
        <f t="shared" si="16"/>
        <v>14.297033571825828</v>
      </c>
      <c r="AQ55" s="221">
        <f t="shared" si="17"/>
        <v>14.209347569028404</v>
      </c>
      <c r="AR55" s="226" t="e">
        <f t="shared" si="18"/>
        <v>#DIV/0!</v>
      </c>
      <c r="AS55" s="212" t="e">
        <f t="shared" si="19"/>
        <v>#DIV/0!</v>
      </c>
      <c r="AT55" s="212" t="e">
        <f t="shared" si="20"/>
        <v>#DIV/0!</v>
      </c>
      <c r="AU55" s="227" t="e">
        <f t="shared" si="21"/>
        <v>#DIV/0!</v>
      </c>
      <c r="AV55" s="226" t="e">
        <f t="shared" si="22"/>
        <v>#DIV/0!</v>
      </c>
      <c r="AW55" s="233" t="e">
        <f t="shared" si="23"/>
        <v>#DIV/0!</v>
      </c>
      <c r="AX55" s="286" t="e">
        <f t="shared" si="24"/>
        <v>#DIV/0!</v>
      </c>
      <c r="AY55" s="232">
        <f t="shared" si="29"/>
        <v>325.26223333597818</v>
      </c>
      <c r="AZ55" s="213">
        <f t="shared" si="0"/>
        <v>4.266840307219519E-3</v>
      </c>
      <c r="BA55" s="215" t="e">
        <f t="shared" si="26"/>
        <v>#DIV/0!</v>
      </c>
      <c r="BB55" s="212">
        <f t="shared" si="1"/>
        <v>0.67445682193931511</v>
      </c>
      <c r="BC55" s="213" t="e">
        <f t="shared" si="2"/>
        <v>#DIV/0!</v>
      </c>
      <c r="BD55" s="214" t="e">
        <f t="shared" si="3"/>
        <v>#DIV/0!</v>
      </c>
      <c r="BE55" s="219" t="e">
        <f t="shared" si="27"/>
        <v>#DIV/0!</v>
      </c>
      <c r="BF55" s="252"/>
    </row>
    <row r="56" spans="2:58" x14ac:dyDescent="0.2">
      <c r="B56" s="13"/>
      <c r="C56" s="2"/>
      <c r="D56" s="2"/>
      <c r="E56" s="2"/>
      <c r="F56" s="2"/>
      <c r="G56" s="2"/>
      <c r="H56" s="2"/>
      <c r="I56" s="2"/>
      <c r="J56" s="2"/>
      <c r="K56" s="2"/>
      <c r="L56" s="79">
        <v>39</v>
      </c>
      <c r="M56" s="211">
        <f t="shared" si="4"/>
        <v>30.681000000000001</v>
      </c>
      <c r="N56" s="212">
        <f t="shared" si="5"/>
        <v>50.825593818762165</v>
      </c>
      <c r="O56" s="212">
        <f t="shared" si="6"/>
        <v>31.072000000000003</v>
      </c>
      <c r="P56" s="289">
        <f t="shared" si="7"/>
        <v>51.180438889945592</v>
      </c>
      <c r="Q56" s="221">
        <f t="shared" si="8"/>
        <v>51.00369489402955</v>
      </c>
      <c r="R56" s="226"/>
      <c r="S56" s="296">
        <f t="shared" ca="1" si="9"/>
        <v>0.15781632548788999</v>
      </c>
      <c r="T56" s="296"/>
      <c r="U56" s="286">
        <f t="shared" ca="1" si="10"/>
        <v>0.15781632548788999</v>
      </c>
      <c r="V56" s="240"/>
      <c r="W56" s="299"/>
      <c r="X56" s="300"/>
      <c r="Y56" s="296">
        <f t="shared" ca="1" si="11"/>
        <v>2.921788264753685</v>
      </c>
      <c r="Z56" s="296"/>
      <c r="AA56" s="286">
        <f t="shared" ca="1" si="12"/>
        <v>2.921788264753685</v>
      </c>
      <c r="AB56" s="217"/>
      <c r="AC56" s="86"/>
      <c r="AD56" s="293"/>
      <c r="AE56" s="217"/>
      <c r="AF56" s="86"/>
      <c r="AG56" s="254"/>
      <c r="AH56" s="235"/>
      <c r="AI56" s="235"/>
      <c r="AJ56" s="237"/>
      <c r="AK56" s="2"/>
      <c r="AL56" s="79">
        <f t="shared" si="28"/>
        <v>39</v>
      </c>
      <c r="AM56" s="211">
        <f t="shared" si="13"/>
        <v>30.681000000000001</v>
      </c>
      <c r="AN56" s="212">
        <f t="shared" si="14"/>
        <v>14.341859347916264</v>
      </c>
      <c r="AO56" s="212">
        <f t="shared" si="15"/>
        <v>31.072000000000003</v>
      </c>
      <c r="AP56" s="212">
        <f t="shared" si="16"/>
        <v>14.516955652836069</v>
      </c>
      <c r="AQ56" s="221">
        <f t="shared" si="17"/>
        <v>14.429441920921969</v>
      </c>
      <c r="AR56" s="226" t="e">
        <f t="shared" si="18"/>
        <v>#DIV/0!</v>
      </c>
      <c r="AS56" s="212" t="e">
        <f t="shared" si="19"/>
        <v>#DIV/0!</v>
      </c>
      <c r="AT56" s="212" t="e">
        <f t="shared" si="20"/>
        <v>#DIV/0!</v>
      </c>
      <c r="AU56" s="227" t="e">
        <f t="shared" si="21"/>
        <v>#DIV/0!</v>
      </c>
      <c r="AV56" s="226" t="e">
        <f t="shared" si="22"/>
        <v>#DIV/0!</v>
      </c>
      <c r="AW56" s="233" t="e">
        <f t="shared" si="23"/>
        <v>#DIV/0!</v>
      </c>
      <c r="AX56" s="286" t="e">
        <f t="shared" si="24"/>
        <v>#DIV/0!</v>
      </c>
      <c r="AY56" s="232">
        <f t="shared" si="29"/>
        <v>319.8438284137203</v>
      </c>
      <c r="AZ56" s="213">
        <f t="shared" si="0"/>
        <v>4.25103696835434E-3</v>
      </c>
      <c r="BA56" s="215" t="e">
        <f t="shared" si="26"/>
        <v>#DIV/0!</v>
      </c>
      <c r="BB56" s="212">
        <f t="shared" si="1"/>
        <v>0.67393834210994275</v>
      </c>
      <c r="BC56" s="213" t="e">
        <f t="shared" si="2"/>
        <v>#DIV/0!</v>
      </c>
      <c r="BD56" s="214" t="e">
        <f t="shared" si="3"/>
        <v>#DIV/0!</v>
      </c>
      <c r="BE56" s="219" t="e">
        <f t="shared" si="27"/>
        <v>#DIV/0!</v>
      </c>
      <c r="BF56" s="252"/>
    </row>
    <row r="57" spans="2:58" x14ac:dyDescent="0.2">
      <c r="B57" s="13"/>
      <c r="C57" s="2"/>
      <c r="D57" s="2"/>
      <c r="E57" s="2"/>
      <c r="F57" s="2"/>
      <c r="G57" s="2"/>
      <c r="H57" s="2"/>
      <c r="I57" s="2"/>
      <c r="J57" s="2"/>
      <c r="K57" s="2"/>
      <c r="L57" s="79">
        <v>40</v>
      </c>
      <c r="M57" s="211">
        <f t="shared" si="4"/>
        <v>31.172000000000001</v>
      </c>
      <c r="N57" s="212">
        <f t="shared" si="5"/>
        <v>51.270324340502476</v>
      </c>
      <c r="O57" s="212">
        <f t="shared" si="6"/>
        <v>31.563000000000002</v>
      </c>
      <c r="P57" s="289">
        <f t="shared" si="7"/>
        <v>51.6184290558557</v>
      </c>
      <c r="Q57" s="221">
        <f t="shared" si="8"/>
        <v>51.445040088974935</v>
      </c>
      <c r="R57" s="226"/>
      <c r="S57" s="296">
        <f t="shared" ca="1" si="9"/>
        <v>0.1548185683346833</v>
      </c>
      <c r="T57" s="296"/>
      <c r="U57" s="286">
        <f t="shared" ca="1" si="10"/>
        <v>0.1548185683346833</v>
      </c>
      <c r="V57" s="240"/>
      <c r="W57" s="299"/>
      <c r="X57" s="300"/>
      <c r="Y57" s="296">
        <f t="shared" ca="1" si="11"/>
        <v>2.9205380643429182</v>
      </c>
      <c r="Z57" s="296"/>
      <c r="AA57" s="286">
        <f t="shared" ca="1" si="12"/>
        <v>2.9205380643429182</v>
      </c>
      <c r="AB57" s="217"/>
      <c r="AC57" s="86"/>
      <c r="AD57" s="293"/>
      <c r="AE57" s="217"/>
      <c r="AF57" s="86"/>
      <c r="AG57" s="254"/>
      <c r="AH57" s="235"/>
      <c r="AI57" s="235"/>
      <c r="AJ57" s="237"/>
      <c r="AK57" s="2"/>
      <c r="AL57" s="79">
        <f t="shared" si="28"/>
        <v>40</v>
      </c>
      <c r="AM57" s="211">
        <f t="shared" si="13"/>
        <v>31.172000000000001</v>
      </c>
      <c r="AN57" s="212">
        <f t="shared" si="14"/>
        <v>14.561692992017765</v>
      </c>
      <c r="AO57" s="212">
        <f t="shared" si="15"/>
        <v>31.563000000000002</v>
      </c>
      <c r="AP57" s="212">
        <f t="shared" si="16"/>
        <v>14.736441450679335</v>
      </c>
      <c r="AQ57" s="221">
        <f t="shared" si="17"/>
        <v>14.649102050455497</v>
      </c>
      <c r="AR57" s="226" t="e">
        <f t="shared" si="18"/>
        <v>#DIV/0!</v>
      </c>
      <c r="AS57" s="212" t="e">
        <f t="shared" si="19"/>
        <v>#DIV/0!</v>
      </c>
      <c r="AT57" s="212" t="e">
        <f t="shared" si="20"/>
        <v>#DIV/0!</v>
      </c>
      <c r="AU57" s="227" t="e">
        <f t="shared" si="21"/>
        <v>#DIV/0!</v>
      </c>
      <c r="AV57" s="226" t="e">
        <f t="shared" si="22"/>
        <v>#DIV/0!</v>
      </c>
      <c r="AW57" s="233" t="e">
        <f t="shared" si="23"/>
        <v>#DIV/0!</v>
      </c>
      <c r="AX57" s="286" t="e">
        <f t="shared" si="24"/>
        <v>#DIV/0!</v>
      </c>
      <c r="AY57" s="232">
        <f t="shared" si="29"/>
        <v>315.19331176818116</v>
      </c>
      <c r="AZ57" s="213">
        <f t="shared" si="0"/>
        <v>4.2431687468614124E-3</v>
      </c>
      <c r="BA57" s="215" t="e">
        <f t="shared" si="26"/>
        <v>#DIV/0!</v>
      </c>
      <c r="BB57" s="212">
        <f t="shared" si="1"/>
        <v>0.67470048924122916</v>
      </c>
      <c r="BC57" s="213" t="e">
        <f t="shared" si="2"/>
        <v>#DIV/0!</v>
      </c>
      <c r="BD57" s="214" t="e">
        <f t="shared" si="3"/>
        <v>#DIV/0!</v>
      </c>
      <c r="BE57" s="219" t="e">
        <f t="shared" si="27"/>
        <v>#DIV/0!</v>
      </c>
      <c r="BF57" s="252"/>
    </row>
    <row r="58" spans="2:58" x14ac:dyDescent="0.2">
      <c r="B58" s="13"/>
      <c r="C58" s="2"/>
      <c r="D58" s="2"/>
      <c r="E58" s="2"/>
      <c r="F58" s="2"/>
      <c r="G58" s="2"/>
      <c r="H58" s="2"/>
      <c r="I58" s="2"/>
      <c r="J58" s="2"/>
      <c r="K58" s="2"/>
      <c r="L58" s="79">
        <v>41</v>
      </c>
      <c r="M58" s="211">
        <f t="shared" si="4"/>
        <v>31.663</v>
      </c>
      <c r="N58" s="212">
        <f t="shared" si="5"/>
        <v>51.706610023454012</v>
      </c>
      <c r="O58" s="212">
        <f t="shared" si="6"/>
        <v>32.054000000000002</v>
      </c>
      <c r="P58" s="289">
        <f t="shared" si="7"/>
        <v>52.048125237923692</v>
      </c>
      <c r="Q58" s="221">
        <f t="shared" si="8"/>
        <v>51.878016138563744</v>
      </c>
      <c r="R58" s="226"/>
      <c r="S58" s="296">
        <f t="shared" ca="1" si="9"/>
        <v>0.15188790503576741</v>
      </c>
      <c r="T58" s="296"/>
      <c r="U58" s="286">
        <f t="shared" ca="1" si="10"/>
        <v>0.15188790503576741</v>
      </c>
      <c r="V58" s="240"/>
      <c r="W58" s="299"/>
      <c r="X58" s="300"/>
      <c r="Y58" s="296">
        <f t="shared" ca="1" si="11"/>
        <v>2.9193046081769727</v>
      </c>
      <c r="Z58" s="296"/>
      <c r="AA58" s="286">
        <f t="shared" ca="1" si="12"/>
        <v>2.9193046081769727</v>
      </c>
      <c r="AB58" s="217"/>
      <c r="AC58" s="86"/>
      <c r="AD58" s="293"/>
      <c r="AE58" s="217"/>
      <c r="AF58" s="86"/>
      <c r="AG58" s="254"/>
      <c r="AH58" s="235"/>
      <c r="AI58" s="235"/>
      <c r="AJ58" s="237"/>
      <c r="AK58" s="2"/>
      <c r="AL58" s="79">
        <f t="shared" si="28"/>
        <v>41</v>
      </c>
      <c r="AM58" s="211">
        <f t="shared" si="13"/>
        <v>31.663</v>
      </c>
      <c r="AN58" s="212">
        <f t="shared" si="14"/>
        <v>14.781089303230988</v>
      </c>
      <c r="AO58" s="212">
        <f t="shared" si="15"/>
        <v>32.054000000000002</v>
      </c>
      <c r="AP58" s="212">
        <f t="shared" si="16"/>
        <v>14.955485839882765</v>
      </c>
      <c r="AQ58" s="221">
        <f t="shared" si="17"/>
        <v>14.868322803513287</v>
      </c>
      <c r="AR58" s="226" t="e">
        <f t="shared" si="18"/>
        <v>#DIV/0!</v>
      </c>
      <c r="AS58" s="212" t="e">
        <f t="shared" si="19"/>
        <v>#DIV/0!</v>
      </c>
      <c r="AT58" s="212" t="e">
        <f t="shared" si="20"/>
        <v>#DIV/0!</v>
      </c>
      <c r="AU58" s="227" t="e">
        <f t="shared" si="21"/>
        <v>#DIV/0!</v>
      </c>
      <c r="AV58" s="226" t="e">
        <f t="shared" si="22"/>
        <v>#DIV/0!</v>
      </c>
      <c r="AW58" s="233" t="e">
        <f t="shared" si="23"/>
        <v>#DIV/0!</v>
      </c>
      <c r="AX58" s="286" t="e">
        <f t="shared" si="24"/>
        <v>#DIV/0!</v>
      </c>
      <c r="AY58" s="232">
        <f t="shared" si="29"/>
        <v>311.08679837331283</v>
      </c>
      <c r="AZ58" s="213">
        <f t="shared" si="0"/>
        <v>4.2405976192329562E-3</v>
      </c>
      <c r="BA58" s="215" t="e">
        <f t="shared" si="26"/>
        <v>#DIV/0!</v>
      </c>
      <c r="BB58" s="212">
        <f t="shared" si="1"/>
        <v>0.6763337038833479</v>
      </c>
      <c r="BC58" s="213" t="e">
        <f t="shared" si="2"/>
        <v>#DIV/0!</v>
      </c>
      <c r="BD58" s="214" t="e">
        <f t="shared" si="3"/>
        <v>#DIV/0!</v>
      </c>
      <c r="BE58" s="219" t="e">
        <f t="shared" si="27"/>
        <v>#DIV/0!</v>
      </c>
      <c r="BF58" s="252"/>
    </row>
    <row r="59" spans="2:58" x14ac:dyDescent="0.2">
      <c r="B59" s="13"/>
      <c r="C59" s="2"/>
      <c r="D59" s="2"/>
      <c r="E59" s="2"/>
      <c r="F59" s="2"/>
      <c r="G59" s="2"/>
      <c r="H59" s="2"/>
      <c r="I59" s="2"/>
      <c r="J59" s="2"/>
      <c r="K59" s="2"/>
      <c r="L59" s="79">
        <v>42</v>
      </c>
      <c r="M59" s="211">
        <f t="shared" si="4"/>
        <v>32.153999999999996</v>
      </c>
      <c r="N59" s="212">
        <f t="shared" si="5"/>
        <v>52.134639961069247</v>
      </c>
      <c r="O59" s="212">
        <f t="shared" si="6"/>
        <v>32.545000000000002</v>
      </c>
      <c r="P59" s="289">
        <f t="shared" si="7"/>
        <v>52.469713826955065</v>
      </c>
      <c r="Q59" s="221">
        <f t="shared" si="8"/>
        <v>52.30281079086803</v>
      </c>
      <c r="R59" s="226"/>
      <c r="S59" s="296">
        <f t="shared" ca="1" si="9"/>
        <v>0.14902313342159232</v>
      </c>
      <c r="T59" s="296"/>
      <c r="U59" s="286">
        <f t="shared" ca="1" si="10"/>
        <v>0.14902313342159232</v>
      </c>
      <c r="V59" s="240"/>
      <c r="W59" s="299"/>
      <c r="X59" s="300"/>
      <c r="Y59" s="296">
        <f t="shared" ca="1" si="11"/>
        <v>2.9180878341692131</v>
      </c>
      <c r="Z59" s="296"/>
      <c r="AA59" s="286">
        <f t="shared" ca="1" si="12"/>
        <v>2.9180878341692131</v>
      </c>
      <c r="AB59" s="217"/>
      <c r="AC59" s="86"/>
      <c r="AD59" s="293"/>
      <c r="AE59" s="217"/>
      <c r="AF59" s="86"/>
      <c r="AG59" s="254"/>
      <c r="AH59" s="235"/>
      <c r="AI59" s="235"/>
      <c r="AJ59" s="237"/>
      <c r="AK59" s="2"/>
      <c r="AL59" s="79">
        <f t="shared" si="28"/>
        <v>42</v>
      </c>
      <c r="AM59" s="211">
        <f t="shared" si="13"/>
        <v>32.153999999999996</v>
      </c>
      <c r="AN59" s="212">
        <f t="shared" si="14"/>
        <v>15.000043170758021</v>
      </c>
      <c r="AO59" s="212">
        <f t="shared" si="15"/>
        <v>32.545000000000002</v>
      </c>
      <c r="AP59" s="212">
        <f t="shared" si="16"/>
        <v>15.174083767177851</v>
      </c>
      <c r="AQ59" s="221">
        <f t="shared" si="17"/>
        <v>15.087099098032635</v>
      </c>
      <c r="AR59" s="226" t="e">
        <f t="shared" si="18"/>
        <v>#DIV/0!</v>
      </c>
      <c r="AS59" s="212" t="e">
        <f t="shared" si="19"/>
        <v>#DIV/0!</v>
      </c>
      <c r="AT59" s="212" t="e">
        <f t="shared" si="20"/>
        <v>#DIV/0!</v>
      </c>
      <c r="AU59" s="227" t="e">
        <f t="shared" si="21"/>
        <v>#DIV/0!</v>
      </c>
      <c r="AV59" s="226" t="e">
        <f t="shared" si="22"/>
        <v>#DIV/0!</v>
      </c>
      <c r="AW59" s="233" t="e">
        <f t="shared" si="23"/>
        <v>#DIV/0!</v>
      </c>
      <c r="AX59" s="286" t="e">
        <f t="shared" si="24"/>
        <v>#DIV/0!</v>
      </c>
      <c r="AY59" s="232">
        <f t="shared" si="29"/>
        <v>307.39290275925657</v>
      </c>
      <c r="AZ59" s="213">
        <f t="shared" si="0"/>
        <v>4.2418043389333762E-3</v>
      </c>
      <c r="BA59" s="215" t="e">
        <f t="shared" si="26"/>
        <v>#DIV/0!</v>
      </c>
      <c r="BB59" s="212">
        <f t="shared" si="1"/>
        <v>0.67860262235653501</v>
      </c>
      <c r="BC59" s="213" t="e">
        <f t="shared" si="2"/>
        <v>#DIV/0!</v>
      </c>
      <c r="BD59" s="214" t="e">
        <f t="shared" si="3"/>
        <v>#DIV/0!</v>
      </c>
      <c r="BE59" s="219" t="e">
        <f t="shared" si="27"/>
        <v>#DIV/0!</v>
      </c>
      <c r="BF59" s="252"/>
    </row>
    <row r="60" spans="2:58" x14ac:dyDescent="0.2">
      <c r="B60" s="13"/>
      <c r="C60" s="2"/>
      <c r="D60" s="2"/>
      <c r="E60" s="2"/>
      <c r="F60" s="2"/>
      <c r="G60" s="2"/>
      <c r="H60" s="2"/>
      <c r="I60" s="2"/>
      <c r="J60" s="2"/>
      <c r="K60" s="2"/>
      <c r="L60" s="79">
        <v>43</v>
      </c>
      <c r="M60" s="211">
        <f t="shared" si="4"/>
        <v>32.644999999999996</v>
      </c>
      <c r="N60" s="212">
        <f t="shared" si="5"/>
        <v>52.554599845652007</v>
      </c>
      <c r="O60" s="212">
        <f t="shared" si="6"/>
        <v>33.036000000000001</v>
      </c>
      <c r="P60" s="289">
        <f t="shared" si="7"/>
        <v>52.883377759535705</v>
      </c>
      <c r="Q60" s="221">
        <f t="shared" si="8"/>
        <v>52.719608364972778</v>
      </c>
      <c r="R60" s="226"/>
      <c r="S60" s="296">
        <f t="shared" ca="1" si="9"/>
        <v>0.14622302773404791</v>
      </c>
      <c r="T60" s="296"/>
      <c r="U60" s="286">
        <f t="shared" ca="1" si="10"/>
        <v>0.14622302773404791</v>
      </c>
      <c r="V60" s="240"/>
      <c r="W60" s="299"/>
      <c r="X60" s="300"/>
      <c r="Y60" s="296">
        <f t="shared" ca="1" si="11"/>
        <v>2.9168876625844988</v>
      </c>
      <c r="Z60" s="296"/>
      <c r="AA60" s="286">
        <f t="shared" ca="1" si="12"/>
        <v>2.9168876625844988</v>
      </c>
      <c r="AB60" s="217"/>
      <c r="AC60" s="86"/>
      <c r="AD60" s="293"/>
      <c r="AE60" s="217"/>
      <c r="AF60" s="86"/>
      <c r="AG60" s="254"/>
      <c r="AH60" s="235"/>
      <c r="AI60" s="235"/>
      <c r="AJ60" s="237"/>
      <c r="AK60" s="2"/>
      <c r="AL60" s="79">
        <f t="shared" si="28"/>
        <v>43</v>
      </c>
      <c r="AM60" s="211">
        <f t="shared" si="13"/>
        <v>32.644999999999996</v>
      </c>
      <c r="AN60" s="212">
        <f t="shared" si="14"/>
        <v>15.218549556081122</v>
      </c>
      <c r="AO60" s="212">
        <f t="shared" si="15"/>
        <v>33.036000000000001</v>
      </c>
      <c r="AP60" s="212">
        <f t="shared" si="16"/>
        <v>15.392230251862134</v>
      </c>
      <c r="AQ60" s="221">
        <f t="shared" si="17"/>
        <v>15.305425924376015</v>
      </c>
      <c r="AR60" s="226" t="e">
        <f t="shared" si="18"/>
        <v>#DIV/0!</v>
      </c>
      <c r="AS60" s="212" t="e">
        <f t="shared" si="19"/>
        <v>#DIV/0!</v>
      </c>
      <c r="AT60" s="212" t="e">
        <f t="shared" si="20"/>
        <v>#DIV/0!</v>
      </c>
      <c r="AU60" s="227" t="e">
        <f t="shared" si="21"/>
        <v>#DIV/0!</v>
      </c>
      <c r="AV60" s="226" t="e">
        <f t="shared" si="22"/>
        <v>#DIV/0!</v>
      </c>
      <c r="AW60" s="233" t="e">
        <f t="shared" si="23"/>
        <v>#DIV/0!</v>
      </c>
      <c r="AX60" s="286" t="e">
        <f t="shared" si="24"/>
        <v>#DIV/0!</v>
      </c>
      <c r="AY60" s="232">
        <f t="shared" si="29"/>
        <v>304.02646221885726</v>
      </c>
      <c r="AZ60" s="213">
        <f t="shared" si="0"/>
        <v>4.245822695892942E-3</v>
      </c>
      <c r="BA60" s="215" t="e">
        <f t="shared" si="26"/>
        <v>#DIV/0!</v>
      </c>
      <c r="BB60" s="212">
        <f t="shared" si="1"/>
        <v>0.68135786211192151</v>
      </c>
      <c r="BC60" s="213" t="e">
        <f t="shared" si="2"/>
        <v>#DIV/0!</v>
      </c>
      <c r="BD60" s="214" t="e">
        <f t="shared" si="3"/>
        <v>#DIV/0!</v>
      </c>
      <c r="BE60" s="219" t="e">
        <f t="shared" si="27"/>
        <v>#DIV/0!</v>
      </c>
      <c r="BF60" s="252"/>
    </row>
    <row r="61" spans="2:58" x14ac:dyDescent="0.2">
      <c r="B61" s="13"/>
      <c r="C61" s="2"/>
      <c r="D61" s="2"/>
      <c r="E61" s="2"/>
      <c r="F61" s="2"/>
      <c r="G61" s="2"/>
      <c r="H61" s="2"/>
      <c r="I61" s="2"/>
      <c r="J61" s="2"/>
      <c r="K61" s="2"/>
      <c r="L61" s="79">
        <v>44</v>
      </c>
      <c r="M61" s="211">
        <f t="shared" si="4"/>
        <v>33.135999999999996</v>
      </c>
      <c r="N61" s="212">
        <f t="shared" si="5"/>
        <v>52.966671903355056</v>
      </c>
      <c r="O61" s="212">
        <f t="shared" si="6"/>
        <v>33.527000000000001</v>
      </c>
      <c r="P61" s="289">
        <f t="shared" si="7"/>
        <v>53.289296465502488</v>
      </c>
      <c r="Q61" s="221">
        <f t="shared" si="8"/>
        <v>53.128589692331488</v>
      </c>
      <c r="R61" s="226"/>
      <c r="S61" s="296">
        <f t="shared" ca="1" si="9"/>
        <v>0.14348634417282405</v>
      </c>
      <c r="T61" s="296"/>
      <c r="U61" s="286">
        <f t="shared" ca="1" si="10"/>
        <v>0.14348634417282405</v>
      </c>
      <c r="V61" s="240"/>
      <c r="W61" s="299"/>
      <c r="X61" s="300"/>
      <c r="Y61" s="296">
        <f t="shared" ca="1" si="11"/>
        <v>2.9157039976825128</v>
      </c>
      <c r="Z61" s="296"/>
      <c r="AA61" s="286">
        <f t="shared" ca="1" si="12"/>
        <v>2.9157039976825128</v>
      </c>
      <c r="AB61" s="217"/>
      <c r="AC61" s="86"/>
      <c r="AD61" s="293"/>
      <c r="AE61" s="217"/>
      <c r="AF61" s="86"/>
      <c r="AG61" s="254"/>
      <c r="AH61" s="235"/>
      <c r="AI61" s="235"/>
      <c r="AJ61" s="237"/>
      <c r="AK61" s="2"/>
      <c r="AL61" s="79">
        <f t="shared" si="28"/>
        <v>44</v>
      </c>
      <c r="AM61" s="211">
        <f t="shared" si="13"/>
        <v>33.135999999999996</v>
      </c>
      <c r="AN61" s="212">
        <f t="shared" si="14"/>
        <v>15.436603493319041</v>
      </c>
      <c r="AO61" s="212">
        <f t="shared" si="15"/>
        <v>33.527000000000001</v>
      </c>
      <c r="AP61" s="212">
        <f t="shared" si="16"/>
        <v>15.609920386134679</v>
      </c>
      <c r="AQ61" s="221">
        <f t="shared" si="17"/>
        <v>15.52329834567699</v>
      </c>
      <c r="AR61" s="226" t="e">
        <f t="shared" si="18"/>
        <v>#DIV/0!</v>
      </c>
      <c r="AS61" s="212" t="e">
        <f t="shared" si="19"/>
        <v>#DIV/0!</v>
      </c>
      <c r="AT61" s="212" t="e">
        <f t="shared" si="20"/>
        <v>#DIV/0!</v>
      </c>
      <c r="AU61" s="227" t="e">
        <f t="shared" si="21"/>
        <v>#DIV/0!</v>
      </c>
      <c r="AV61" s="226" t="e">
        <f t="shared" si="22"/>
        <v>#DIV/0!</v>
      </c>
      <c r="AW61" s="233" t="e">
        <f t="shared" si="23"/>
        <v>#DIV/0!</v>
      </c>
      <c r="AX61" s="286" t="e">
        <f t="shared" si="24"/>
        <v>#DIV/0!</v>
      </c>
      <c r="AY61" s="232">
        <f t="shared" si="29"/>
        <v>300.92840151907444</v>
      </c>
      <c r="AZ61" s="213">
        <f t="shared" si="0"/>
        <v>4.2519951831810144E-3</v>
      </c>
      <c r="BA61" s="215" t="e">
        <f t="shared" si="26"/>
        <v>#DIV/0!</v>
      </c>
      <c r="BB61" s="212">
        <f t="shared" si="1"/>
        <v>0.684497965519549</v>
      </c>
      <c r="BC61" s="213" t="e">
        <f t="shared" si="2"/>
        <v>#DIV/0!</v>
      </c>
      <c r="BD61" s="214" t="e">
        <f t="shared" si="3"/>
        <v>#DIV/0!</v>
      </c>
      <c r="BE61" s="219" t="e">
        <f t="shared" si="27"/>
        <v>#DIV/0!</v>
      </c>
      <c r="BF61" s="252"/>
    </row>
    <row r="62" spans="2:58" x14ac:dyDescent="0.2">
      <c r="B62" s="13"/>
      <c r="C62" s="2"/>
      <c r="D62" s="2"/>
      <c r="E62" s="2"/>
      <c r="F62" s="2"/>
      <c r="G62" s="2"/>
      <c r="H62" s="2"/>
      <c r="I62" s="2"/>
      <c r="J62" s="2"/>
      <c r="K62" s="2"/>
      <c r="L62" s="79">
        <v>45</v>
      </c>
      <c r="M62" s="211">
        <f t="shared" si="4"/>
        <v>33.626999999999995</v>
      </c>
      <c r="N62" s="212">
        <f t="shared" si="5"/>
        <v>53.371034844686918</v>
      </c>
      <c r="O62" s="212">
        <f t="shared" si="6"/>
        <v>34.018000000000001</v>
      </c>
      <c r="P62" s="289">
        <f t="shared" si="7"/>
        <v>53.687645829745058</v>
      </c>
      <c r="Q62" s="221">
        <f t="shared" si="8"/>
        <v>53.529932073033585</v>
      </c>
      <c r="R62" s="226"/>
      <c r="S62" s="296">
        <f t="shared" ca="1" si="9"/>
        <v>0.14081182591792374</v>
      </c>
      <c r="T62" s="296"/>
      <c r="U62" s="286">
        <f t="shared" ca="1" si="10"/>
        <v>0.14081182591792374</v>
      </c>
      <c r="V62" s="240"/>
      <c r="W62" s="299"/>
      <c r="X62" s="300"/>
      <c r="Y62" s="296">
        <f t="shared" ca="1" si="11"/>
        <v>2.9145367292521356</v>
      </c>
      <c r="Z62" s="296"/>
      <c r="AA62" s="286">
        <f t="shared" ca="1" si="12"/>
        <v>2.9145367292521356</v>
      </c>
      <c r="AB62" s="217"/>
      <c r="AC62" s="86"/>
      <c r="AD62" s="293"/>
      <c r="AE62" s="217"/>
      <c r="AF62" s="86"/>
      <c r="AG62" s="254"/>
      <c r="AH62" s="235"/>
      <c r="AI62" s="235"/>
      <c r="AJ62" s="237"/>
      <c r="AK62" s="2"/>
      <c r="AL62" s="79">
        <f t="shared" si="28"/>
        <v>45</v>
      </c>
      <c r="AM62" s="211">
        <f t="shared" si="13"/>
        <v>33.626999999999995</v>
      </c>
      <c r="AN62" s="212">
        <f t="shared" si="14"/>
        <v>15.654200089557172</v>
      </c>
      <c r="AO62" s="212">
        <f t="shared" si="15"/>
        <v>34.018000000000001</v>
      </c>
      <c r="AP62" s="212">
        <f t="shared" si="16"/>
        <v>15.82714933540549</v>
      </c>
      <c r="AQ62" s="221">
        <f t="shared" si="17"/>
        <v>15.740711498159969</v>
      </c>
      <c r="AR62" s="226" t="e">
        <f t="shared" si="18"/>
        <v>#DIV/0!</v>
      </c>
      <c r="AS62" s="212" t="e">
        <f t="shared" si="19"/>
        <v>#DIV/0!</v>
      </c>
      <c r="AT62" s="212" t="e">
        <f t="shared" si="20"/>
        <v>#DIV/0!</v>
      </c>
      <c r="AU62" s="227" t="e">
        <f t="shared" si="21"/>
        <v>#DIV/0!</v>
      </c>
      <c r="AV62" s="226" t="e">
        <f t="shared" si="22"/>
        <v>#DIV/0!</v>
      </c>
      <c r="AW62" s="233" t="e">
        <f t="shared" si="23"/>
        <v>#DIV/0!</v>
      </c>
      <c r="AX62" s="286" t="e">
        <f t="shared" si="24"/>
        <v>#DIV/0!</v>
      </c>
      <c r="AY62" s="232">
        <f t="shared" si="29"/>
        <v>298.05566738081671</v>
      </c>
      <c r="AZ62" s="213">
        <f t="shared" si="0"/>
        <v>4.2598517694698449E-3</v>
      </c>
      <c r="BA62" s="215" t="e">
        <f t="shared" si="26"/>
        <v>#DIV/0!</v>
      </c>
      <c r="BB62" s="212">
        <f t="shared" si="1"/>
        <v>0.68795053792841354</v>
      </c>
      <c r="BC62" s="213" t="e">
        <f t="shared" si="2"/>
        <v>#DIV/0!</v>
      </c>
      <c r="BD62" s="214" t="e">
        <f t="shared" si="3"/>
        <v>#DIV/0!</v>
      </c>
      <c r="BE62" s="219" t="e">
        <f t="shared" si="27"/>
        <v>#DIV/0!</v>
      </c>
      <c r="BF62" s="252"/>
    </row>
    <row r="63" spans="2:58" x14ac:dyDescent="0.2">
      <c r="B63" s="13"/>
      <c r="C63" s="2"/>
      <c r="D63" s="2"/>
      <c r="E63" s="2"/>
      <c r="F63" s="2"/>
      <c r="G63" s="2"/>
      <c r="H63" s="2"/>
      <c r="I63" s="2"/>
      <c r="J63" s="2"/>
      <c r="K63" s="2"/>
      <c r="L63" s="79">
        <v>46</v>
      </c>
      <c r="M63" s="211">
        <f t="shared" si="4"/>
        <v>34.117999999999995</v>
      </c>
      <c r="N63" s="212">
        <f t="shared" si="5"/>
        <v>53.767863829059266</v>
      </c>
      <c r="O63" s="212">
        <f t="shared" si="6"/>
        <v>34.509</v>
      </c>
      <c r="P63" s="289">
        <f t="shared" si="7"/>
        <v>54.078598166953405</v>
      </c>
      <c r="Q63" s="221">
        <f t="shared" si="8"/>
        <v>53.923809245556804</v>
      </c>
      <c r="R63" s="226"/>
      <c r="S63" s="296">
        <f t="shared" ca="1" si="9"/>
        <v>0.13819820766523319</v>
      </c>
      <c r="T63" s="296"/>
      <c r="U63" s="286">
        <f t="shared" ca="1" si="10"/>
        <v>0.13819820766523319</v>
      </c>
      <c r="V63" s="240"/>
      <c r="W63" s="299"/>
      <c r="X63" s="300"/>
      <c r="Y63" s="296">
        <f t="shared" ca="1" si="11"/>
        <v>2.913385734042083</v>
      </c>
      <c r="Z63" s="296"/>
      <c r="AA63" s="286">
        <f t="shared" ca="1" si="12"/>
        <v>2.913385734042083</v>
      </c>
      <c r="AB63" s="217"/>
      <c r="AC63" s="86"/>
      <c r="AD63" s="293"/>
      <c r="AE63" s="217"/>
      <c r="AF63" s="86"/>
      <c r="AG63" s="254"/>
      <c r="AH63" s="235"/>
      <c r="AI63" s="235"/>
      <c r="AJ63" s="237"/>
      <c r="AK63" s="2"/>
      <c r="AL63" s="79">
        <f t="shared" si="28"/>
        <v>46</v>
      </c>
      <c r="AM63" s="211">
        <f t="shared" si="13"/>
        <v>34.117999999999995</v>
      </c>
      <c r="AN63" s="212">
        <f t="shared" si="14"/>
        <v>15.871334525151683</v>
      </c>
      <c r="AO63" s="212">
        <f t="shared" si="15"/>
        <v>34.509</v>
      </c>
      <c r="AP63" s="212">
        <f t="shared" si="16"/>
        <v>16.043912338579009</v>
      </c>
      <c r="AQ63" s="221">
        <f t="shared" si="17"/>
        <v>15.957660591434012</v>
      </c>
      <c r="AR63" s="226" t="e">
        <f t="shared" si="18"/>
        <v>#DIV/0!</v>
      </c>
      <c r="AS63" s="212" t="e">
        <f t="shared" si="19"/>
        <v>#DIV/0!</v>
      </c>
      <c r="AT63" s="212" t="e">
        <f t="shared" si="20"/>
        <v>#DIV/0!</v>
      </c>
      <c r="AU63" s="227" t="e">
        <f t="shared" si="21"/>
        <v>#DIV/0!</v>
      </c>
      <c r="AV63" s="226" t="e">
        <f t="shared" si="22"/>
        <v>#DIV/0!</v>
      </c>
      <c r="AW63" s="233" t="e">
        <f t="shared" si="23"/>
        <v>#DIV/0!</v>
      </c>
      <c r="AX63" s="286" t="e">
        <f t="shared" si="24"/>
        <v>#DIV/0!</v>
      </c>
      <c r="AY63" s="232">
        <f t="shared" si="29"/>
        <v>295.37568074528343</v>
      </c>
      <c r="AZ63" s="213">
        <f t="shared" si="0"/>
        <v>4.2690435908373132E-3</v>
      </c>
      <c r="BA63" s="215" t="e">
        <f t="shared" si="26"/>
        <v>#DIV/0!</v>
      </c>
      <c r="BB63" s="212">
        <f t="shared" si="1"/>
        <v>0.69166194113917245</v>
      </c>
      <c r="BC63" s="213" t="e">
        <f t="shared" si="2"/>
        <v>#DIV/0!</v>
      </c>
      <c r="BD63" s="214" t="e">
        <f t="shared" si="3"/>
        <v>#DIV/0!</v>
      </c>
      <c r="BE63" s="219" t="e">
        <f t="shared" si="27"/>
        <v>#DIV/0!</v>
      </c>
      <c r="BF63" s="252"/>
    </row>
    <row r="64" spans="2:58" ht="13.5" thickBot="1" x14ac:dyDescent="0.25">
      <c r="B64" s="13"/>
      <c r="C64" s="2"/>
      <c r="D64" s="2"/>
      <c r="E64" s="2"/>
      <c r="F64" s="2"/>
      <c r="G64" s="2"/>
      <c r="H64" s="2"/>
      <c r="I64" s="2"/>
      <c r="J64" s="2"/>
      <c r="K64" s="88" t="s">
        <v>292</v>
      </c>
      <c r="L64" s="79">
        <v>47</v>
      </c>
      <c r="M64" s="211">
        <f t="shared" si="4"/>
        <v>34.608999999999995</v>
      </c>
      <c r="N64" s="212">
        <f t="shared" si="5"/>
        <v>54.157330442010341</v>
      </c>
      <c r="O64" s="212">
        <f t="shared" si="6"/>
        <v>35</v>
      </c>
      <c r="P64" s="289">
        <f t="shared" si="7"/>
        <v>54.462322208025618</v>
      </c>
      <c r="Q64" s="221">
        <f t="shared" si="8"/>
        <v>54.310391368680101</v>
      </c>
      <c r="R64" s="228"/>
      <c r="S64" s="297">
        <f t="shared" ca="1" si="9"/>
        <v>0.13564421971044988</v>
      </c>
      <c r="T64" s="297"/>
      <c r="U64" s="287">
        <f t="shared" ca="1" si="10"/>
        <v>0.13564421971044988</v>
      </c>
      <c r="V64" s="240"/>
      <c r="W64" s="299"/>
      <c r="X64" s="301"/>
      <c r="Y64" s="297">
        <f t="shared" ca="1" si="11"/>
        <v>2.9122508770930153</v>
      </c>
      <c r="Z64" s="297"/>
      <c r="AA64" s="287">
        <f t="shared" ca="1" si="12"/>
        <v>2.9122508770930153</v>
      </c>
      <c r="AB64" s="217"/>
      <c r="AC64" s="86"/>
      <c r="AD64" s="293"/>
      <c r="AE64" s="217"/>
      <c r="AF64" s="86"/>
      <c r="AG64" s="254"/>
      <c r="AH64" s="235"/>
      <c r="AI64" s="235"/>
      <c r="AJ64" s="237"/>
      <c r="AK64" s="88" t="s">
        <v>292</v>
      </c>
      <c r="AL64" s="79">
        <f t="shared" si="28"/>
        <v>47</v>
      </c>
      <c r="AM64" s="211">
        <f t="shared" si="13"/>
        <v>34.608999999999995</v>
      </c>
      <c r="AN64" s="212">
        <f t="shared" si="14"/>
        <v>16.088002054007777</v>
      </c>
      <c r="AO64" s="212">
        <f t="shared" si="15"/>
        <v>35</v>
      </c>
      <c r="AP64" s="212">
        <f t="shared" si="16"/>
        <v>16.26020470831196</v>
      </c>
      <c r="AQ64" s="221">
        <f t="shared" si="17"/>
        <v>16.174140908760872</v>
      </c>
      <c r="AR64" s="228" t="e">
        <f t="shared" si="18"/>
        <v>#DIV/0!</v>
      </c>
      <c r="AS64" s="229" t="e">
        <f t="shared" si="19"/>
        <v>#DIV/0!</v>
      </c>
      <c r="AT64" s="229" t="e">
        <f t="shared" si="20"/>
        <v>#DIV/0!</v>
      </c>
      <c r="AU64" s="230" t="e">
        <f t="shared" si="21"/>
        <v>#DIV/0!</v>
      </c>
      <c r="AV64" s="228" t="e">
        <f t="shared" si="22"/>
        <v>#DIV/0!</v>
      </c>
      <c r="AW64" s="234" t="e">
        <f t="shared" si="23"/>
        <v>#DIV/0!</v>
      </c>
      <c r="AX64" s="287" t="e">
        <f t="shared" si="24"/>
        <v>#DIV/0!</v>
      </c>
      <c r="AY64" s="232">
        <f t="shared" si="29"/>
        <v>292.86304785942235</v>
      </c>
      <c r="AZ64" s="213">
        <f t="shared" si="0"/>
        <v>4.2793039452661049E-3</v>
      </c>
      <c r="BA64" s="215" t="e">
        <f t="shared" si="26"/>
        <v>#DIV/0!</v>
      </c>
      <c r="BB64" s="212">
        <f t="shared" si="1"/>
        <v>0.69559123656504496</v>
      </c>
      <c r="BC64" s="213" t="e">
        <f t="shared" si="2"/>
        <v>#DIV/0!</v>
      </c>
      <c r="BD64" s="214" t="e">
        <f t="shared" si="3"/>
        <v>#DIV/0!</v>
      </c>
      <c r="BE64" s="219" t="e">
        <f t="shared" si="27"/>
        <v>#DIV/0!</v>
      </c>
      <c r="BF64" s="252"/>
    </row>
    <row r="65" spans="2:58" ht="14.25" x14ac:dyDescent="0.2">
      <c r="B65" s="13"/>
      <c r="C65" s="2"/>
      <c r="D65" s="2"/>
      <c r="E65" s="2"/>
      <c r="F65" s="2"/>
      <c r="G65" s="2"/>
      <c r="H65" s="2"/>
      <c r="I65" s="2"/>
      <c r="J65" s="2"/>
      <c r="K65" s="2"/>
      <c r="L65" s="87"/>
      <c r="M65" s="8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87"/>
      <c r="AC65" s="87"/>
      <c r="AD65" s="97"/>
      <c r="AE65" s="302"/>
      <c r="AF65" s="85"/>
      <c r="AG65" s="87"/>
      <c r="AH65" s="87"/>
      <c r="AI65" s="87"/>
      <c r="AJ65" s="239"/>
      <c r="AK65" s="87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4"/>
      <c r="AY65" s="4"/>
      <c r="AZ65" s="4"/>
      <c r="BA65" s="4" t="s">
        <v>111</v>
      </c>
      <c r="BB65" s="191">
        <f>SUM(BB17:BB64)</f>
        <v>26.305707027977032</v>
      </c>
      <c r="BC65" s="98" t="s">
        <v>119</v>
      </c>
      <c r="BD65" s="2"/>
      <c r="BE65" s="2"/>
      <c r="BF65" s="252"/>
    </row>
    <row r="66" spans="2:58" x14ac:dyDescent="0.2">
      <c r="B66" s="13"/>
      <c r="C66" s="2"/>
    </row>
    <row r="67" spans="2:58" x14ac:dyDescent="0.2">
      <c r="B67" s="13"/>
      <c r="C67" s="2"/>
    </row>
    <row r="68" spans="2:58" x14ac:dyDescent="0.2">
      <c r="B68" s="13"/>
      <c r="C68" s="2"/>
    </row>
    <row r="69" spans="2:58" x14ac:dyDescent="0.2">
      <c r="B69" s="13"/>
      <c r="C69" s="2"/>
    </row>
    <row r="70" spans="2:58" x14ac:dyDescent="0.2">
      <c r="B70" s="13"/>
      <c r="C70" s="2"/>
    </row>
    <row r="71" spans="2:58" x14ac:dyDescent="0.2">
      <c r="B71" s="13"/>
      <c r="C71" s="2"/>
    </row>
    <row r="72" spans="2:58" x14ac:dyDescent="0.2">
      <c r="B72" s="13"/>
      <c r="C72" s="2"/>
    </row>
    <row r="73" spans="2:58" x14ac:dyDescent="0.2">
      <c r="B73" s="13"/>
      <c r="C73" s="2"/>
    </row>
    <row r="74" spans="2:58" x14ac:dyDescent="0.2">
      <c r="B74" s="13"/>
      <c r="C74" s="2"/>
    </row>
    <row r="75" spans="2:58" x14ac:dyDescent="0.2">
      <c r="B75" s="13"/>
      <c r="C75" s="2"/>
    </row>
    <row r="76" spans="2:58" x14ac:dyDescent="0.2">
      <c r="B76" s="13"/>
      <c r="C76" s="2"/>
    </row>
    <row r="77" spans="2:58" x14ac:dyDescent="0.2">
      <c r="B77" s="13"/>
      <c r="C77" s="2"/>
    </row>
    <row r="78" spans="2:58" x14ac:dyDescent="0.2">
      <c r="B78" s="13"/>
      <c r="C78" s="2"/>
    </row>
    <row r="79" spans="2:58" x14ac:dyDescent="0.2">
      <c r="B79" s="13"/>
      <c r="C79" s="2"/>
    </row>
    <row r="80" spans="2:58" x14ac:dyDescent="0.2">
      <c r="B80" s="13"/>
      <c r="C80" s="2"/>
    </row>
    <row r="81" spans="2:3" x14ac:dyDescent="0.2">
      <c r="B81" s="13"/>
      <c r="C81" s="2"/>
    </row>
    <row r="82" spans="2:3" x14ac:dyDescent="0.2">
      <c r="B82" s="13"/>
      <c r="C82" s="2"/>
    </row>
    <row r="83" spans="2:3" x14ac:dyDescent="0.2">
      <c r="B83" s="13"/>
      <c r="C83" s="2"/>
    </row>
    <row r="84" spans="2:3" x14ac:dyDescent="0.2">
      <c r="B84" s="13"/>
      <c r="C84" s="2"/>
    </row>
    <row r="85" spans="2:3" x14ac:dyDescent="0.2">
      <c r="B85" s="13"/>
      <c r="C85" s="2"/>
    </row>
    <row r="86" spans="2:3" x14ac:dyDescent="0.2">
      <c r="B86" s="13"/>
      <c r="C86" s="2"/>
    </row>
    <row r="87" spans="2:3" x14ac:dyDescent="0.2">
      <c r="B87" s="13"/>
      <c r="C87" s="2"/>
    </row>
    <row r="88" spans="2:3" x14ac:dyDescent="0.2">
      <c r="B88" s="13"/>
      <c r="C88" s="2"/>
    </row>
    <row r="89" spans="2:3" x14ac:dyDescent="0.2">
      <c r="B89" s="13"/>
      <c r="C89" s="2"/>
    </row>
    <row r="90" spans="2:3" x14ac:dyDescent="0.2">
      <c r="B90" s="13"/>
      <c r="C90" s="2"/>
    </row>
    <row r="91" spans="2:3" x14ac:dyDescent="0.2">
      <c r="B91" s="13"/>
      <c r="C91" s="2"/>
    </row>
    <row r="92" spans="2:3" x14ac:dyDescent="0.2">
      <c r="B92" s="13"/>
      <c r="C92" s="2"/>
    </row>
    <row r="93" spans="2:3" x14ac:dyDescent="0.2">
      <c r="B93" s="13"/>
      <c r="C93" s="2"/>
    </row>
    <row r="94" spans="2:3" x14ac:dyDescent="0.2">
      <c r="B94" s="13"/>
      <c r="C94" s="2"/>
    </row>
    <row r="95" spans="2:3" x14ac:dyDescent="0.2">
      <c r="B95" s="13"/>
      <c r="C95" s="2"/>
    </row>
    <row r="96" spans="2:3" x14ac:dyDescent="0.2">
      <c r="B96" s="13"/>
      <c r="C96" s="2"/>
    </row>
    <row r="97" spans="2:3" x14ac:dyDescent="0.2">
      <c r="B97" s="13"/>
      <c r="C97" s="2"/>
    </row>
    <row r="98" spans="2:3" x14ac:dyDescent="0.2">
      <c r="B98" s="13"/>
      <c r="C98" s="2"/>
    </row>
    <row r="99" spans="2:3" x14ac:dyDescent="0.2">
      <c r="B99" s="13"/>
      <c r="C99" s="2"/>
    </row>
    <row r="100" spans="2:3" x14ac:dyDescent="0.2">
      <c r="B100" s="13"/>
      <c r="C100" s="2"/>
    </row>
    <row r="101" spans="2:3" x14ac:dyDescent="0.2">
      <c r="B101" s="13"/>
      <c r="C101" s="2"/>
    </row>
    <row r="102" spans="2:3" x14ac:dyDescent="0.2">
      <c r="B102" s="13"/>
      <c r="C102" s="2"/>
    </row>
    <row r="103" spans="2:3" x14ac:dyDescent="0.2">
      <c r="B103" s="13"/>
      <c r="C103" s="2"/>
    </row>
    <row r="104" spans="2:3" x14ac:dyDescent="0.2">
      <c r="B104" s="13"/>
      <c r="C104" s="2"/>
    </row>
    <row r="105" spans="2:3" x14ac:dyDescent="0.2">
      <c r="B105" s="13"/>
      <c r="C105" s="2"/>
    </row>
    <row r="106" spans="2:3" x14ac:dyDescent="0.2">
      <c r="B106" s="13"/>
      <c r="C106" s="2"/>
    </row>
    <row r="107" spans="2:3" x14ac:dyDescent="0.2">
      <c r="B107" s="13"/>
      <c r="C107" s="2"/>
    </row>
    <row r="108" spans="2:3" x14ac:dyDescent="0.2">
      <c r="B108" s="13"/>
      <c r="C108" s="2"/>
    </row>
    <row r="109" spans="2:3" x14ac:dyDescent="0.2">
      <c r="B109" s="13"/>
      <c r="C109" s="2"/>
    </row>
    <row r="110" spans="2:3" x14ac:dyDescent="0.2">
      <c r="B110" s="13"/>
      <c r="C110" s="2"/>
    </row>
    <row r="111" spans="2:3" x14ac:dyDescent="0.2">
      <c r="B111" s="13"/>
      <c r="C111" s="2"/>
    </row>
    <row r="112" spans="2:3" x14ac:dyDescent="0.2">
      <c r="B112" s="13"/>
      <c r="C112" s="2"/>
    </row>
    <row r="113" spans="2:27" x14ac:dyDescent="0.2">
      <c r="B113" s="13"/>
      <c r="C113" s="2"/>
    </row>
    <row r="114" spans="2:27" x14ac:dyDescent="0.2">
      <c r="B114" s="13"/>
      <c r="C114" s="2"/>
    </row>
    <row r="115" spans="2:27" s="238" customFormat="1" x14ac:dyDescent="0.2"/>
    <row r="116" spans="2:27" s="238" customFormat="1" x14ac:dyDescent="0.2"/>
    <row r="117" spans="2:27" x14ac:dyDescent="0.2">
      <c r="B117" s="186"/>
      <c r="C117" s="11"/>
      <c r="D117" s="11"/>
      <c r="E117" s="11"/>
      <c r="F117" s="11"/>
      <c r="G117" s="11"/>
      <c r="H117" s="11"/>
      <c r="I117" s="1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7" ht="18.75" thickBot="1" x14ac:dyDescent="0.3">
      <c r="B118" s="259" t="s">
        <v>112</v>
      </c>
      <c r="C118" s="2"/>
      <c r="D118" s="2"/>
      <c r="E118" s="2"/>
      <c r="F118" s="2"/>
      <c r="G118" s="2"/>
      <c r="H118" s="2"/>
      <c r="I118" s="2"/>
      <c r="J118" s="2"/>
      <c r="K118" s="85" t="str">
        <f>C135</f>
        <v>LEDA-near</v>
      </c>
      <c r="L118" s="2"/>
      <c r="M118" s="85"/>
      <c r="N118" s="2"/>
      <c r="O118" s="2"/>
      <c r="P118" s="2"/>
      <c r="Q118" s="2"/>
      <c r="R118" s="244" t="s">
        <v>1383</v>
      </c>
      <c r="X118" s="231" t="s">
        <v>1753</v>
      </c>
    </row>
    <row r="119" spans="2:27" ht="28.5" x14ac:dyDescent="0.2"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149" t="s">
        <v>116</v>
      </c>
      <c r="M119" s="149" t="s">
        <v>117</v>
      </c>
      <c r="N119" s="149" t="s">
        <v>297</v>
      </c>
      <c r="O119" s="149" t="s">
        <v>118</v>
      </c>
      <c r="P119" s="149" t="s">
        <v>298</v>
      </c>
      <c r="Q119" s="220" t="s">
        <v>333</v>
      </c>
      <c r="R119" s="223" t="s">
        <v>1658</v>
      </c>
      <c r="S119" s="298" t="s">
        <v>1656</v>
      </c>
      <c r="T119" s="224" t="s">
        <v>1661</v>
      </c>
      <c r="U119" s="225" t="s">
        <v>1657</v>
      </c>
      <c r="V119" s="222" t="s">
        <v>32</v>
      </c>
      <c r="W119" s="288" t="s">
        <v>33</v>
      </c>
      <c r="X119" s="223" t="s">
        <v>1658</v>
      </c>
      <c r="Y119" s="298" t="s">
        <v>1656</v>
      </c>
      <c r="Z119" s="224" t="s">
        <v>1661</v>
      </c>
      <c r="AA119" s="225" t="s">
        <v>1657</v>
      </c>
    </row>
    <row r="120" spans="2:27" x14ac:dyDescent="0.2">
      <c r="B120" s="13"/>
      <c r="C120" s="2"/>
      <c r="D120" s="2"/>
      <c r="E120" s="2"/>
      <c r="F120" s="2"/>
      <c r="G120" s="2"/>
      <c r="H120" s="2"/>
      <c r="I120" s="2"/>
      <c r="J120" s="2"/>
      <c r="K120" s="88" t="s">
        <v>291</v>
      </c>
      <c r="L120" s="79">
        <v>0</v>
      </c>
      <c r="M120" s="211">
        <f>$C$199+(L120*$C$200)</f>
        <v>0</v>
      </c>
      <c r="N120" s="212" t="e">
        <f>IF($C$191&lt;0,180-DEGREES(ATAN((M120)/ABS($C$191))),DEGREES(ATAN((M120)/$C$191)))</f>
        <v>#DIV/0!</v>
      </c>
      <c r="O120" s="253" t="e">
        <f>$C$199+$C$202+(L120*$C$200)</f>
        <v>#VALUE!</v>
      </c>
      <c r="P120" s="212" t="e">
        <f>IF($C$191&lt;0,180-DEGREES(ATAN((O120)/ABS($C$191))),DEGREES(ATAN((O120)/$C$191)))</f>
        <v>#VALUE!</v>
      </c>
      <c r="Q120" s="221" t="e">
        <f>IF($C$191&lt;0,180-DEGREES(ATAN((M120+($C$202/2))/ABS($C$191))),DEGREES(ATAN((M120+($C$202/2))/ABS($C$191))))</f>
        <v>#VALUE!</v>
      </c>
      <c r="R120" s="226"/>
      <c r="S120" s="296" t="e">
        <f ca="1">IF($L$4&gt;$M$6,$J$8*$L$4*(COS(RADIANS(Q120))-SQRT(($M$6/$L$4)-(SIN(RADIANS(Q120)))^2))^2,$J$8*$L$4*(COS(RADIANS(Q120))+SQRT(($M$6/$L$4)-(SIN(RADIANS(Q120)))^2))^2)</f>
        <v>#VALUE!</v>
      </c>
      <c r="T120" s="296"/>
      <c r="U120" s="286" t="e">
        <f ca="1">$J$8*$L$4*(COS(RADIANS(Q120))+SQRT(($M$6/$L$4)-(SIN(RADIANS(Q120)))^2))^2</f>
        <v>#VALUE!</v>
      </c>
      <c r="V120" s="240"/>
      <c r="W120" s="299"/>
      <c r="X120" s="300"/>
      <c r="Y120" s="296" t="e">
        <f ca="1">IF($L$5&gt;$M$7,$J$8*$L$5*(COS(RADIANS(Q120))-SQRT(($M$7/$L$5)-(SIN(RADIANS(Q120)))^2))^2,$J$8*$L$5*(COS(RADIANS(Q120))+SQRT(($M$7/$L$5)-(SIN(RADIANS(Q120)))^2))^2)</f>
        <v>#VALUE!</v>
      </c>
      <c r="Z120" s="296"/>
      <c r="AA120" s="286" t="e">
        <f ca="1">$J$8*$L$5*(COS(RADIANS(Q120))+SQRT(($M$7/$L$5)-(SIN(RADIANS(Q120)))^2))^2</f>
        <v>#VALUE!</v>
      </c>
    </row>
    <row r="121" spans="2:27" x14ac:dyDescent="0.2">
      <c r="B121" s="13"/>
      <c r="C121" s="2"/>
      <c r="D121" s="2"/>
      <c r="E121" s="2"/>
      <c r="F121" s="2"/>
      <c r="G121" s="2"/>
      <c r="H121" s="2"/>
      <c r="I121" s="2"/>
      <c r="J121" s="2"/>
      <c r="L121" s="79">
        <v>1</v>
      </c>
      <c r="M121" s="211">
        <f t="shared" ref="M121:M135" si="30">$C$199+(L121*$C$200)</f>
        <v>0</v>
      </c>
      <c r="N121" s="212" t="e">
        <f t="shared" ref="N121:N135" si="31">IF($C$191&lt;0,180-DEGREES(ATAN((M121)/ABS($C$191))),DEGREES(ATAN((M121)/$C$191)))</f>
        <v>#DIV/0!</v>
      </c>
      <c r="O121" s="253" t="e">
        <f t="shared" ref="O121:O135" si="32">$C$199+$C$202+(L121*$C$200)</f>
        <v>#VALUE!</v>
      </c>
      <c r="P121" s="212" t="e">
        <f t="shared" ref="P121:P135" si="33">IF($C$191&lt;0,180-DEGREES(ATAN((O121)/ABS($C$191))),DEGREES(ATAN((O121)/$C$191)))</f>
        <v>#VALUE!</v>
      </c>
      <c r="Q121" s="221" t="e">
        <f t="shared" ref="Q121:Q135" si="34">IF($C$191&lt;0,180-DEGREES(ATAN((M121+($C$202/2))/ABS($C$191))),DEGREES(ATAN((M121+($C$202/2))/ABS($C$191))))</f>
        <v>#VALUE!</v>
      </c>
      <c r="R121" s="226" t="e">
        <f t="shared" ref="R121:R135" si="35">IF(Q121&gt;$S$179,"no scattering",Q121+DEGREES(ASIN(($F$4/$F$5)*SIN(RADIANS(Q121)))))</f>
        <v>#VALUE!</v>
      </c>
      <c r="S121" s="212" t="e">
        <f t="shared" ref="S121:S135" si="36">(($E$4*$E$5*$N$16*0.000000000000001)^2)*((1/(4*$K$20))^2)*(1/((SIN(RADIANS(R121)/2))^4))/1E-31</f>
        <v>#VALUE!</v>
      </c>
      <c r="T121" s="212" t="e">
        <f t="shared" ref="T121:T135" si="37">S121/((((SIN(RADIANS(Q121)))^2)/((SIN(RADIANS(R121))^2)))*COS(RADIANS(R121)-RADIANS(Q121)))</f>
        <v>#VALUE!</v>
      </c>
      <c r="U121" s="227" t="e">
        <f t="shared" ref="U121:U135" si="38">$K$19-((2*$K$19*$F$4*$F$5*(1-COS(RADIANS(R121))))/($F$4+$F$5)^2)</f>
        <v>#VALUE!</v>
      </c>
      <c r="V121" s="284" t="e">
        <f t="shared" ref="V121:V135" si="39">DEGREES(0.5*(PI()-RADIANS(R121)))</f>
        <v>#VALUE!</v>
      </c>
      <c r="W121" s="233" t="e">
        <f t="shared" ref="W121:W135" si="40">DEGREES(2*RADIANS(V121))</f>
        <v>#VALUE!</v>
      </c>
      <c r="X121" s="286" t="e">
        <f t="shared" ref="X121:X135" si="41">$K$19-U121</f>
        <v>#VALUE!</v>
      </c>
    </row>
    <row r="122" spans="2:27" x14ac:dyDescent="0.2">
      <c r="B122" s="13"/>
      <c r="C122" s="2"/>
      <c r="D122" s="2"/>
      <c r="E122" s="2"/>
      <c r="F122" s="2"/>
      <c r="G122" s="2"/>
      <c r="H122" s="2"/>
      <c r="I122" s="2"/>
      <c r="J122" s="2"/>
      <c r="L122" s="79">
        <v>2</v>
      </c>
      <c r="M122" s="211">
        <f t="shared" si="30"/>
        <v>0</v>
      </c>
      <c r="N122" s="212" t="e">
        <f t="shared" si="31"/>
        <v>#DIV/0!</v>
      </c>
      <c r="O122" s="253" t="e">
        <f t="shared" si="32"/>
        <v>#VALUE!</v>
      </c>
      <c r="P122" s="212" t="e">
        <f t="shared" si="33"/>
        <v>#VALUE!</v>
      </c>
      <c r="Q122" s="221" t="e">
        <f t="shared" si="34"/>
        <v>#VALUE!</v>
      </c>
      <c r="R122" s="226" t="e">
        <f t="shared" si="35"/>
        <v>#VALUE!</v>
      </c>
      <c r="S122" s="212" t="e">
        <f t="shared" si="36"/>
        <v>#VALUE!</v>
      </c>
      <c r="T122" s="212" t="e">
        <f t="shared" si="37"/>
        <v>#VALUE!</v>
      </c>
      <c r="U122" s="227" t="e">
        <f t="shared" si="38"/>
        <v>#VALUE!</v>
      </c>
      <c r="V122" s="284" t="e">
        <f t="shared" si="39"/>
        <v>#VALUE!</v>
      </c>
      <c r="W122" s="233" t="e">
        <f t="shared" si="40"/>
        <v>#VALUE!</v>
      </c>
      <c r="X122" s="286" t="e">
        <f t="shared" si="41"/>
        <v>#VALUE!</v>
      </c>
    </row>
    <row r="123" spans="2:27" x14ac:dyDescent="0.2">
      <c r="B123" s="13"/>
      <c r="C123" s="2"/>
      <c r="D123" s="2"/>
      <c r="E123" s="2"/>
      <c r="F123" s="2"/>
      <c r="G123" s="2"/>
      <c r="H123" s="2"/>
      <c r="I123" s="2"/>
      <c r="J123" s="2"/>
      <c r="K123" s="2"/>
      <c r="L123" s="79">
        <v>3</v>
      </c>
      <c r="M123" s="211">
        <f t="shared" si="30"/>
        <v>0</v>
      </c>
      <c r="N123" s="212" t="e">
        <f t="shared" si="31"/>
        <v>#DIV/0!</v>
      </c>
      <c r="O123" s="253" t="e">
        <f t="shared" si="32"/>
        <v>#VALUE!</v>
      </c>
      <c r="P123" s="212" t="e">
        <f t="shared" si="33"/>
        <v>#VALUE!</v>
      </c>
      <c r="Q123" s="221" t="e">
        <f t="shared" si="34"/>
        <v>#VALUE!</v>
      </c>
      <c r="R123" s="226" t="e">
        <f t="shared" si="35"/>
        <v>#VALUE!</v>
      </c>
      <c r="S123" s="212" t="e">
        <f t="shared" si="36"/>
        <v>#VALUE!</v>
      </c>
      <c r="T123" s="212" t="e">
        <f t="shared" si="37"/>
        <v>#VALUE!</v>
      </c>
      <c r="U123" s="227" t="e">
        <f t="shared" si="38"/>
        <v>#VALUE!</v>
      </c>
      <c r="V123" s="284" t="e">
        <f t="shared" si="39"/>
        <v>#VALUE!</v>
      </c>
      <c r="W123" s="233" t="e">
        <f t="shared" si="40"/>
        <v>#VALUE!</v>
      </c>
      <c r="X123" s="286" t="e">
        <f t="shared" si="41"/>
        <v>#VALUE!</v>
      </c>
    </row>
    <row r="124" spans="2:27" x14ac:dyDescent="0.2"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79">
        <v>4</v>
      </c>
      <c r="M124" s="211">
        <f t="shared" si="30"/>
        <v>0</v>
      </c>
      <c r="N124" s="212" t="e">
        <f t="shared" si="31"/>
        <v>#DIV/0!</v>
      </c>
      <c r="O124" s="253" t="e">
        <f t="shared" si="32"/>
        <v>#VALUE!</v>
      </c>
      <c r="P124" s="212" t="e">
        <f t="shared" si="33"/>
        <v>#VALUE!</v>
      </c>
      <c r="Q124" s="221" t="e">
        <f t="shared" si="34"/>
        <v>#VALUE!</v>
      </c>
      <c r="R124" s="226" t="e">
        <f t="shared" si="35"/>
        <v>#VALUE!</v>
      </c>
      <c r="S124" s="212" t="e">
        <f t="shared" si="36"/>
        <v>#VALUE!</v>
      </c>
      <c r="T124" s="212" t="e">
        <f t="shared" si="37"/>
        <v>#VALUE!</v>
      </c>
      <c r="U124" s="227" t="e">
        <f t="shared" si="38"/>
        <v>#VALUE!</v>
      </c>
      <c r="V124" s="284" t="e">
        <f t="shared" si="39"/>
        <v>#VALUE!</v>
      </c>
      <c r="W124" s="233" t="e">
        <f t="shared" si="40"/>
        <v>#VALUE!</v>
      </c>
      <c r="X124" s="286" t="e">
        <f t="shared" si="41"/>
        <v>#VALUE!</v>
      </c>
    </row>
    <row r="125" spans="2:27" x14ac:dyDescent="0.2"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79">
        <v>5</v>
      </c>
      <c r="M125" s="211">
        <f t="shared" si="30"/>
        <v>0</v>
      </c>
      <c r="N125" s="212" t="e">
        <f t="shared" si="31"/>
        <v>#DIV/0!</v>
      </c>
      <c r="O125" s="253" t="e">
        <f t="shared" si="32"/>
        <v>#VALUE!</v>
      </c>
      <c r="P125" s="212" t="e">
        <f t="shared" si="33"/>
        <v>#VALUE!</v>
      </c>
      <c r="Q125" s="221" t="e">
        <f t="shared" si="34"/>
        <v>#VALUE!</v>
      </c>
      <c r="R125" s="226" t="e">
        <f t="shared" si="35"/>
        <v>#VALUE!</v>
      </c>
      <c r="S125" s="212" t="e">
        <f t="shared" si="36"/>
        <v>#VALUE!</v>
      </c>
      <c r="T125" s="212" t="e">
        <f t="shared" si="37"/>
        <v>#VALUE!</v>
      </c>
      <c r="U125" s="227" t="e">
        <f t="shared" si="38"/>
        <v>#VALUE!</v>
      </c>
      <c r="V125" s="284" t="e">
        <f t="shared" si="39"/>
        <v>#VALUE!</v>
      </c>
      <c r="W125" s="233" t="e">
        <f t="shared" si="40"/>
        <v>#VALUE!</v>
      </c>
      <c r="X125" s="286" t="e">
        <f t="shared" si="41"/>
        <v>#VALUE!</v>
      </c>
    </row>
    <row r="126" spans="2:27" x14ac:dyDescent="0.2"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79">
        <v>6</v>
      </c>
      <c r="M126" s="211">
        <f t="shared" si="30"/>
        <v>0</v>
      </c>
      <c r="N126" s="212" t="e">
        <f t="shared" si="31"/>
        <v>#DIV/0!</v>
      </c>
      <c r="O126" s="253" t="e">
        <f t="shared" si="32"/>
        <v>#VALUE!</v>
      </c>
      <c r="P126" s="212" t="e">
        <f t="shared" si="33"/>
        <v>#VALUE!</v>
      </c>
      <c r="Q126" s="221" t="e">
        <f t="shared" si="34"/>
        <v>#VALUE!</v>
      </c>
      <c r="R126" s="226" t="e">
        <f t="shared" si="35"/>
        <v>#VALUE!</v>
      </c>
      <c r="S126" s="212" t="e">
        <f t="shared" si="36"/>
        <v>#VALUE!</v>
      </c>
      <c r="T126" s="212" t="e">
        <f t="shared" si="37"/>
        <v>#VALUE!</v>
      </c>
      <c r="U126" s="227" t="e">
        <f t="shared" si="38"/>
        <v>#VALUE!</v>
      </c>
      <c r="V126" s="284" t="e">
        <f t="shared" si="39"/>
        <v>#VALUE!</v>
      </c>
      <c r="W126" s="233" t="e">
        <f t="shared" si="40"/>
        <v>#VALUE!</v>
      </c>
      <c r="X126" s="286" t="e">
        <f t="shared" si="41"/>
        <v>#VALUE!</v>
      </c>
    </row>
    <row r="127" spans="2:27" x14ac:dyDescent="0.2"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79">
        <v>7</v>
      </c>
      <c r="M127" s="211">
        <f t="shared" si="30"/>
        <v>0</v>
      </c>
      <c r="N127" s="212" t="e">
        <f t="shared" si="31"/>
        <v>#DIV/0!</v>
      </c>
      <c r="O127" s="253" t="e">
        <f t="shared" si="32"/>
        <v>#VALUE!</v>
      </c>
      <c r="P127" s="212" t="e">
        <f t="shared" si="33"/>
        <v>#VALUE!</v>
      </c>
      <c r="Q127" s="221" t="e">
        <f t="shared" si="34"/>
        <v>#VALUE!</v>
      </c>
      <c r="R127" s="226" t="e">
        <f t="shared" si="35"/>
        <v>#VALUE!</v>
      </c>
      <c r="S127" s="212" t="e">
        <f t="shared" si="36"/>
        <v>#VALUE!</v>
      </c>
      <c r="T127" s="212" t="e">
        <f t="shared" si="37"/>
        <v>#VALUE!</v>
      </c>
      <c r="U127" s="227" t="e">
        <f t="shared" si="38"/>
        <v>#VALUE!</v>
      </c>
      <c r="V127" s="284" t="e">
        <f t="shared" si="39"/>
        <v>#VALUE!</v>
      </c>
      <c r="W127" s="233" t="e">
        <f t="shared" si="40"/>
        <v>#VALUE!</v>
      </c>
      <c r="X127" s="286" t="e">
        <f t="shared" si="41"/>
        <v>#VALUE!</v>
      </c>
    </row>
    <row r="128" spans="2:27" x14ac:dyDescent="0.2"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79">
        <v>8</v>
      </c>
      <c r="M128" s="211">
        <f t="shared" si="30"/>
        <v>0</v>
      </c>
      <c r="N128" s="212" t="e">
        <f t="shared" si="31"/>
        <v>#DIV/0!</v>
      </c>
      <c r="O128" s="253" t="e">
        <f t="shared" si="32"/>
        <v>#VALUE!</v>
      </c>
      <c r="P128" s="212" t="e">
        <f t="shared" si="33"/>
        <v>#VALUE!</v>
      </c>
      <c r="Q128" s="221" t="e">
        <f t="shared" si="34"/>
        <v>#VALUE!</v>
      </c>
      <c r="R128" s="226" t="e">
        <f t="shared" si="35"/>
        <v>#VALUE!</v>
      </c>
      <c r="S128" s="212" t="e">
        <f t="shared" si="36"/>
        <v>#VALUE!</v>
      </c>
      <c r="T128" s="212" t="e">
        <f t="shared" si="37"/>
        <v>#VALUE!</v>
      </c>
      <c r="U128" s="227" t="e">
        <f t="shared" si="38"/>
        <v>#VALUE!</v>
      </c>
      <c r="V128" s="284" t="e">
        <f t="shared" si="39"/>
        <v>#VALUE!</v>
      </c>
      <c r="W128" s="233" t="e">
        <f t="shared" si="40"/>
        <v>#VALUE!</v>
      </c>
      <c r="X128" s="286" t="e">
        <f t="shared" si="41"/>
        <v>#VALUE!</v>
      </c>
    </row>
    <row r="129" spans="2:24" x14ac:dyDescent="0.2">
      <c r="B129" s="13"/>
      <c r="C129" s="2" t="s">
        <v>287</v>
      </c>
      <c r="D129" s="2"/>
      <c r="E129" s="2"/>
      <c r="F129" s="2"/>
      <c r="G129" s="2"/>
      <c r="H129" s="2"/>
      <c r="I129" s="2"/>
      <c r="J129" s="2"/>
      <c r="K129" s="2"/>
      <c r="L129" s="79">
        <v>9</v>
      </c>
      <c r="M129" s="211">
        <f t="shared" si="30"/>
        <v>0</v>
      </c>
      <c r="N129" s="212" t="e">
        <f t="shared" si="31"/>
        <v>#DIV/0!</v>
      </c>
      <c r="O129" s="253" t="e">
        <f t="shared" si="32"/>
        <v>#VALUE!</v>
      </c>
      <c r="P129" s="212" t="e">
        <f t="shared" si="33"/>
        <v>#VALUE!</v>
      </c>
      <c r="Q129" s="221" t="e">
        <f t="shared" si="34"/>
        <v>#VALUE!</v>
      </c>
      <c r="R129" s="226" t="e">
        <f t="shared" si="35"/>
        <v>#VALUE!</v>
      </c>
      <c r="S129" s="212" t="e">
        <f t="shared" si="36"/>
        <v>#VALUE!</v>
      </c>
      <c r="T129" s="212" t="e">
        <f t="shared" si="37"/>
        <v>#VALUE!</v>
      </c>
      <c r="U129" s="227" t="e">
        <f t="shared" si="38"/>
        <v>#VALUE!</v>
      </c>
      <c r="V129" s="284" t="e">
        <f t="shared" si="39"/>
        <v>#VALUE!</v>
      </c>
      <c r="W129" s="233" t="e">
        <f t="shared" si="40"/>
        <v>#VALUE!</v>
      </c>
      <c r="X129" s="286" t="e">
        <f t="shared" si="41"/>
        <v>#VALUE!</v>
      </c>
    </row>
    <row r="130" spans="2:24" x14ac:dyDescent="0.2">
      <c r="B130" s="13"/>
      <c r="C130" s="4" t="s">
        <v>241</v>
      </c>
      <c r="D130" s="37">
        <v>100</v>
      </c>
      <c r="E130" s="84" t="s">
        <v>1623</v>
      </c>
      <c r="F130" s="210" t="s">
        <v>15</v>
      </c>
      <c r="H130" s="2"/>
      <c r="I130" s="2"/>
      <c r="J130" s="2"/>
      <c r="K130" s="2"/>
      <c r="L130" s="79">
        <v>10</v>
      </c>
      <c r="M130" s="211">
        <f t="shared" si="30"/>
        <v>0</v>
      </c>
      <c r="N130" s="212" t="e">
        <f t="shared" si="31"/>
        <v>#DIV/0!</v>
      </c>
      <c r="O130" s="253" t="e">
        <f t="shared" si="32"/>
        <v>#VALUE!</v>
      </c>
      <c r="P130" s="212" t="e">
        <f t="shared" si="33"/>
        <v>#VALUE!</v>
      </c>
      <c r="Q130" s="221" t="e">
        <f t="shared" si="34"/>
        <v>#VALUE!</v>
      </c>
      <c r="R130" s="226" t="e">
        <f t="shared" si="35"/>
        <v>#VALUE!</v>
      </c>
      <c r="S130" s="212" t="e">
        <f t="shared" si="36"/>
        <v>#VALUE!</v>
      </c>
      <c r="T130" s="212" t="e">
        <f t="shared" si="37"/>
        <v>#VALUE!</v>
      </c>
      <c r="U130" s="227" t="e">
        <f t="shared" si="38"/>
        <v>#VALUE!</v>
      </c>
      <c r="V130" s="284" t="e">
        <f t="shared" si="39"/>
        <v>#VALUE!</v>
      </c>
      <c r="W130" s="233" t="e">
        <f t="shared" si="40"/>
        <v>#VALUE!</v>
      </c>
      <c r="X130" s="286" t="e">
        <f t="shared" si="41"/>
        <v>#VALUE!</v>
      </c>
    </row>
    <row r="131" spans="2:24" x14ac:dyDescent="0.2">
      <c r="B131" s="13"/>
      <c r="C131" s="4" t="s">
        <v>521</v>
      </c>
      <c r="D131" s="37">
        <v>100</v>
      </c>
      <c r="E131" s="84" t="s">
        <v>1623</v>
      </c>
      <c r="F131" s="87"/>
      <c r="H131" s="2"/>
      <c r="I131" s="2"/>
      <c r="J131" s="2"/>
      <c r="K131" s="2"/>
      <c r="L131" s="79">
        <v>11</v>
      </c>
      <c r="M131" s="211">
        <f t="shared" si="30"/>
        <v>0</v>
      </c>
      <c r="N131" s="212" t="e">
        <f t="shared" si="31"/>
        <v>#DIV/0!</v>
      </c>
      <c r="O131" s="253" t="e">
        <f t="shared" si="32"/>
        <v>#VALUE!</v>
      </c>
      <c r="P131" s="212" t="e">
        <f t="shared" si="33"/>
        <v>#VALUE!</v>
      </c>
      <c r="Q131" s="221" t="e">
        <f t="shared" si="34"/>
        <v>#VALUE!</v>
      </c>
      <c r="R131" s="226" t="e">
        <f t="shared" si="35"/>
        <v>#VALUE!</v>
      </c>
      <c r="S131" s="212" t="e">
        <f t="shared" si="36"/>
        <v>#VALUE!</v>
      </c>
      <c r="T131" s="212" t="e">
        <f t="shared" si="37"/>
        <v>#VALUE!</v>
      </c>
      <c r="U131" s="227" t="e">
        <f t="shared" si="38"/>
        <v>#VALUE!</v>
      </c>
      <c r="V131" s="284" t="e">
        <f t="shared" si="39"/>
        <v>#VALUE!</v>
      </c>
      <c r="W131" s="233" t="e">
        <f t="shared" si="40"/>
        <v>#VALUE!</v>
      </c>
      <c r="X131" s="286" t="e">
        <f t="shared" si="41"/>
        <v>#VALUE!</v>
      </c>
    </row>
    <row r="132" spans="2:24" x14ac:dyDescent="0.2"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79">
        <v>12</v>
      </c>
      <c r="M132" s="211">
        <f t="shared" si="30"/>
        <v>0</v>
      </c>
      <c r="N132" s="212" t="e">
        <f t="shared" si="31"/>
        <v>#DIV/0!</v>
      </c>
      <c r="O132" s="253" t="e">
        <f t="shared" si="32"/>
        <v>#VALUE!</v>
      </c>
      <c r="P132" s="212" t="e">
        <f t="shared" si="33"/>
        <v>#VALUE!</v>
      </c>
      <c r="Q132" s="221" t="e">
        <f t="shared" si="34"/>
        <v>#VALUE!</v>
      </c>
      <c r="R132" s="226" t="e">
        <f t="shared" si="35"/>
        <v>#VALUE!</v>
      </c>
      <c r="S132" s="212" t="e">
        <f t="shared" si="36"/>
        <v>#VALUE!</v>
      </c>
      <c r="T132" s="212" t="e">
        <f t="shared" si="37"/>
        <v>#VALUE!</v>
      </c>
      <c r="U132" s="227" t="e">
        <f t="shared" si="38"/>
        <v>#VALUE!</v>
      </c>
      <c r="V132" s="284" t="e">
        <f t="shared" si="39"/>
        <v>#VALUE!</v>
      </c>
      <c r="W132" s="233" t="e">
        <f t="shared" si="40"/>
        <v>#VALUE!</v>
      </c>
      <c r="X132" s="286" t="e">
        <f t="shared" si="41"/>
        <v>#VALUE!</v>
      </c>
    </row>
    <row r="133" spans="2:24" x14ac:dyDescent="0.2">
      <c r="B133" s="91" t="s">
        <v>289</v>
      </c>
      <c r="C133" s="2"/>
      <c r="D133" s="2"/>
      <c r="E133" s="2"/>
      <c r="F133" s="2"/>
      <c r="G133" s="2"/>
      <c r="H133" s="2"/>
      <c r="I133" s="2"/>
      <c r="J133" s="2"/>
      <c r="K133" s="2"/>
      <c r="L133" s="79">
        <v>13</v>
      </c>
      <c r="M133" s="211">
        <f t="shared" si="30"/>
        <v>0</v>
      </c>
      <c r="N133" s="212" t="e">
        <f t="shared" si="31"/>
        <v>#DIV/0!</v>
      </c>
      <c r="O133" s="253" t="e">
        <f t="shared" si="32"/>
        <v>#VALUE!</v>
      </c>
      <c r="P133" s="212" t="e">
        <f t="shared" si="33"/>
        <v>#VALUE!</v>
      </c>
      <c r="Q133" s="221" t="e">
        <f t="shared" si="34"/>
        <v>#VALUE!</v>
      </c>
      <c r="R133" s="226" t="e">
        <f t="shared" si="35"/>
        <v>#VALUE!</v>
      </c>
      <c r="S133" s="212" t="e">
        <f t="shared" si="36"/>
        <v>#VALUE!</v>
      </c>
      <c r="T133" s="212" t="e">
        <f t="shared" si="37"/>
        <v>#VALUE!</v>
      </c>
      <c r="U133" s="227" t="e">
        <f t="shared" si="38"/>
        <v>#VALUE!</v>
      </c>
      <c r="V133" s="284" t="e">
        <f t="shared" si="39"/>
        <v>#VALUE!</v>
      </c>
      <c r="W133" s="233" t="e">
        <f t="shared" si="40"/>
        <v>#VALUE!</v>
      </c>
      <c r="X133" s="286" t="e">
        <f t="shared" si="41"/>
        <v>#VALUE!</v>
      </c>
    </row>
    <row r="134" spans="2:24" x14ac:dyDescent="0.2">
      <c r="B134" s="13"/>
      <c r="C134" s="2"/>
      <c r="D134" s="2"/>
      <c r="E134" s="2"/>
      <c r="F134" s="2"/>
      <c r="G134" s="2"/>
      <c r="H134" s="2"/>
      <c r="I134" s="2"/>
      <c r="J134" s="2"/>
      <c r="K134" s="2"/>
      <c r="L134" s="79">
        <v>14</v>
      </c>
      <c r="M134" s="211">
        <f t="shared" si="30"/>
        <v>0</v>
      </c>
      <c r="N134" s="212" t="e">
        <f t="shared" si="31"/>
        <v>#DIV/0!</v>
      </c>
      <c r="O134" s="253" t="e">
        <f t="shared" si="32"/>
        <v>#VALUE!</v>
      </c>
      <c r="P134" s="212" t="e">
        <f t="shared" si="33"/>
        <v>#VALUE!</v>
      </c>
      <c r="Q134" s="221" t="e">
        <f t="shared" si="34"/>
        <v>#VALUE!</v>
      </c>
      <c r="R134" s="226" t="e">
        <f t="shared" si="35"/>
        <v>#VALUE!</v>
      </c>
      <c r="S134" s="212" t="e">
        <f t="shared" si="36"/>
        <v>#VALUE!</v>
      </c>
      <c r="T134" s="212" t="e">
        <f t="shared" si="37"/>
        <v>#VALUE!</v>
      </c>
      <c r="U134" s="227" t="e">
        <f t="shared" si="38"/>
        <v>#VALUE!</v>
      </c>
      <c r="V134" s="284" t="e">
        <f t="shared" si="39"/>
        <v>#VALUE!</v>
      </c>
      <c r="W134" s="233" t="e">
        <f t="shared" si="40"/>
        <v>#VALUE!</v>
      </c>
      <c r="X134" s="286" t="e">
        <f t="shared" si="41"/>
        <v>#VALUE!</v>
      </c>
    </row>
    <row r="135" spans="2:24" ht="13.5" thickBot="1" x14ac:dyDescent="0.25">
      <c r="B135" s="13"/>
      <c r="C135" s="8" t="str">
        <f>IF(D130&lt;0,"LEDA-Upstream","LEDA-near")</f>
        <v>LEDA-near</v>
      </c>
      <c r="D135" s="8"/>
      <c r="E135" s="2"/>
      <c r="F135" s="2"/>
      <c r="G135" s="8" t="str">
        <f>IF(D130&lt;0,"LEDA-Downstream","LEDA-far")</f>
        <v>LEDA-far</v>
      </c>
      <c r="H135" s="8"/>
      <c r="I135" s="210"/>
      <c r="J135" s="8"/>
      <c r="K135" s="88" t="s">
        <v>292</v>
      </c>
      <c r="L135" s="79">
        <v>15</v>
      </c>
      <c r="M135" s="211">
        <f t="shared" si="30"/>
        <v>0</v>
      </c>
      <c r="N135" s="212" t="e">
        <f t="shared" si="31"/>
        <v>#DIV/0!</v>
      </c>
      <c r="O135" s="253" t="e">
        <f t="shared" si="32"/>
        <v>#VALUE!</v>
      </c>
      <c r="P135" s="212" t="e">
        <f t="shared" si="33"/>
        <v>#VALUE!</v>
      </c>
      <c r="Q135" s="221" t="e">
        <f t="shared" si="34"/>
        <v>#VALUE!</v>
      </c>
      <c r="R135" s="226" t="e">
        <f t="shared" si="35"/>
        <v>#VALUE!</v>
      </c>
      <c r="S135" s="229" t="e">
        <f t="shared" si="36"/>
        <v>#VALUE!</v>
      </c>
      <c r="T135" s="229" t="e">
        <f t="shared" si="37"/>
        <v>#VALUE!</v>
      </c>
      <c r="U135" s="230" t="e">
        <f t="shared" si="38"/>
        <v>#VALUE!</v>
      </c>
      <c r="V135" s="285" t="e">
        <f t="shared" si="39"/>
        <v>#VALUE!</v>
      </c>
      <c r="W135" s="234" t="e">
        <f t="shared" si="40"/>
        <v>#VALUE!</v>
      </c>
      <c r="X135" s="287" t="e">
        <f t="shared" si="41"/>
        <v>#VALUE!</v>
      </c>
    </row>
    <row r="136" spans="2:24" x14ac:dyDescent="0.2">
      <c r="B136" s="13"/>
      <c r="C136" s="88" t="s">
        <v>290</v>
      </c>
      <c r="D136" s="37">
        <v>16</v>
      </c>
      <c r="E136" s="2"/>
      <c r="F136" s="87"/>
      <c r="G136" s="88" t="s">
        <v>290</v>
      </c>
      <c r="H136" s="37">
        <v>16</v>
      </c>
      <c r="I136" s="87"/>
      <c r="J136" s="87"/>
      <c r="K136" s="2"/>
      <c r="L136" s="2"/>
      <c r="M136" s="2"/>
      <c r="N136" s="2"/>
      <c r="O136" s="2"/>
      <c r="P136" s="2"/>
      <c r="Q136" s="2"/>
      <c r="R136" s="2"/>
    </row>
    <row r="137" spans="2:24" x14ac:dyDescent="0.2">
      <c r="B137" s="13"/>
      <c r="C137" s="88" t="s">
        <v>113</v>
      </c>
      <c r="D137" s="37">
        <v>129.9</v>
      </c>
      <c r="E137" s="84" t="s">
        <v>1623</v>
      </c>
      <c r="F137" s="87"/>
      <c r="G137" s="88" t="s">
        <v>113</v>
      </c>
      <c r="H137" s="37">
        <v>129.9</v>
      </c>
      <c r="I137" s="84" t="s">
        <v>1623</v>
      </c>
      <c r="J137" s="84"/>
      <c r="K137" s="2"/>
      <c r="L137" s="2"/>
      <c r="M137" s="2"/>
      <c r="N137" s="2"/>
      <c r="O137" s="2"/>
      <c r="P137" s="2"/>
      <c r="Q137" s="2"/>
      <c r="R137" s="2"/>
    </row>
    <row r="138" spans="2:24" x14ac:dyDescent="0.2">
      <c r="B138" s="13"/>
      <c r="C138" s="88" t="s">
        <v>114</v>
      </c>
      <c r="D138" s="37">
        <v>50</v>
      </c>
      <c r="E138" s="84" t="s">
        <v>1623</v>
      </c>
      <c r="F138" s="87"/>
      <c r="G138" s="88" t="s">
        <v>114</v>
      </c>
      <c r="H138" s="37">
        <v>50</v>
      </c>
      <c r="I138" s="84" t="s">
        <v>1623</v>
      </c>
      <c r="J138" s="84"/>
      <c r="K138" s="2"/>
      <c r="L138" s="2"/>
      <c r="M138" s="2"/>
      <c r="N138" s="2"/>
      <c r="O138" s="2"/>
      <c r="P138" s="2"/>
      <c r="Q138" s="2"/>
      <c r="R138" s="2"/>
    </row>
    <row r="139" spans="2:24" x14ac:dyDescent="0.2">
      <c r="B139" s="13"/>
      <c r="C139" s="106" t="s">
        <v>115</v>
      </c>
      <c r="D139" s="37">
        <v>5</v>
      </c>
      <c r="E139" s="83" t="s">
        <v>1623</v>
      </c>
      <c r="F139" s="87"/>
      <c r="G139" s="106" t="s">
        <v>115</v>
      </c>
      <c r="H139" s="37">
        <v>5</v>
      </c>
      <c r="I139" s="2" t="s">
        <v>1623</v>
      </c>
      <c r="J139" s="83"/>
      <c r="K139" s="2"/>
      <c r="L139" s="2"/>
      <c r="M139" s="2"/>
      <c r="N139" s="2"/>
      <c r="O139" s="2"/>
      <c r="P139" s="2"/>
      <c r="Q139" s="2"/>
      <c r="R139" s="2"/>
    </row>
    <row r="140" spans="2:24" x14ac:dyDescent="0.2">
      <c r="B140" s="13"/>
      <c r="C140" s="106" t="s">
        <v>109</v>
      </c>
      <c r="D140" s="192">
        <v>0.1</v>
      </c>
      <c r="E140" s="84" t="s">
        <v>1623</v>
      </c>
      <c r="F140" s="193"/>
      <c r="G140" s="106" t="s">
        <v>109</v>
      </c>
      <c r="H140" s="192">
        <v>0.1</v>
      </c>
      <c r="I140" s="84" t="s">
        <v>1623</v>
      </c>
      <c r="J140" s="84"/>
      <c r="K140" s="2"/>
      <c r="L140" s="2"/>
      <c r="M140" s="2"/>
      <c r="N140" s="2"/>
      <c r="O140" s="2"/>
      <c r="P140" s="2"/>
      <c r="Q140" s="2"/>
      <c r="R140" s="2"/>
    </row>
    <row r="141" spans="2:24" x14ac:dyDescent="0.2">
      <c r="B141" s="13"/>
      <c r="C141" s="106" t="s">
        <v>110</v>
      </c>
      <c r="D141" s="81">
        <f>D139-D140</f>
        <v>4.9000000000000004</v>
      </c>
      <c r="E141" s="87" t="s">
        <v>1623</v>
      </c>
      <c r="F141" s="193"/>
      <c r="G141" s="106" t="s">
        <v>110</v>
      </c>
      <c r="H141" s="81">
        <f>H139-H140</f>
        <v>4.9000000000000004</v>
      </c>
      <c r="I141" s="2"/>
      <c r="J141" s="87"/>
      <c r="K141" s="8"/>
      <c r="L141" s="2"/>
      <c r="M141" s="2"/>
      <c r="N141" s="2"/>
      <c r="O141" s="2"/>
      <c r="P141" s="2"/>
      <c r="Q141" s="2"/>
      <c r="R141" s="2"/>
    </row>
    <row r="142" spans="2:24" ht="14.25" x14ac:dyDescent="0.2">
      <c r="B142" s="13"/>
      <c r="C142" s="106" t="s">
        <v>293</v>
      </c>
      <c r="D142" s="189">
        <v>300000000</v>
      </c>
      <c r="E142" s="2" t="s">
        <v>294</v>
      </c>
      <c r="F142" s="194"/>
      <c r="G142" s="106" t="s">
        <v>293</v>
      </c>
      <c r="H142" s="189">
        <v>300000000</v>
      </c>
      <c r="I142" s="2" t="s">
        <v>294</v>
      </c>
      <c r="J142" s="2"/>
      <c r="L142" s="2"/>
      <c r="M142" s="2"/>
      <c r="N142" s="2"/>
      <c r="O142" s="2"/>
      <c r="P142" s="2"/>
      <c r="Q142" s="2"/>
      <c r="R142" s="2"/>
    </row>
    <row r="143" spans="2:24" ht="15.75" x14ac:dyDescent="0.3">
      <c r="B143" s="13"/>
      <c r="C143" s="88" t="s">
        <v>279</v>
      </c>
      <c r="D143" s="38">
        <f>IF(D130&lt;0,180-DEGREES(ATAN(($D$138)/ABS($D$130))),DEGREES(ATAN(($D$138)/$D$130)))</f>
        <v>26.56505117707799</v>
      </c>
      <c r="E143" s="2" t="s">
        <v>288</v>
      </c>
      <c r="F143" s="195"/>
      <c r="G143" s="88" t="s">
        <v>279</v>
      </c>
      <c r="H143" s="38" t="e">
        <f>IF(D131&lt;0,180-DEGREES(ATAN(($G$199)/ABS($C$192))),DEGREES(ATAN(($G$199)/$C$192)))</f>
        <v>#DIV/0!</v>
      </c>
      <c r="I143" s="2" t="s">
        <v>288</v>
      </c>
      <c r="J143" s="2"/>
      <c r="L143" s="2"/>
      <c r="M143" s="2"/>
      <c r="N143" s="2"/>
      <c r="O143" s="2"/>
      <c r="P143" s="2"/>
      <c r="Q143" s="2"/>
      <c r="R143" s="2"/>
    </row>
    <row r="144" spans="2:24" ht="15.75" x14ac:dyDescent="0.3">
      <c r="B144" s="13"/>
      <c r="C144" s="88" t="s">
        <v>280</v>
      </c>
      <c r="D144" s="38">
        <f>IF(D130&lt;0,180-DEGREES(ATAN(($D$137)/ABS($D$130))),DEGREES(ATAN(($D$137)/$D$130)))</f>
        <v>52.410098127429748</v>
      </c>
      <c r="E144" s="2" t="s">
        <v>288</v>
      </c>
      <c r="F144" s="195"/>
      <c r="G144" s="88" t="s">
        <v>280</v>
      </c>
      <c r="H144" s="38" t="e">
        <f>IF(D131&lt;0,180-DEGREES(ATAN(($G$198)/ABS($C$192))),DEGREES(ATAN(($G$198)/$C$192)))</f>
        <v>#DIV/0!</v>
      </c>
      <c r="I144" s="2" t="s">
        <v>288</v>
      </c>
      <c r="J144" s="2"/>
      <c r="L144" s="2"/>
      <c r="M144" s="2"/>
      <c r="N144" s="2"/>
      <c r="O144" s="2"/>
      <c r="P144" s="2"/>
      <c r="Q144" s="2"/>
      <c r="R144" s="2"/>
    </row>
    <row r="145" spans="2:18" x14ac:dyDescent="0.2">
      <c r="B145" s="13"/>
      <c r="C145" s="187" t="s">
        <v>28</v>
      </c>
      <c r="D145" s="294">
        <f>((SUM(Z120:Z135))/(4*PI()))*100</f>
        <v>0</v>
      </c>
      <c r="E145" s="87" t="s">
        <v>520</v>
      </c>
      <c r="F145" s="19"/>
      <c r="G145" s="187" t="s">
        <v>28</v>
      </c>
      <c r="H145" s="294">
        <f>((SUM(AX120:AX135))/(4*PI()))*100</f>
        <v>0</v>
      </c>
      <c r="I145" s="87" t="s">
        <v>520</v>
      </c>
      <c r="J145" s="2"/>
      <c r="L145" s="2"/>
      <c r="M145" s="2"/>
      <c r="N145" s="2"/>
      <c r="O145" s="2"/>
      <c r="P145" s="2"/>
      <c r="Q145" s="2"/>
      <c r="R145" s="2"/>
    </row>
    <row r="146" spans="2:18" x14ac:dyDescent="0.2">
      <c r="B146" s="13"/>
      <c r="C146" s="83"/>
      <c r="D146" s="83"/>
      <c r="E146" s="2"/>
      <c r="F146" s="2"/>
      <c r="G146" s="2"/>
      <c r="H146" s="83"/>
      <c r="I146" s="83"/>
      <c r="J146" s="83"/>
      <c r="L146" s="2"/>
      <c r="M146" s="2"/>
      <c r="N146" s="2"/>
      <c r="O146" s="2"/>
      <c r="P146" s="2"/>
      <c r="Q146" s="2"/>
      <c r="R146" s="2"/>
    </row>
    <row r="147" spans="2:18" x14ac:dyDescent="0.2">
      <c r="B147" s="13"/>
      <c r="L147" s="2"/>
      <c r="M147" s="2"/>
      <c r="N147" s="2"/>
      <c r="O147" s="2"/>
      <c r="P147" s="2"/>
      <c r="Q147" s="2"/>
      <c r="R147" s="2"/>
    </row>
    <row r="148" spans="2:18" x14ac:dyDescent="0.2">
      <c r="B148" s="13"/>
      <c r="L148" s="2"/>
      <c r="M148" s="2"/>
      <c r="N148" s="2"/>
      <c r="O148" s="2"/>
      <c r="P148" s="2"/>
      <c r="Q148" s="2"/>
      <c r="R148" s="2"/>
    </row>
    <row r="149" spans="2:18" x14ac:dyDescent="0.2">
      <c r="B149" s="13"/>
    </row>
    <row r="150" spans="2:18" x14ac:dyDescent="0.2">
      <c r="B150" s="13"/>
    </row>
    <row r="151" spans="2:18" x14ac:dyDescent="0.2">
      <c r="B151" s="13"/>
    </row>
    <row r="152" spans="2:18" x14ac:dyDescent="0.2">
      <c r="B152" s="13"/>
    </row>
    <row r="153" spans="2:18" x14ac:dyDescent="0.2">
      <c r="B153" s="13"/>
    </row>
    <row r="154" spans="2:18" x14ac:dyDescent="0.2">
      <c r="B154" s="13"/>
    </row>
    <row r="155" spans="2:18" x14ac:dyDescent="0.2">
      <c r="B155" s="13"/>
    </row>
    <row r="156" spans="2:18" x14ac:dyDescent="0.2">
      <c r="B156" s="13"/>
    </row>
    <row r="157" spans="2:18" x14ac:dyDescent="0.2">
      <c r="B157" s="13"/>
    </row>
    <row r="158" spans="2:18" x14ac:dyDescent="0.2">
      <c r="B158" s="13"/>
    </row>
    <row r="159" spans="2:18" x14ac:dyDescent="0.2">
      <c r="B159" s="13"/>
    </row>
    <row r="160" spans="2:18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7" x14ac:dyDescent="0.2">
      <c r="B177" s="13"/>
    </row>
    <row r="178" spans="2:27" x14ac:dyDescent="0.2">
      <c r="B178" s="13"/>
    </row>
    <row r="179" spans="2:27" x14ac:dyDescent="0.2">
      <c r="B179" s="13"/>
    </row>
    <row r="180" spans="2:27" x14ac:dyDescent="0.2">
      <c r="B180" s="13"/>
    </row>
    <row r="181" spans="2:27" x14ac:dyDescent="0.2">
      <c r="B181" s="13"/>
    </row>
    <row r="182" spans="2:27" x14ac:dyDescent="0.2">
      <c r="B182" s="13"/>
    </row>
    <row r="183" spans="2:27" x14ac:dyDescent="0.2">
      <c r="B183" s="13"/>
    </row>
    <row r="184" spans="2:27" x14ac:dyDescent="0.2">
      <c r="B184" s="13"/>
    </row>
    <row r="185" spans="2:27" x14ac:dyDescent="0.2">
      <c r="B185" s="13"/>
    </row>
    <row r="186" spans="2:27" s="238" customFormat="1" x14ac:dyDescent="0.2"/>
    <row r="187" spans="2:27" s="238" customFormat="1" x14ac:dyDescent="0.2"/>
    <row r="189" spans="2:27" ht="18" x14ac:dyDescent="0.25">
      <c r="B189" s="259" t="s">
        <v>16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7" ht="13.5" thickBot="1" x14ac:dyDescent="0.25">
      <c r="K190" s="85" t="s">
        <v>20</v>
      </c>
      <c r="L190" s="2"/>
      <c r="M190" s="85"/>
      <c r="N190" s="2"/>
      <c r="O190" s="2"/>
      <c r="P190" s="2"/>
      <c r="Q190" s="2"/>
      <c r="R190" s="244" t="s">
        <v>1383</v>
      </c>
      <c r="X190" s="231" t="s">
        <v>1753</v>
      </c>
    </row>
    <row r="191" spans="2:27" ht="28.5" x14ac:dyDescent="0.2">
      <c r="B191" s="13"/>
      <c r="C191" s="2"/>
      <c r="D191" s="2"/>
      <c r="E191" s="2"/>
      <c r="F191" s="2"/>
      <c r="G191" s="2"/>
      <c r="H191" s="2"/>
      <c r="K191" s="2"/>
      <c r="L191" s="149" t="s">
        <v>116</v>
      </c>
      <c r="M191" s="149" t="s">
        <v>117</v>
      </c>
      <c r="N191" s="149" t="s">
        <v>297</v>
      </c>
      <c r="O191" s="149" t="s">
        <v>118</v>
      </c>
      <c r="P191" s="149" t="s">
        <v>298</v>
      </c>
      <c r="Q191" s="220" t="s">
        <v>333</v>
      </c>
      <c r="R191" s="223" t="s">
        <v>1658</v>
      </c>
      <c r="S191" s="298" t="s">
        <v>1656</v>
      </c>
      <c r="T191" s="224" t="s">
        <v>1661</v>
      </c>
      <c r="U191" s="225" t="s">
        <v>1657</v>
      </c>
      <c r="V191" s="222" t="s">
        <v>32</v>
      </c>
      <c r="W191" s="288" t="s">
        <v>33</v>
      </c>
      <c r="X191" s="223" t="s">
        <v>1658</v>
      </c>
      <c r="Y191" s="298" t="s">
        <v>1656</v>
      </c>
      <c r="Z191" s="224" t="s">
        <v>1661</v>
      </c>
      <c r="AA191" s="225" t="s">
        <v>1657</v>
      </c>
    </row>
    <row r="192" spans="2:27" x14ac:dyDescent="0.2">
      <c r="B192" s="13"/>
      <c r="C192" s="2"/>
      <c r="D192" s="2"/>
      <c r="E192" s="2"/>
      <c r="F192" s="2"/>
      <c r="G192" s="2"/>
      <c r="H192" s="2"/>
      <c r="K192" s="88" t="s">
        <v>291</v>
      </c>
      <c r="L192" s="79">
        <v>0</v>
      </c>
      <c r="M192" s="211">
        <f>$D$210+(L192*$D$211)</f>
        <v>9</v>
      </c>
      <c r="N192" s="212">
        <f>DEGREES(ATAN(M192/$D$202))</f>
        <v>1.2889375601868953</v>
      </c>
      <c r="O192" s="212">
        <f>$D$210+$D$213+(L192*$D$211)</f>
        <v>10.9</v>
      </c>
      <c r="P192" s="212">
        <f>DEGREES(ATAN(O192/$D$202))</f>
        <v>1.5609237070709503</v>
      </c>
      <c r="Q192" s="221">
        <f>DEGREES(ATAN((M192+($D$213/2))/$D$202))</f>
        <v>1.4249386628463365</v>
      </c>
      <c r="R192" s="226"/>
      <c r="S192" s="296">
        <f ca="1">IF($L$4&gt;$M$6,$J$8*$L$4*(COS(RADIANS(Q192))-SQRT(($M$6/$L$4)-(SIN(RADIANS(Q192)))^2))^2,$J$8*$L$4*(COS(RADIANS(Q192))+SQRT(($M$6/$L$4)-(SIN(RADIANS(Q192)))^2))^2)</f>
        <v>0.39829866595475705</v>
      </c>
      <c r="T192" s="296"/>
      <c r="U192" s="286">
        <f ca="1">$J$8*$L$4*(COS(RADIANS(Q192))+SQRT(($M$6/$L$4)-(SIN(RADIANS(Q192)))^2))^2</f>
        <v>0.39829866595475705</v>
      </c>
      <c r="V192" s="240"/>
      <c r="W192" s="299"/>
      <c r="X192" s="300"/>
      <c r="Y192" s="296">
        <f ca="1">IF($L$5&gt;$M$7,$J$8*$L$5*(COS(RADIANS(Q192))-SQRT(($M$7/$L$5)-(SIN(RADIANS(Q192)))^2))^2,$J$8*$L$5*(COS(RADIANS(Q192))+SQRT(($M$7/$L$5)-(SIN(RADIANS(Q192)))^2))^2)</f>
        <v>2.9999339095680817</v>
      </c>
      <c r="Z192" s="296"/>
      <c r="AA192" s="286">
        <f ca="1">$J$8*$L$5*(COS(RADIANS(Q192))+SQRT(($M$7/$L$5)-(SIN(RADIANS(Q192)))^2))^2</f>
        <v>2.9999339095680817</v>
      </c>
    </row>
    <row r="193" spans="2:27" x14ac:dyDescent="0.2">
      <c r="B193" s="13"/>
      <c r="C193" s="2"/>
      <c r="D193" s="2"/>
      <c r="E193" s="2"/>
      <c r="F193" s="2"/>
      <c r="G193" s="2"/>
      <c r="H193" s="2"/>
      <c r="L193" s="79">
        <v>1</v>
      </c>
      <c r="M193" s="211">
        <f t="shared" ref="M193:M207" si="42">$D$210+(L193*$D$211)</f>
        <v>11</v>
      </c>
      <c r="N193" s="212">
        <f t="shared" ref="N193:N207" si="43">DEGREES(ATAN(M193/$D$202))</f>
        <v>1.5752369256830545</v>
      </c>
      <c r="O193" s="212">
        <f t="shared" ref="O193:O207" si="44">$D$210+$D$213+(L193*$D$211)</f>
        <v>12.9</v>
      </c>
      <c r="P193" s="212">
        <f t="shared" ref="P193:P207" si="45">DEGREES(ATAN(O193/$D$202))</f>
        <v>1.8471486834513395</v>
      </c>
      <c r="Q193" s="221">
        <f t="shared" ref="Q193:Q207" si="46">DEGREES(ATAN((M193+($D$213/2))/$D$202))</f>
        <v>1.7112024424235186</v>
      </c>
      <c r="R193" s="226"/>
      <c r="S193" s="296">
        <f t="shared" ref="S193:S207" ca="1" si="47">IF($L$4&gt;$M$6,$J$8*$L$4*(COS(RADIANS(Q193))-SQRT(($M$6/$L$4)-(SIN(RADIANS(Q193)))^2))^2,$J$8*$L$4*(COS(RADIANS(Q193))+SQRT(($M$6/$L$4)-(SIN(RADIANS(Q193)))^2))^2)</f>
        <v>0.3981897289229549</v>
      </c>
      <c r="T193" s="212"/>
      <c r="U193" s="286">
        <f t="shared" ref="U193:U207" ca="1" si="48">$J$8*$L$4*(COS(RADIANS(Q193))+SQRT(($M$6/$L$4)-(SIN(RADIANS(Q193)))^2))^2</f>
        <v>0.3981897289229549</v>
      </c>
      <c r="V193" s="284"/>
      <c r="W193" s="233"/>
      <c r="X193" s="286"/>
      <c r="Y193" s="296">
        <f t="shared" ref="Y193:Y207" ca="1" si="49">IF($L$5&gt;$M$7,$J$8*$L$5*(COS(RADIANS(Q193))-SQRT(($M$7/$L$5)-(SIN(RADIANS(Q193)))^2))^2,$J$8*$L$5*(COS(RADIANS(Q193))+SQRT(($M$7/$L$5)-(SIN(RADIANS(Q193)))^2))^2)</f>
        <v>2.9999046903098954</v>
      </c>
      <c r="AA193" s="286">
        <f t="shared" ref="AA193:AA207" ca="1" si="50">$J$8*$L$5*(COS(RADIANS(Q193))+SQRT(($M$7/$L$5)-(SIN(RADIANS(Q193)))^2))^2</f>
        <v>2.9999046903098954</v>
      </c>
    </row>
    <row r="194" spans="2:27" x14ac:dyDescent="0.2">
      <c r="B194" s="13"/>
      <c r="C194" s="2"/>
      <c r="D194" s="2"/>
      <c r="E194" s="2"/>
      <c r="F194" s="2"/>
      <c r="G194" s="2"/>
      <c r="H194" s="2"/>
      <c r="L194" s="79">
        <v>2</v>
      </c>
      <c r="M194" s="211">
        <f t="shared" si="42"/>
        <v>13</v>
      </c>
      <c r="N194" s="212">
        <f t="shared" si="43"/>
        <v>1.861457630466729</v>
      </c>
      <c r="O194" s="212">
        <f t="shared" si="44"/>
        <v>14.9</v>
      </c>
      <c r="P194" s="212">
        <f t="shared" si="45"/>
        <v>2.1332814645671538</v>
      </c>
      <c r="Q194" s="221">
        <f t="shared" si="46"/>
        <v>1.9973807911287476</v>
      </c>
      <c r="R194" s="226"/>
      <c r="S194" s="296">
        <f t="shared" ca="1" si="47"/>
        <v>0.39806097160132042</v>
      </c>
      <c r="T194" s="212"/>
      <c r="U194" s="286">
        <f t="shared" ca="1" si="48"/>
        <v>0.39806097160132042</v>
      </c>
      <c r="V194" s="284"/>
      <c r="W194" s="233"/>
      <c r="X194" s="286"/>
      <c r="Y194" s="296">
        <f t="shared" ca="1" si="49"/>
        <v>2.9998701500292522</v>
      </c>
      <c r="AA194" s="286">
        <f t="shared" ca="1" si="50"/>
        <v>2.9998701500292522</v>
      </c>
    </row>
    <row r="195" spans="2:27" x14ac:dyDescent="0.2">
      <c r="B195" s="13"/>
      <c r="C195" s="2"/>
      <c r="D195" s="2"/>
      <c r="E195" s="2"/>
      <c r="F195" s="2"/>
      <c r="G195" s="2"/>
      <c r="H195" s="2"/>
      <c r="L195" s="79">
        <v>3</v>
      </c>
      <c r="M195" s="211">
        <f t="shared" si="42"/>
        <v>15</v>
      </c>
      <c r="N195" s="212">
        <f t="shared" si="43"/>
        <v>2.1475854282985032</v>
      </c>
      <c r="O195" s="212">
        <f t="shared" si="44"/>
        <v>16.899999999999999</v>
      </c>
      <c r="P195" s="212">
        <f t="shared" si="45"/>
        <v>2.4193078304707138</v>
      </c>
      <c r="Q195" s="221">
        <f t="shared" si="46"/>
        <v>2.2834594753913371</v>
      </c>
      <c r="R195" s="226"/>
      <c r="S195" s="296">
        <f t="shared" ca="1" si="47"/>
        <v>0.3979124324926881</v>
      </c>
      <c r="T195" s="212"/>
      <c r="U195" s="286">
        <f t="shared" ca="1" si="48"/>
        <v>0.3979124324926881</v>
      </c>
      <c r="V195" s="284"/>
      <c r="W195" s="233"/>
      <c r="X195" s="286"/>
      <c r="Y195" s="296">
        <f t="shared" ca="1" si="49"/>
        <v>2.9998302966558912</v>
      </c>
      <c r="AA195" s="286">
        <f t="shared" ca="1" si="50"/>
        <v>2.9998302966558912</v>
      </c>
    </row>
    <row r="196" spans="2:27" x14ac:dyDescent="0.2">
      <c r="B196" s="13"/>
      <c r="C196" s="2"/>
      <c r="D196" s="2"/>
      <c r="E196" s="2"/>
      <c r="F196" s="2"/>
      <c r="G196" s="2"/>
      <c r="H196" s="2"/>
      <c r="L196" s="79">
        <v>4</v>
      </c>
      <c r="M196" s="211">
        <f t="shared" si="42"/>
        <v>17</v>
      </c>
      <c r="N196" s="212">
        <f t="shared" si="43"/>
        <v>2.4336061007201217</v>
      </c>
      <c r="O196" s="212">
        <f t="shared" si="44"/>
        <v>18.899999999999999</v>
      </c>
      <c r="P196" s="212">
        <f t="shared" si="45"/>
        <v>2.7052135930031618</v>
      </c>
      <c r="Q196" s="221">
        <f t="shared" si="46"/>
        <v>2.5694242914280934</v>
      </c>
      <c r="R196" s="226"/>
      <c r="S196" s="296">
        <f t="shared" ca="1" si="47"/>
        <v>0.39774415596889834</v>
      </c>
      <c r="T196" s="212"/>
      <c r="U196" s="286">
        <f t="shared" ca="1" si="48"/>
        <v>0.39774415596889834</v>
      </c>
      <c r="V196" s="284"/>
      <c r="W196" s="233"/>
      <c r="X196" s="286"/>
      <c r="Y196" s="296">
        <f t="shared" ca="1" si="49"/>
        <v>2.9997851393306885</v>
      </c>
      <c r="AA196" s="286">
        <f t="shared" ca="1" si="50"/>
        <v>2.9997851393306885</v>
      </c>
    </row>
    <row r="197" spans="2:27" x14ac:dyDescent="0.2">
      <c r="B197" s="13"/>
      <c r="C197" s="2"/>
      <c r="D197" s="2"/>
      <c r="E197" s="2"/>
      <c r="F197" s="2"/>
      <c r="G197" s="2"/>
      <c r="H197" s="2"/>
      <c r="L197" s="79">
        <v>5</v>
      </c>
      <c r="M197" s="211">
        <f t="shared" si="42"/>
        <v>19</v>
      </c>
      <c r="N197" s="212">
        <f t="shared" si="43"/>
        <v>2.7195054612725049</v>
      </c>
      <c r="O197" s="212">
        <f t="shared" si="44"/>
        <v>20.9</v>
      </c>
      <c r="P197" s="212">
        <f t="shared" si="45"/>
        <v>2.9909845999899005</v>
      </c>
      <c r="Q197" s="221">
        <f t="shared" si="46"/>
        <v>2.8552610694504028</v>
      </c>
      <c r="R197" s="226"/>
      <c r="S197" s="296">
        <f t="shared" ca="1" si="47"/>
        <v>0.39755619223772631</v>
      </c>
      <c r="T197" s="212"/>
      <c r="U197" s="286">
        <f t="shared" ca="1" si="48"/>
        <v>0.39755619223772631</v>
      </c>
      <c r="V197" s="284"/>
      <c r="W197" s="233"/>
      <c r="X197" s="286"/>
      <c r="Y197" s="296">
        <f t="shared" ca="1" si="49"/>
        <v>2.9997346883998843</v>
      </c>
      <c r="AA197" s="286">
        <f t="shared" ca="1" si="50"/>
        <v>2.9997346883998843</v>
      </c>
    </row>
    <row r="198" spans="2:27" x14ac:dyDescent="0.2">
      <c r="B198" s="13"/>
      <c r="C198" s="2"/>
      <c r="D198" s="2"/>
      <c r="E198" s="2"/>
      <c r="F198" s="2"/>
      <c r="G198" s="2"/>
      <c r="H198" s="2"/>
      <c r="L198" s="79">
        <v>6</v>
      </c>
      <c r="M198" s="211">
        <f t="shared" si="42"/>
        <v>21</v>
      </c>
      <c r="N198" s="212">
        <f t="shared" si="43"/>
        <v>3.005269359689934</v>
      </c>
      <c r="O198" s="212">
        <f t="shared" si="44"/>
        <v>22.9</v>
      </c>
      <c r="P198" s="212">
        <f t="shared" si="45"/>
        <v>3.2766067394092624</v>
      </c>
      <c r="Q198" s="221">
        <f t="shared" si="46"/>
        <v>3.1409556778459953</v>
      </c>
      <c r="R198" s="226"/>
      <c r="S198" s="296">
        <f t="shared" ca="1" si="47"/>
        <v>0.39734859730552513</v>
      </c>
      <c r="T198" s="212"/>
      <c r="U198" s="286">
        <f t="shared" ca="1" si="48"/>
        <v>0.39734859730552513</v>
      </c>
      <c r="V198" s="284"/>
      <c r="W198" s="233"/>
      <c r="X198" s="286"/>
      <c r="Y198" s="296">
        <f t="shared" ca="1" si="49"/>
        <v>2.9996789554085397</v>
      </c>
      <c r="AA198" s="286">
        <f t="shared" ca="1" si="50"/>
        <v>2.9996789554085397</v>
      </c>
    </row>
    <row r="199" spans="2:27" x14ac:dyDescent="0.2">
      <c r="B199" s="13"/>
      <c r="C199" s="2"/>
      <c r="D199" s="2"/>
      <c r="E199" s="2"/>
      <c r="F199" s="2"/>
      <c r="G199" s="2"/>
      <c r="H199" s="2"/>
      <c r="L199" s="79">
        <v>7</v>
      </c>
      <c r="M199" s="211">
        <f t="shared" si="42"/>
        <v>23</v>
      </c>
      <c r="N199" s="212">
        <f t="shared" si="43"/>
        <v>3.2908836860672928</v>
      </c>
      <c r="O199" s="212">
        <f t="shared" si="44"/>
        <v>24.9</v>
      </c>
      <c r="P199" s="212">
        <f t="shared" si="45"/>
        <v>3.5620659435313602</v>
      </c>
      <c r="Q199" s="221">
        <f t="shared" si="46"/>
        <v>3.4264940273323341</v>
      </c>
      <c r="R199" s="226"/>
      <c r="S199" s="296">
        <f t="shared" ca="1" si="47"/>
        <v>0.39712143293563656</v>
      </c>
      <c r="T199" s="212"/>
      <c r="U199" s="286">
        <f t="shared" ca="1" si="48"/>
        <v>0.39712143293563656</v>
      </c>
      <c r="V199" s="284"/>
      <c r="W199" s="233"/>
      <c r="X199" s="286"/>
      <c r="Y199" s="296">
        <f t="shared" ca="1" si="49"/>
        <v>2.9996179530932596</v>
      </c>
      <c r="AA199" s="286">
        <f t="shared" ca="1" si="50"/>
        <v>2.9996179530932596</v>
      </c>
    </row>
    <row r="200" spans="2:27" x14ac:dyDescent="0.2">
      <c r="B200" s="13"/>
      <c r="C200" s="2"/>
      <c r="D200" s="2"/>
      <c r="E200" s="2"/>
      <c r="F200" s="2"/>
      <c r="G200" s="2"/>
      <c r="H200" s="2"/>
      <c r="L200" s="79">
        <v>8</v>
      </c>
      <c r="M200" s="211">
        <f t="shared" si="42"/>
        <v>25</v>
      </c>
      <c r="N200" s="212">
        <f t="shared" si="43"/>
        <v>3.5763343749973511</v>
      </c>
      <c r="O200" s="212">
        <f t="shared" si="44"/>
        <v>26.9</v>
      </c>
      <c r="P200" s="212">
        <f t="shared" si="45"/>
        <v>3.8473481930241125</v>
      </c>
      <c r="Q200" s="221">
        <f t="shared" si="46"/>
        <v>3.7118620750786104</v>
      </c>
      <c r="R200" s="226"/>
      <c r="S200" s="296">
        <f t="shared" ca="1" si="47"/>
        <v>0.39687476660262622</v>
      </c>
      <c r="T200" s="212"/>
      <c r="U200" s="286">
        <f t="shared" ca="1" si="48"/>
        <v>0.39687476660262622</v>
      </c>
      <c r="V200" s="284"/>
      <c r="W200" s="233"/>
      <c r="X200" s="286"/>
      <c r="Y200" s="296">
        <f t="shared" ca="1" si="49"/>
        <v>2.9995516953741728</v>
      </c>
      <c r="AA200" s="286">
        <f t="shared" ca="1" si="50"/>
        <v>2.9995516953741728</v>
      </c>
    </row>
    <row r="201" spans="2:27" x14ac:dyDescent="0.2">
      <c r="B201" s="13"/>
      <c r="C201" s="2" t="s">
        <v>287</v>
      </c>
      <c r="D201" s="2"/>
      <c r="E201" s="2"/>
      <c r="F201" s="2"/>
      <c r="G201" s="2"/>
      <c r="H201" s="2"/>
      <c r="L201" s="79">
        <v>9</v>
      </c>
      <c r="M201" s="211">
        <f t="shared" si="42"/>
        <v>27</v>
      </c>
      <c r="N201" s="212">
        <f t="shared" si="43"/>
        <v>3.8616074096750741</v>
      </c>
      <c r="O201" s="212">
        <f t="shared" si="44"/>
        <v>28.9</v>
      </c>
      <c r="P201" s="212">
        <f t="shared" si="45"/>
        <v>4.1324395210235041</v>
      </c>
      <c r="Q201" s="221">
        <f t="shared" si="46"/>
        <v>3.9970458287933508</v>
      </c>
      <c r="R201" s="226"/>
      <c r="S201" s="296">
        <f t="shared" ca="1" si="47"/>
        <v>0.39660867144240519</v>
      </c>
      <c r="T201" s="212"/>
      <c r="U201" s="286">
        <f t="shared" ca="1" si="48"/>
        <v>0.39660867144240519</v>
      </c>
      <c r="V201" s="284"/>
      <c r="W201" s="233"/>
      <c r="X201" s="286"/>
      <c r="Y201" s="296">
        <f t="shared" ca="1" si="49"/>
        <v>2.9994801973461933</v>
      </c>
      <c r="AA201" s="286">
        <f t="shared" ca="1" si="50"/>
        <v>2.9994801973461933</v>
      </c>
    </row>
    <row r="202" spans="2:27" x14ac:dyDescent="0.2">
      <c r="B202" s="13"/>
      <c r="C202" s="4" t="s">
        <v>241</v>
      </c>
      <c r="D202" s="37">
        <v>400</v>
      </c>
      <c r="E202" s="84" t="s">
        <v>1623</v>
      </c>
      <c r="F202" s="2"/>
      <c r="G202" s="2"/>
      <c r="H202" s="2"/>
      <c r="L202" s="79">
        <v>10</v>
      </c>
      <c r="M202" s="211">
        <f t="shared" si="42"/>
        <v>29</v>
      </c>
      <c r="N202" s="212">
        <f t="shared" si="43"/>
        <v>4.1466888259660086</v>
      </c>
      <c r="O202" s="212">
        <f t="shared" si="44"/>
        <v>30.9</v>
      </c>
      <c r="P202" s="212">
        <f t="shared" si="45"/>
        <v>4.4173260171651441</v>
      </c>
      <c r="Q202" s="221">
        <f t="shared" si="46"/>
        <v>4.2820313507747247</v>
      </c>
      <c r="R202" s="226"/>
      <c r="S202" s="296">
        <f t="shared" ca="1" si="47"/>
        <v>0.39632322619830851</v>
      </c>
      <c r="T202" s="212"/>
      <c r="U202" s="286">
        <f t="shared" ca="1" si="48"/>
        <v>0.39632322619830851</v>
      </c>
      <c r="V202" s="284"/>
      <c r="W202" s="233"/>
      <c r="X202" s="286"/>
      <c r="Y202" s="296">
        <f t="shared" ca="1" si="49"/>
        <v>2.9994034752695642</v>
      </c>
      <c r="AA202" s="286">
        <f t="shared" ca="1" si="50"/>
        <v>2.9994034752695642</v>
      </c>
    </row>
    <row r="203" spans="2:27" x14ac:dyDescent="0.2">
      <c r="B203" s="13"/>
      <c r="C203" s="4" t="s">
        <v>521</v>
      </c>
      <c r="D203" s="37">
        <v>0</v>
      </c>
      <c r="E203" s="84" t="s">
        <v>1623</v>
      </c>
      <c r="F203" s="2"/>
      <c r="G203" s="2"/>
      <c r="H203" s="2"/>
      <c r="L203" s="79">
        <v>11</v>
      </c>
      <c r="M203" s="211">
        <f t="shared" si="42"/>
        <v>31</v>
      </c>
      <c r="N203" s="212">
        <f t="shared" si="43"/>
        <v>4.4315647164358438</v>
      </c>
      <c r="O203" s="212">
        <f t="shared" si="44"/>
        <v>32.9</v>
      </c>
      <c r="P203" s="212">
        <f t="shared" si="45"/>
        <v>4.7019938315742964</v>
      </c>
      <c r="Q203" s="221">
        <f t="shared" si="46"/>
        <v>4.5668047619206495</v>
      </c>
      <c r="R203" s="226"/>
      <c r="S203" s="296">
        <f t="shared" ca="1" si="47"/>
        <v>0.39601851516320274</v>
      </c>
      <c r="T203" s="212"/>
      <c r="U203" s="286">
        <f t="shared" ca="1" si="48"/>
        <v>0.39601851516320274</v>
      </c>
      <c r="V203" s="284"/>
      <c r="W203" s="233"/>
      <c r="X203" s="286"/>
      <c r="Y203" s="296">
        <f t="shared" ca="1" si="49"/>
        <v>2.9993215465596927</v>
      </c>
      <c r="AA203" s="286">
        <f t="shared" ca="1" si="50"/>
        <v>2.9993215465596927</v>
      </c>
    </row>
    <row r="204" spans="2:27" x14ac:dyDescent="0.2">
      <c r="L204" s="79">
        <v>12</v>
      </c>
      <c r="M204" s="211">
        <f t="shared" si="42"/>
        <v>33</v>
      </c>
      <c r="N204" s="212">
        <f t="shared" si="43"/>
        <v>4.7162212343382803</v>
      </c>
      <c r="O204" s="212">
        <f t="shared" si="44"/>
        <v>34.9</v>
      </c>
      <c r="P204" s="212">
        <f t="shared" si="45"/>
        <v>4.9864291788115684</v>
      </c>
      <c r="Q204" s="221">
        <f t="shared" si="46"/>
        <v>4.8513522456958871</v>
      </c>
      <c r="R204" s="226"/>
      <c r="S204" s="296">
        <f t="shared" ca="1" si="47"/>
        <v>0.39569462811770179</v>
      </c>
      <c r="T204" s="212"/>
      <c r="U204" s="286">
        <f t="shared" ca="1" si="48"/>
        <v>0.39569462811770179</v>
      </c>
      <c r="V204" s="284"/>
      <c r="W204" s="233"/>
      <c r="X204" s="286"/>
      <c r="Y204" s="296">
        <f t="shared" ca="1" si="49"/>
        <v>2.9992344297763087</v>
      </c>
      <c r="AA204" s="286">
        <f t="shared" ca="1" si="50"/>
        <v>2.9992344297763087</v>
      </c>
    </row>
    <row r="205" spans="2:27" x14ac:dyDescent="0.2">
      <c r="B205" s="91" t="s">
        <v>289</v>
      </c>
      <c r="L205" s="79">
        <v>13</v>
      </c>
      <c r="M205" s="211">
        <f t="shared" si="42"/>
        <v>35</v>
      </c>
      <c r="N205" s="212">
        <f t="shared" si="43"/>
        <v>5.0006445975584333</v>
      </c>
      <c r="O205" s="212">
        <f t="shared" si="44"/>
        <v>36.9</v>
      </c>
      <c r="P205" s="212">
        <f t="shared" si="45"/>
        <v>5.2706183417715184</v>
      </c>
      <c r="Q205" s="221">
        <f t="shared" si="46"/>
        <v>5.1356600520533524</v>
      </c>
      <c r="R205" s="226"/>
      <c r="S205" s="296">
        <f t="shared" ca="1" si="47"/>
        <v>0.39535166026457647</v>
      </c>
      <c r="T205" s="212"/>
      <c r="U205" s="286">
        <f t="shared" ca="1" si="48"/>
        <v>0.39535166026457647</v>
      </c>
      <c r="V205" s="284"/>
      <c r="W205" s="233"/>
      <c r="X205" s="286"/>
      <c r="Y205" s="296">
        <f t="shared" ca="1" si="49"/>
        <v>2.9991421446119291</v>
      </c>
      <c r="AA205" s="286">
        <f t="shared" ca="1" si="50"/>
        <v>2.9991421446119291</v>
      </c>
    </row>
    <row r="206" spans="2:27" x14ac:dyDescent="0.2">
      <c r="L206" s="79">
        <v>14</v>
      </c>
      <c r="M206" s="211">
        <f t="shared" si="42"/>
        <v>37</v>
      </c>
      <c r="N206" s="212">
        <f t="shared" si="43"/>
        <v>5.2848210925090147</v>
      </c>
      <c r="O206" s="212">
        <f t="shared" si="44"/>
        <v>38.9</v>
      </c>
      <c r="P206" s="212">
        <f t="shared" si="45"/>
        <v>5.554547675531512</v>
      </c>
      <c r="Q206" s="221">
        <f t="shared" si="46"/>
        <v>5.419714501306931</v>
      </c>
      <c r="R206" s="226"/>
      <c r="S206" s="296">
        <f t="shared" ca="1" si="47"/>
        <v>0.39498971215944378</v>
      </c>
      <c r="T206" s="212"/>
      <c r="U206" s="286">
        <f t="shared" ca="1" si="48"/>
        <v>0.39498971215944378</v>
      </c>
      <c r="V206" s="284"/>
      <c r="W206" s="233"/>
      <c r="X206" s="286"/>
      <c r="Y206" s="296">
        <f t="shared" ca="1" si="49"/>
        <v>2.9990447118796695</v>
      </c>
      <c r="AA206" s="286">
        <f t="shared" ca="1" si="50"/>
        <v>2.9990447118796695</v>
      </c>
    </row>
    <row r="207" spans="2:27" x14ac:dyDescent="0.2">
      <c r="C207" s="8" t="s">
        <v>20</v>
      </c>
      <c r="D207" s="2"/>
      <c r="E207" s="2"/>
      <c r="G207" s="8" t="s">
        <v>20</v>
      </c>
      <c r="H207" s="2"/>
      <c r="I207" s="2"/>
      <c r="K207" s="40" t="s">
        <v>292</v>
      </c>
      <c r="L207" s="79">
        <v>15</v>
      </c>
      <c r="M207" s="211">
        <f t="shared" si="42"/>
        <v>39</v>
      </c>
      <c r="N207" s="212">
        <f t="shared" si="43"/>
        <v>5.5687370779766372</v>
      </c>
      <c r="O207" s="212">
        <f t="shared" si="44"/>
        <v>40.9</v>
      </c>
      <c r="P207" s="212">
        <f t="shared" si="45"/>
        <v>5.838203611148221</v>
      </c>
      <c r="Q207" s="221">
        <f t="shared" si="46"/>
        <v>5.703501987953171</v>
      </c>
      <c r="R207" s="226"/>
      <c r="S207" s="296">
        <f t="shared" ca="1" si="47"/>
        <v>0.39460888963783192</v>
      </c>
      <c r="T207" s="212"/>
      <c r="U207" s="286">
        <f t="shared" ca="1" si="48"/>
        <v>0.39460888963783192</v>
      </c>
      <c r="V207" s="284"/>
      <c r="W207" s="233"/>
      <c r="X207" s="286"/>
      <c r="Y207" s="296">
        <f t="shared" ca="1" si="49"/>
        <v>2.9989421535003999</v>
      </c>
      <c r="AA207" s="286">
        <f t="shared" ca="1" si="50"/>
        <v>2.9989421535003999</v>
      </c>
    </row>
    <row r="208" spans="2:27" x14ac:dyDescent="0.2">
      <c r="C208" s="88" t="s">
        <v>290</v>
      </c>
      <c r="D208" s="37">
        <v>16</v>
      </c>
      <c r="E208" s="2"/>
      <c r="G208" s="88" t="s">
        <v>290</v>
      </c>
      <c r="H208" s="37">
        <v>16</v>
      </c>
      <c r="I208" s="2"/>
    </row>
    <row r="209" spans="2:10" x14ac:dyDescent="0.2">
      <c r="C209" s="88" t="s">
        <v>113</v>
      </c>
      <c r="D209" s="37">
        <v>40.9</v>
      </c>
      <c r="E209" s="84" t="s">
        <v>1623</v>
      </c>
      <c r="G209" s="88" t="s">
        <v>113</v>
      </c>
      <c r="H209" s="37">
        <v>40.9</v>
      </c>
      <c r="I209" s="84" t="s">
        <v>1623</v>
      </c>
    </row>
    <row r="210" spans="2:10" x14ac:dyDescent="0.2">
      <c r="C210" s="88" t="s">
        <v>114</v>
      </c>
      <c r="D210" s="37">
        <v>9</v>
      </c>
      <c r="E210" s="84" t="s">
        <v>1623</v>
      </c>
      <c r="G210" s="88" t="s">
        <v>114</v>
      </c>
      <c r="H210" s="37">
        <v>9</v>
      </c>
      <c r="I210" s="84" t="s">
        <v>1623</v>
      </c>
    </row>
    <row r="211" spans="2:10" x14ac:dyDescent="0.2">
      <c r="C211" s="106" t="s">
        <v>115</v>
      </c>
      <c r="D211" s="37">
        <v>2</v>
      </c>
      <c r="E211" s="83" t="s">
        <v>1623</v>
      </c>
      <c r="G211" s="106" t="s">
        <v>115</v>
      </c>
      <c r="H211" s="37">
        <v>2</v>
      </c>
      <c r="I211" s="83" t="s">
        <v>1623</v>
      </c>
    </row>
    <row r="212" spans="2:10" x14ac:dyDescent="0.2">
      <c r="C212" s="106" t="s">
        <v>109</v>
      </c>
      <c r="D212" s="192">
        <v>0.1</v>
      </c>
      <c r="E212" s="84" t="s">
        <v>1623</v>
      </c>
      <c r="G212" s="106" t="s">
        <v>109</v>
      </c>
      <c r="H212" s="192">
        <v>0.1</v>
      </c>
      <c r="I212" s="84" t="s">
        <v>1623</v>
      </c>
    </row>
    <row r="213" spans="2:10" x14ac:dyDescent="0.2">
      <c r="C213" s="106" t="s">
        <v>110</v>
      </c>
      <c r="D213" s="81">
        <f>D211-D212</f>
        <v>1.9</v>
      </c>
      <c r="E213" s="87" t="s">
        <v>1623</v>
      </c>
      <c r="G213" s="106" t="s">
        <v>110</v>
      </c>
      <c r="H213" s="81">
        <f>H211-H212</f>
        <v>1.9</v>
      </c>
      <c r="I213" s="87" t="s">
        <v>1623</v>
      </c>
    </row>
    <row r="214" spans="2:10" x14ac:dyDescent="0.2">
      <c r="C214" s="106" t="s">
        <v>293</v>
      </c>
      <c r="D214" s="189">
        <v>1000000000</v>
      </c>
      <c r="E214" s="2" t="s">
        <v>17</v>
      </c>
      <c r="G214" s="106" t="s">
        <v>293</v>
      </c>
      <c r="H214" s="189">
        <v>1000000000</v>
      </c>
      <c r="I214" s="2" t="s">
        <v>17</v>
      </c>
    </row>
    <row r="215" spans="2:10" x14ac:dyDescent="0.2">
      <c r="C215" s="88" t="s">
        <v>18</v>
      </c>
      <c r="D215" s="38">
        <f>DEGREES(ATAN(($D$210)/$D$202))</f>
        <v>1.2889375601868953</v>
      </c>
      <c r="E215" s="2" t="s">
        <v>288</v>
      </c>
      <c r="G215" s="88" t="s">
        <v>18</v>
      </c>
      <c r="H215" s="38" t="e">
        <f>DEGREES(ATAN(($G$312)/$C$305))</f>
        <v>#DIV/0!</v>
      </c>
      <c r="I215" s="2" t="s">
        <v>288</v>
      </c>
    </row>
    <row r="216" spans="2:10" x14ac:dyDescent="0.2">
      <c r="C216" s="88" t="s">
        <v>19</v>
      </c>
      <c r="D216" s="38">
        <f>DEGREES(ATAN(($D$209)/$D$202))</f>
        <v>5.838203611148221</v>
      </c>
      <c r="E216" s="2" t="s">
        <v>288</v>
      </c>
      <c r="G216" s="88" t="s">
        <v>19</v>
      </c>
      <c r="H216" s="38" t="e">
        <f>DEGREES(ATAN(($G$311)/$C$305))</f>
        <v>#DIV/0!</v>
      </c>
      <c r="I216" s="2" t="s">
        <v>288</v>
      </c>
    </row>
    <row r="217" spans="2:10" x14ac:dyDescent="0.2">
      <c r="B217" s="13"/>
      <c r="C217" s="187" t="s">
        <v>28</v>
      </c>
      <c r="D217" s="294">
        <f>((SUM(Z192:Z207))/(4*PI()))*100</f>
        <v>0</v>
      </c>
      <c r="E217" s="87" t="s">
        <v>520</v>
      </c>
      <c r="F217" s="19"/>
      <c r="G217" s="187" t="s">
        <v>28</v>
      </c>
      <c r="H217" s="49">
        <f>((SUM(AX192:AX207))/(4*PI()))*100</f>
        <v>0</v>
      </c>
      <c r="I217" s="87" t="s">
        <v>520</v>
      </c>
      <c r="J217" s="87" t="s">
        <v>520</v>
      </c>
    </row>
  </sheetData>
  <phoneticPr fontId="6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800"/>
  <sheetViews>
    <sheetView workbookViewId="0">
      <selection activeCell="G9" sqref="G9"/>
    </sheetView>
  </sheetViews>
  <sheetFormatPr defaultColWidth="8.85546875" defaultRowHeight="12.75" x14ac:dyDescent="0.2"/>
  <cols>
    <col min="1" max="1" width="21.42578125" bestFit="1" customWidth="1"/>
    <col min="2" max="2" width="12" customWidth="1"/>
    <col min="6" max="6" width="11.28515625" customWidth="1"/>
    <col min="9" max="9" width="9.85546875" customWidth="1"/>
    <col min="10" max="10" width="12.42578125" customWidth="1"/>
    <col min="14" max="14" width="11.85546875" customWidth="1"/>
    <col min="15" max="15" width="32.85546875" customWidth="1"/>
    <col min="16" max="16" width="11.85546875" bestFit="1" customWidth="1"/>
    <col min="17" max="17" width="27.42578125" bestFit="1" customWidth="1"/>
    <col min="18" max="18" width="32" bestFit="1" customWidth="1"/>
    <col min="19" max="19" width="21.140625" bestFit="1" customWidth="1"/>
    <col min="20" max="20" width="12.42578125" customWidth="1"/>
  </cols>
  <sheetData>
    <row r="1" spans="1:20" x14ac:dyDescent="0.2">
      <c r="A1" s="71" t="s">
        <v>1627</v>
      </c>
      <c r="B1" s="62"/>
      <c r="C1" s="62"/>
      <c r="D1" s="62"/>
      <c r="E1" s="122"/>
      <c r="F1" s="62"/>
      <c r="G1" s="62"/>
      <c r="H1" s="63"/>
      <c r="I1" s="2"/>
      <c r="J1" s="2"/>
      <c r="K1" s="2"/>
      <c r="L1" s="2"/>
      <c r="M1" s="2"/>
      <c r="N1" s="2"/>
      <c r="P1" s="31" t="s">
        <v>1738</v>
      </c>
      <c r="Q1" s="32"/>
    </row>
    <row r="2" spans="1:20" ht="15.75" x14ac:dyDescent="0.3">
      <c r="A2" s="64" t="s">
        <v>1628</v>
      </c>
      <c r="B2" s="53" t="s">
        <v>1629</v>
      </c>
      <c r="C2" s="2"/>
      <c r="D2" s="2"/>
      <c r="E2" s="13"/>
      <c r="F2" s="2"/>
      <c r="G2" s="2"/>
      <c r="H2" s="65"/>
      <c r="I2" s="2"/>
      <c r="J2" s="2" t="s">
        <v>34</v>
      </c>
      <c r="K2" s="2">
        <v>0.8</v>
      </c>
      <c r="L2" s="2"/>
      <c r="M2" s="2"/>
      <c r="N2" s="2"/>
      <c r="P2" s="33" t="s">
        <v>270</v>
      </c>
      <c r="Q2" s="34"/>
      <c r="R2" s="10" t="s">
        <v>1630</v>
      </c>
      <c r="S2" s="10" t="s">
        <v>1631</v>
      </c>
    </row>
    <row r="3" spans="1:20" x14ac:dyDescent="0.2">
      <c r="A3" s="119"/>
      <c r="B3" s="2"/>
      <c r="C3" s="2"/>
      <c r="D3" s="2"/>
      <c r="E3" s="13"/>
      <c r="F3" s="3" t="s">
        <v>1632</v>
      </c>
      <c r="G3" s="2"/>
      <c r="H3" s="65"/>
      <c r="I3" s="2"/>
      <c r="J3" s="2" t="s">
        <v>35</v>
      </c>
      <c r="K3" s="191">
        <f>0.122*(B9*B9*C9*C9*(B8*C8)/(B8+C8)*K2*K2)^(1/3)</f>
        <v>0.25339371217033385</v>
      </c>
      <c r="L3" t="s">
        <v>36</v>
      </c>
      <c r="N3" s="2"/>
      <c r="P3" s="33"/>
      <c r="Q3" s="34"/>
      <c r="R3" s="10" t="s">
        <v>1633</v>
      </c>
      <c r="S3" s="10" t="s">
        <v>1634</v>
      </c>
    </row>
    <row r="4" spans="1:20" ht="15.75" x14ac:dyDescent="0.3">
      <c r="A4" s="119" t="s">
        <v>539</v>
      </c>
      <c r="B4" s="105">
        <f>Reaction!C16</f>
        <v>15</v>
      </c>
      <c r="C4" s="2"/>
      <c r="D4" s="2"/>
      <c r="E4" s="13"/>
      <c r="F4" s="4" t="s">
        <v>1733</v>
      </c>
      <c r="G4" s="39">
        <f>((0.000086171)*B4*1000000)/1000</f>
        <v>1.292565</v>
      </c>
      <c r="H4" s="65"/>
      <c r="I4" s="2"/>
      <c r="J4" s="2" t="s">
        <v>37</v>
      </c>
      <c r="K4" s="391">
        <f>0.2368*(B9*B9*C9*C9*(B8*C8)/(B8+C8)*K2^5)^(1/6)</f>
        <v>0.30524228302948248</v>
      </c>
      <c r="L4" t="s">
        <v>36</v>
      </c>
      <c r="M4" t="s">
        <v>38</v>
      </c>
      <c r="N4" s="2"/>
      <c r="P4" s="35" t="s">
        <v>271</v>
      </c>
      <c r="Q4" s="36">
        <f>(0.9781*((B9)^2)*((C9)^2)*B11)</f>
        <v>13.6934</v>
      </c>
      <c r="R4" s="127">
        <v>250000000000</v>
      </c>
      <c r="S4" s="127">
        <v>2.5E+23</v>
      </c>
    </row>
    <row r="5" spans="1:20" x14ac:dyDescent="0.2">
      <c r="A5" s="66"/>
      <c r="B5" s="2"/>
      <c r="C5" s="2"/>
      <c r="D5" s="2"/>
      <c r="E5" s="13"/>
      <c r="F5" s="2"/>
      <c r="G5" s="2"/>
      <c r="H5" s="65"/>
      <c r="I5" s="2"/>
      <c r="J5" s="87" t="s">
        <v>39</v>
      </c>
      <c r="K5" s="391">
        <f>K4/2</f>
        <v>0.15262114151474124</v>
      </c>
      <c r="P5" s="92" t="s">
        <v>1734</v>
      </c>
      <c r="Q5" s="5" t="s">
        <v>1743</v>
      </c>
      <c r="R5" s="5" t="s">
        <v>1735</v>
      </c>
      <c r="S5" s="5" t="s">
        <v>1736</v>
      </c>
    </row>
    <row r="6" spans="1:20" x14ac:dyDescent="0.2">
      <c r="A6" s="66"/>
      <c r="B6" s="18" t="s">
        <v>399</v>
      </c>
      <c r="C6" s="18" t="s">
        <v>1713</v>
      </c>
      <c r="D6" s="2"/>
      <c r="E6" s="13"/>
      <c r="F6" s="3" t="s">
        <v>1737</v>
      </c>
      <c r="G6" s="2"/>
      <c r="H6" s="65"/>
      <c r="I6" s="2"/>
      <c r="J6" s="2"/>
      <c r="K6" s="2"/>
      <c r="P6" s="93">
        <v>0</v>
      </c>
      <c r="Q6" s="6">
        <f t="shared" ref="Q6:Q69" si="0">2*SQRT(P6/(PI()*($G$4)^3))*EXP((-P6)/(2*$G$4))</f>
        <v>0</v>
      </c>
      <c r="R6" s="6" t="e">
        <f t="shared" ref="R6:R69" si="1">(EXP(-(31.29*$B$9*$C$9*(SQRT($B$11/P6)))))*$R$4</f>
        <v>#DIV/0!</v>
      </c>
      <c r="S6" s="6" t="e">
        <f t="shared" ref="S6:S69" si="2">$S$4*(2*SQRT(P6/(PI()*($G$4)^3))*EXP((-(P6)/($G$4))-SQRT(($Q$4*1000)/P6)))</f>
        <v>#DIV/0!</v>
      </c>
      <c r="T6" s="7"/>
    </row>
    <row r="7" spans="1:20" ht="14.25" x14ac:dyDescent="0.25">
      <c r="A7" s="72" t="s">
        <v>1749</v>
      </c>
      <c r="B7" s="121" t="str">
        <f>Reaction!C7</f>
        <v>Be</v>
      </c>
      <c r="C7" s="21" t="str">
        <f>Reaction!C8</f>
        <v>H</v>
      </c>
      <c r="D7" s="2"/>
      <c r="E7" s="13"/>
      <c r="F7" s="4" t="s">
        <v>1740</v>
      </c>
      <c r="G7" s="39">
        <f>1.22*(((B9)^2)*((C9)^2)*B11*((B4)^2))^(1/3)</f>
        <v>17.883945948314494</v>
      </c>
      <c r="H7" s="65"/>
      <c r="I7" s="2"/>
      <c r="J7" s="87" t="s">
        <v>40</v>
      </c>
      <c r="K7" s="191">
        <f>K3-K5</f>
        <v>0.10077257065559261</v>
      </c>
      <c r="P7" s="93">
        <v>5</v>
      </c>
      <c r="Q7" s="6">
        <f t="shared" si="0"/>
        <v>0.24818510024802745</v>
      </c>
      <c r="R7" s="6">
        <f t="shared" si="1"/>
        <v>4.5610981195915779E-12</v>
      </c>
      <c r="S7" s="6">
        <f t="shared" si="2"/>
        <v>0.16790273600195116</v>
      </c>
      <c r="T7" s="7"/>
    </row>
    <row r="8" spans="1:20" x14ac:dyDescent="0.2">
      <c r="A8" s="72" t="s">
        <v>1739</v>
      </c>
      <c r="B8" s="21">
        <f>Reaction!D7</f>
        <v>7</v>
      </c>
      <c r="C8" s="21">
        <f>Reaction!D8</f>
        <v>1</v>
      </c>
      <c r="D8" s="2"/>
      <c r="E8" s="13"/>
      <c r="F8" s="2"/>
      <c r="G8" s="2"/>
      <c r="H8" s="65"/>
      <c r="I8" s="2"/>
      <c r="J8" s="87" t="s">
        <v>41</v>
      </c>
      <c r="K8" s="191">
        <f>K3+K5</f>
        <v>0.40601485368507506</v>
      </c>
      <c r="P8" s="93">
        <v>10</v>
      </c>
      <c r="Q8" s="6">
        <f t="shared" si="0"/>
        <v>5.0734681060147814E-2</v>
      </c>
      <c r="R8" s="6">
        <f t="shared" si="1"/>
        <v>2.0851169340210763E-5</v>
      </c>
      <c r="S8" s="6">
        <f t="shared" si="2"/>
        <v>22510.352339169833</v>
      </c>
      <c r="T8" s="7"/>
    </row>
    <row r="9" spans="1:20" ht="14.25" x14ac:dyDescent="0.25">
      <c r="A9" s="72" t="s">
        <v>1741</v>
      </c>
      <c r="B9" s="21">
        <f>Reaction!F7</f>
        <v>4</v>
      </c>
      <c r="C9" s="21">
        <f>Reaction!F8</f>
        <v>1</v>
      </c>
      <c r="D9" s="2"/>
      <c r="E9" s="13"/>
      <c r="F9" s="4" t="s">
        <v>1742</v>
      </c>
      <c r="G9" s="39">
        <f>0.749*(((B9)^2)*((C9)^2)*B11*((B4)^5))^(1/6)</f>
        <v>11.106550770229477</v>
      </c>
      <c r="H9" s="65"/>
      <c r="I9" s="2"/>
      <c r="J9" s="2"/>
      <c r="K9" s="2"/>
      <c r="O9" s="9"/>
      <c r="P9" s="93">
        <v>15</v>
      </c>
      <c r="Q9" s="6">
        <f t="shared" si="0"/>
        <v>8.981829271955559E-3</v>
      </c>
      <c r="R9" s="6">
        <f t="shared" si="1"/>
        <v>1.860574011122109E-2</v>
      </c>
      <c r="S9" s="6">
        <f t="shared" si="2"/>
        <v>512294.68759588181</v>
      </c>
      <c r="T9" s="7"/>
    </row>
    <row r="10" spans="1:20" x14ac:dyDescent="0.2">
      <c r="A10" s="66"/>
      <c r="B10" s="2"/>
      <c r="C10" s="2"/>
      <c r="D10" s="2"/>
      <c r="E10" s="13"/>
      <c r="F10" s="2"/>
      <c r="G10" s="2"/>
      <c r="H10" s="65"/>
      <c r="I10" s="2"/>
      <c r="J10" s="2"/>
      <c r="K10" s="2"/>
      <c r="L10" s="2"/>
      <c r="M10" s="2"/>
      <c r="N10" s="2"/>
      <c r="P10" s="93">
        <v>20</v>
      </c>
      <c r="Q10" s="6">
        <f t="shared" si="0"/>
        <v>1.4991614136654315E-3</v>
      </c>
      <c r="R10" s="6">
        <f t="shared" si="1"/>
        <v>1.0678363778678335</v>
      </c>
      <c r="S10" s="6">
        <f t="shared" si="2"/>
        <v>707960.85387259407</v>
      </c>
      <c r="T10" s="7"/>
    </row>
    <row r="11" spans="1:20" x14ac:dyDescent="0.2">
      <c r="A11" s="72" t="s">
        <v>400</v>
      </c>
      <c r="B11" s="55">
        <f>((B8*C8)/(B8+C8))</f>
        <v>0.875</v>
      </c>
      <c r="C11" s="48"/>
      <c r="D11" s="2"/>
      <c r="E11" s="13"/>
      <c r="F11" s="2"/>
      <c r="G11" s="2"/>
      <c r="H11" s="65"/>
      <c r="I11" s="2"/>
      <c r="J11" s="2"/>
      <c r="K11" s="2"/>
      <c r="L11" s="2"/>
      <c r="M11" s="2"/>
      <c r="N11" s="2"/>
      <c r="P11" s="93">
        <v>25</v>
      </c>
      <c r="Q11" s="6">
        <f t="shared" si="0"/>
        <v>2.4228003829373894E-4</v>
      </c>
      <c r="R11" s="6">
        <f t="shared" si="1"/>
        <v>16.935886436790927</v>
      </c>
      <c r="S11" s="6">
        <f t="shared" si="2"/>
        <v>261941.80188777248</v>
      </c>
      <c r="T11" s="7"/>
    </row>
    <row r="12" spans="1:20" ht="13.5" thickBot="1" x14ac:dyDescent="0.25">
      <c r="A12" s="69"/>
      <c r="B12" s="60"/>
      <c r="C12" s="60"/>
      <c r="D12" s="60"/>
      <c r="E12" s="123"/>
      <c r="F12" s="60"/>
      <c r="G12" s="60"/>
      <c r="H12" s="70"/>
      <c r="I12" s="2"/>
      <c r="J12" s="2"/>
      <c r="K12" s="2"/>
      <c r="L12" s="2"/>
      <c r="M12" s="2"/>
      <c r="N12" s="2"/>
      <c r="O12" s="9"/>
      <c r="P12" s="93">
        <v>30</v>
      </c>
      <c r="Q12" s="6">
        <f t="shared" si="0"/>
        <v>3.8363876852068031E-5</v>
      </c>
      <c r="R12" s="6">
        <f t="shared" si="1"/>
        <v>130.26716500489223</v>
      </c>
      <c r="S12" s="6">
        <f t="shared" si="2"/>
        <v>46069.614248639395</v>
      </c>
      <c r="T12" s="7"/>
    </row>
    <row r="13" spans="1:20" x14ac:dyDescent="0.2">
      <c r="P13" s="93">
        <v>35</v>
      </c>
      <c r="Q13" s="6">
        <f t="shared" si="0"/>
        <v>5.9897695629535238E-6</v>
      </c>
      <c r="R13" s="6">
        <f t="shared" si="1"/>
        <v>635.99656187903622</v>
      </c>
      <c r="S13" s="6">
        <f t="shared" si="2"/>
        <v>5072.2086346331907</v>
      </c>
      <c r="T13" s="7"/>
    </row>
    <row r="14" spans="1:20" x14ac:dyDescent="0.2">
      <c r="G14" s="1" t="s">
        <v>1744</v>
      </c>
      <c r="P14" s="93">
        <v>40</v>
      </c>
      <c r="Q14" s="6">
        <f t="shared" si="0"/>
        <v>9.2559355027422213E-7</v>
      </c>
      <c r="R14" s="6">
        <f t="shared" si="1"/>
        <v>2283.154032266043</v>
      </c>
      <c r="S14" s="6">
        <f t="shared" si="2"/>
        <v>406.47011858845178</v>
      </c>
      <c r="T14" s="7"/>
    </row>
    <row r="15" spans="1:20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93">
        <v>45</v>
      </c>
      <c r="Q15" s="6">
        <f t="shared" si="0"/>
        <v>1.4190928519952253E-7</v>
      </c>
      <c r="R15" s="6">
        <f t="shared" si="1"/>
        <v>6581.3725797234738</v>
      </c>
      <c r="S15" s="6">
        <f t="shared" si="2"/>
        <v>25.95303672524728</v>
      </c>
      <c r="T15" s="7"/>
    </row>
    <row r="16" spans="1:20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93">
        <v>50</v>
      </c>
      <c r="Q16" s="6">
        <f t="shared" si="0"/>
        <v>2.1622394628924673E-8</v>
      </c>
      <c r="R16" s="6">
        <f t="shared" si="1"/>
        <v>16116.760755285704</v>
      </c>
      <c r="S16" s="6">
        <f t="shared" si="2"/>
        <v>1.3991527036702713</v>
      </c>
      <c r="T16" s="7"/>
    </row>
    <row r="17" spans="1:20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93">
        <v>55</v>
      </c>
      <c r="Q17" s="6">
        <f t="shared" si="0"/>
        <v>3.2780408666260473E-9</v>
      </c>
      <c r="R17" s="6">
        <f t="shared" si="1"/>
        <v>34826.718998294811</v>
      </c>
      <c r="S17" s="6">
        <f t="shared" si="2"/>
        <v>6.6230788237343352E-2</v>
      </c>
      <c r="T17" s="7"/>
    </row>
    <row r="18" spans="1:20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93">
        <v>60</v>
      </c>
      <c r="Q18" s="6">
        <f t="shared" si="0"/>
        <v>4.9490617837531496E-10</v>
      </c>
      <c r="R18" s="6">
        <f t="shared" si="1"/>
        <v>68201.429807631401</v>
      </c>
      <c r="S18" s="6">
        <f t="shared" si="2"/>
        <v>2.8295660745643681E-3</v>
      </c>
      <c r="T18" s="7"/>
    </row>
    <row r="19" spans="1:20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93">
        <v>65</v>
      </c>
      <c r="Q19" s="6">
        <f t="shared" si="0"/>
        <v>7.445916476220435E-11</v>
      </c>
      <c r="R19" s="6">
        <f t="shared" si="1"/>
        <v>123399.10748021289</v>
      </c>
      <c r="S19" s="6">
        <f t="shared" si="2"/>
        <v>1.1130663991074605E-4</v>
      </c>
      <c r="T19" s="7"/>
    </row>
    <row r="20" spans="1:20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93">
        <v>70</v>
      </c>
      <c r="Q20" s="6">
        <f t="shared" si="0"/>
        <v>1.1169268561162728E-11</v>
      </c>
      <c r="R20" s="6">
        <f t="shared" si="1"/>
        <v>209276.86173682878</v>
      </c>
      <c r="S20" s="6">
        <f t="shared" si="2"/>
        <v>4.0920232608086175E-6</v>
      </c>
      <c r="T20" s="7"/>
    </row>
    <row r="21" spans="1:20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93">
        <v>75</v>
      </c>
      <c r="Q21" s="6">
        <f t="shared" si="0"/>
        <v>1.6711697921468579E-12</v>
      </c>
      <c r="R21" s="6">
        <f t="shared" si="1"/>
        <v>336348.01368290454</v>
      </c>
      <c r="S21" s="6">
        <f t="shared" si="2"/>
        <v>1.4220482680319637E-7</v>
      </c>
      <c r="T21" s="7"/>
    </row>
    <row r="22" spans="1:20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93">
        <v>80</v>
      </c>
      <c r="Q22" s="6">
        <f t="shared" si="0"/>
        <v>2.4948771772125679E-13</v>
      </c>
      <c r="R22" s="6">
        <f t="shared" si="1"/>
        <v>516680.84391329857</v>
      </c>
      <c r="S22" s="6">
        <f t="shared" si="2"/>
        <v>4.7130152068663316E-9</v>
      </c>
      <c r="T22" s="7"/>
    </row>
    <row r="23" spans="1:20" x14ac:dyDescent="0.2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93">
        <v>85</v>
      </c>
      <c r="Q23" s="6">
        <f t="shared" si="0"/>
        <v>3.7173022204326662E-14</v>
      </c>
      <c r="R23" s="6">
        <f t="shared" si="1"/>
        <v>763754.56070484093</v>
      </c>
      <c r="S23" s="6">
        <f t="shared" si="2"/>
        <v>1.5001671136182711E-10</v>
      </c>
      <c r="T23" s="7"/>
    </row>
    <row r="24" spans="1:20" x14ac:dyDescent="0.2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93">
        <v>90</v>
      </c>
      <c r="Q24" s="6">
        <f t="shared" si="0"/>
        <v>5.5290929957913469E-15</v>
      </c>
      <c r="R24" s="6">
        <f t="shared" si="1"/>
        <v>1092287.1157762138</v>
      </c>
      <c r="S24" s="6">
        <f t="shared" si="2"/>
        <v>4.6119688689589271E-12</v>
      </c>
      <c r="T24" s="7"/>
    </row>
    <row r="25" spans="1:20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93">
        <v>95</v>
      </c>
      <c r="Q25" s="6">
        <f t="shared" si="0"/>
        <v>8.2112386402991744E-16</v>
      </c>
      <c r="R25" s="6">
        <f t="shared" si="1"/>
        <v>1518047.3710441426</v>
      </c>
      <c r="S25" s="6">
        <f t="shared" si="2"/>
        <v>1.3757309005767919E-13</v>
      </c>
      <c r="T25" s="7"/>
    </row>
    <row r="26" spans="1:20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93">
        <v>100</v>
      </c>
      <c r="Q26" s="6">
        <f t="shared" si="0"/>
        <v>1.2177583131081601E-16</v>
      </c>
      <c r="R26" s="6">
        <f t="shared" si="1"/>
        <v>2057661.6848252122</v>
      </c>
      <c r="S26" s="6">
        <f t="shared" si="2"/>
        <v>3.9969042876599103E-15</v>
      </c>
      <c r="T26" s="7"/>
    </row>
    <row r="27" spans="1:20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93">
        <v>105</v>
      </c>
      <c r="Q27" s="6">
        <f t="shared" si="0"/>
        <v>1.8037235853128166E-17</v>
      </c>
      <c r="R27" s="6">
        <f t="shared" si="1"/>
        <v>2728422.6198617462</v>
      </c>
      <c r="S27" s="6">
        <f t="shared" si="2"/>
        <v>1.1345514221726252E-16</v>
      </c>
      <c r="T27" s="7"/>
    </row>
    <row r="28" spans="1:20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93">
        <v>110</v>
      </c>
      <c r="Q28" s="6">
        <f t="shared" si="0"/>
        <v>2.668614913446511E-18</v>
      </c>
      <c r="R28" s="6">
        <f t="shared" si="1"/>
        <v>3548105.3712705183</v>
      </c>
      <c r="S28" s="6">
        <f t="shared" si="2"/>
        <v>3.1548813002828376E-18</v>
      </c>
      <c r="T28" s="7"/>
    </row>
    <row r="29" spans="1:20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93">
        <v>115</v>
      </c>
      <c r="Q29" s="6">
        <f t="shared" si="0"/>
        <v>3.9441435943807906E-19</v>
      </c>
      <c r="R29" s="6">
        <f t="shared" si="1"/>
        <v>4534795.7454942241</v>
      </c>
      <c r="S29" s="6">
        <f t="shared" si="2"/>
        <v>8.613364122498031E-20</v>
      </c>
      <c r="T29" s="7"/>
    </row>
    <row r="30" spans="1:20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93">
        <v>120</v>
      </c>
      <c r="Q30" s="6">
        <f t="shared" si="0"/>
        <v>5.8238295049341098E-20</v>
      </c>
      <c r="R30" s="6">
        <f t="shared" si="1"/>
        <v>5706732.0991284549</v>
      </c>
      <c r="S30" s="6">
        <f t="shared" si="2"/>
        <v>2.3132552881102359E-21</v>
      </c>
      <c r="T30" s="7"/>
    </row>
    <row r="31" spans="1:20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93">
        <v>125</v>
      </c>
      <c r="Q31" s="6">
        <f t="shared" si="0"/>
        <v>8.5918614954732424E-21</v>
      </c>
      <c r="R31" s="6">
        <f t="shared" si="1"/>
        <v>7082162.5412309542</v>
      </c>
      <c r="S31" s="6">
        <f t="shared" si="2"/>
        <v>6.1213700045034144E-23</v>
      </c>
      <c r="T31" s="7"/>
    </row>
    <row r="32" spans="1:20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93">
        <v>130</v>
      </c>
      <c r="Q32" s="6">
        <f t="shared" si="0"/>
        <v>1.2665378371120436E-21</v>
      </c>
      <c r="R32" s="6">
        <f t="shared" si="1"/>
        <v>8679217.8711196948</v>
      </c>
      <c r="S32" s="6">
        <f t="shared" si="2"/>
        <v>1.5983245538736235E-24</v>
      </c>
      <c r="T32" s="7"/>
    </row>
    <row r="33" spans="1:20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93">
        <v>135</v>
      </c>
      <c r="Q33" s="6">
        <f t="shared" si="0"/>
        <v>1.8656389848586623E-22</v>
      </c>
      <c r="R33" s="6">
        <f t="shared" si="1"/>
        <v>10515800.118605772</v>
      </c>
      <c r="S33" s="6">
        <f t="shared" si="2"/>
        <v>4.1229618922000446E-26</v>
      </c>
      <c r="T33" s="7"/>
    </row>
    <row r="34" spans="1:20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93">
        <v>140</v>
      </c>
      <c r="Q34" s="6">
        <f t="shared" si="0"/>
        <v>2.7462430665885758E-23</v>
      </c>
      <c r="R34" s="6">
        <f t="shared" si="1"/>
        <v>12609486.130281402</v>
      </c>
      <c r="S34" s="6">
        <f t="shared" si="2"/>
        <v>1.0518435513337564E-27</v>
      </c>
      <c r="T34" s="7"/>
    </row>
    <row r="35" spans="1:20" x14ac:dyDescent="0.2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93">
        <v>145</v>
      </c>
      <c r="Q35" s="6">
        <f t="shared" si="0"/>
        <v>4.0399239366675539E-24</v>
      </c>
      <c r="R35" s="6">
        <f t="shared" si="1"/>
        <v>14977445.364261186</v>
      </c>
      <c r="S35" s="6">
        <f t="shared" si="2"/>
        <v>2.6564591556014797E-29</v>
      </c>
      <c r="T35" s="7"/>
    </row>
    <row r="36" spans="1:20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93">
        <v>150</v>
      </c>
      <c r="Q36" s="6">
        <f t="shared" si="0"/>
        <v>5.9394885345848455E-25</v>
      </c>
      <c r="R36" s="6">
        <f t="shared" si="1"/>
        <v>17636370.883174185</v>
      </c>
      <c r="S36" s="6">
        <f t="shared" si="2"/>
        <v>6.6470624890853103E-31</v>
      </c>
      <c r="T36" s="7"/>
    </row>
    <row r="37" spans="1:20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93">
        <v>155</v>
      </c>
      <c r="Q37" s="6">
        <f t="shared" si="0"/>
        <v>8.727372231167752E-26</v>
      </c>
      <c r="R37" s="6">
        <f t="shared" si="1"/>
        <v>20602422.443824019</v>
      </c>
      <c r="S37" s="6">
        <f t="shared" si="2"/>
        <v>1.6491276078856413E-32</v>
      </c>
      <c r="T37" s="7"/>
    </row>
    <row r="38" spans="1:20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93">
        <v>160</v>
      </c>
      <c r="Q38" s="6">
        <f t="shared" si="0"/>
        <v>1.28171619925804E-26</v>
      </c>
      <c r="R38" s="6">
        <f t="shared" si="1"/>
        <v>23891180.549870502</v>
      </c>
      <c r="S38" s="6">
        <f t="shared" si="2"/>
        <v>4.0594249261528774E-34</v>
      </c>
      <c r="T38" s="7"/>
    </row>
    <row r="39" spans="1:20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93">
        <v>165</v>
      </c>
      <c r="Q39" s="6">
        <f t="shared" si="0"/>
        <v>1.8814300906714845E-27</v>
      </c>
      <c r="R39" s="6">
        <f t="shared" si="1"/>
        <v>27517610.343983609</v>
      </c>
      <c r="S39" s="6">
        <f t="shared" si="2"/>
        <v>9.9201408700495472E-36</v>
      </c>
      <c r="T39" s="7"/>
    </row>
    <row r="40" spans="1:20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93">
        <v>170</v>
      </c>
      <c r="Q40" s="6">
        <f t="shared" si="0"/>
        <v>2.7604812765007049E-28</v>
      </c>
      <c r="R40" s="6">
        <f t="shared" si="1"/>
        <v>31496034.254951231</v>
      </c>
      <c r="S40" s="6">
        <f t="shared" si="2"/>
        <v>2.4079367059671301E-37</v>
      </c>
      <c r="T40" s="7"/>
    </row>
    <row r="41" spans="1:20" x14ac:dyDescent="0.2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93">
        <v>175</v>
      </c>
      <c r="Q41" s="6">
        <f t="shared" si="0"/>
        <v>4.0484949420750681E-29</v>
      </c>
      <c r="R41" s="6">
        <f t="shared" si="1"/>
        <v>35840112.373156808</v>
      </c>
      <c r="S41" s="6">
        <f t="shared" si="2"/>
        <v>5.8083656407167331E-39</v>
      </c>
      <c r="T41" s="7"/>
    </row>
    <row r="42" spans="1:20" x14ac:dyDescent="0.2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93">
        <v>180</v>
      </c>
      <c r="Q42" s="6">
        <f t="shared" si="0"/>
        <v>5.9350592763121429E-30</v>
      </c>
      <c r="R42" s="6">
        <f t="shared" si="1"/>
        <v>40562829.597192414</v>
      </c>
      <c r="S42" s="6">
        <f t="shared" si="2"/>
        <v>1.3929388275294765E-40</v>
      </c>
      <c r="T42" s="7"/>
    </row>
    <row r="43" spans="1:20" x14ac:dyDescent="0.2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93">
        <v>185</v>
      </c>
      <c r="Q43" s="6">
        <f t="shared" si="0"/>
        <v>8.6973891854100943E-31</v>
      </c>
      <c r="R43" s="6">
        <f t="shared" si="1"/>
        <v>45676488.669642515</v>
      </c>
      <c r="S43" s="6">
        <f t="shared" si="2"/>
        <v>3.3223791469160256E-42</v>
      </c>
      <c r="T43" s="7"/>
    </row>
    <row r="44" spans="1:20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93">
        <v>190</v>
      </c>
      <c r="Q44" s="6">
        <f t="shared" si="0"/>
        <v>1.2740722947886153E-31</v>
      </c>
      <c r="R44" s="6">
        <f t="shared" si="1"/>
        <v>51192708.29730498</v>
      </c>
      <c r="S44" s="6">
        <f t="shared" si="2"/>
        <v>7.8842357498352391E-44</v>
      </c>
      <c r="T44" s="7"/>
    </row>
    <row r="45" spans="1:20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93">
        <v>195</v>
      </c>
      <c r="Q45" s="6">
        <f t="shared" si="0"/>
        <v>1.8657300595611414E-32</v>
      </c>
      <c r="R45" s="6">
        <f t="shared" si="1"/>
        <v>57122425.627545245</v>
      </c>
      <c r="S45" s="6">
        <f t="shared" si="2"/>
        <v>1.8621028454067775E-45</v>
      </c>
      <c r="T45" s="7"/>
    </row>
    <row r="46" spans="1:20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93">
        <v>200</v>
      </c>
      <c r="Q46" s="6">
        <f t="shared" si="0"/>
        <v>2.7312454600618257E-33</v>
      </c>
      <c r="R46" s="6">
        <f t="shared" si="1"/>
        <v>63475902.426207587</v>
      </c>
      <c r="S46" s="6">
        <f t="shared" si="2"/>
        <v>4.3783402187384981E-47</v>
      </c>
      <c r="T46" s="7"/>
    </row>
    <row r="47" spans="1:20" x14ac:dyDescent="0.2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93">
        <v>205</v>
      </c>
      <c r="Q47" s="6">
        <f t="shared" si="0"/>
        <v>3.9970252951300339E-34</v>
      </c>
      <c r="R47" s="6">
        <f t="shared" si="1"/>
        <v>70262734.3723398</v>
      </c>
      <c r="S47" s="6">
        <f t="shared" si="2"/>
        <v>1.0251663394451489E-48</v>
      </c>
      <c r="T47" s="7"/>
    </row>
    <row r="48" spans="1:20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93">
        <v>210</v>
      </c>
      <c r="Q48" s="6">
        <f t="shared" si="0"/>
        <v>5.8476833152960094E-35</v>
      </c>
      <c r="R48" s="6">
        <f t="shared" si="1"/>
        <v>77491862.950173259</v>
      </c>
      <c r="S48" s="6">
        <f t="shared" si="2"/>
        <v>2.3909232052464019E-50</v>
      </c>
      <c r="T48" s="7"/>
    </row>
    <row r="49" spans="1:20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93">
        <v>215</v>
      </c>
      <c r="Q49" s="6">
        <f t="shared" si="0"/>
        <v>8.5527870563764428E-36</v>
      </c>
      <c r="R49" s="6">
        <f t="shared" si="1"/>
        <v>85171589.479002491</v>
      </c>
      <c r="S49" s="6">
        <f t="shared" si="2"/>
        <v>5.5554867051784447E-52</v>
      </c>
      <c r="T49" s="7"/>
    </row>
    <row r="50" spans="1:20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93">
        <v>220</v>
      </c>
      <c r="Q50" s="6">
        <f t="shared" si="0"/>
        <v>1.2505872634631859E-36</v>
      </c>
      <c r="R50" s="6">
        <f t="shared" si="1"/>
        <v>93309590.876681611</v>
      </c>
      <c r="S50" s="6">
        <f t="shared" si="2"/>
        <v>1.2863368217089397E-53</v>
      </c>
      <c r="T50" s="7"/>
    </row>
    <row r="51" spans="1:20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93">
        <v>225</v>
      </c>
      <c r="Q51" s="6">
        <f t="shared" si="0"/>
        <v>1.8281345292152244E-37</v>
      </c>
      <c r="R51" s="6">
        <f t="shared" si="1"/>
        <v>101912936.80248819</v>
      </c>
      <c r="S51" s="6">
        <f t="shared" si="2"/>
        <v>2.9685697078083343E-55</v>
      </c>
      <c r="T51" s="7"/>
    </row>
    <row r="52" spans="1:20" x14ac:dyDescent="0.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93">
        <v>230</v>
      </c>
      <c r="Q52" s="6">
        <f t="shared" si="0"/>
        <v>2.6717452261897699E-38</v>
      </c>
      <c r="R52" s="6">
        <f t="shared" si="1"/>
        <v>110988107.87027101</v>
      </c>
      <c r="S52" s="6">
        <f t="shared" si="2"/>
        <v>6.8293168022231599E-57</v>
      </c>
      <c r="T52" s="7"/>
    </row>
    <row r="53" spans="1:20" x14ac:dyDescent="0.2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93">
        <v>235</v>
      </c>
      <c r="Q53" s="6">
        <f t="shared" si="0"/>
        <v>3.9037256365623103E-39</v>
      </c>
      <c r="R53" s="6">
        <f t="shared" si="1"/>
        <v>120541014.6633537</v>
      </c>
      <c r="S53" s="6">
        <f t="shared" si="2"/>
        <v>1.5664497636161957E-58</v>
      </c>
      <c r="T53" s="7"/>
    </row>
    <row r="54" spans="1:20" x14ac:dyDescent="0.2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93">
        <v>240</v>
      </c>
      <c r="Q54" s="6">
        <f t="shared" si="0"/>
        <v>5.7024988725376623E-40</v>
      </c>
      <c r="R54" s="6">
        <f t="shared" si="1"/>
        <v>130577017.31892887</v>
      </c>
      <c r="S54" s="6">
        <f t="shared" si="2"/>
        <v>3.5828730547960216E-60</v>
      </c>
      <c r="T54" s="7"/>
    </row>
    <row r="55" spans="1:20" x14ac:dyDescent="0.2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93">
        <v>245</v>
      </c>
      <c r="Q55" s="6">
        <f t="shared" si="0"/>
        <v>8.3283095912745498E-41</v>
      </c>
      <c r="R55" s="6">
        <f t="shared" si="1"/>
        <v>141100945.48195297</v>
      </c>
      <c r="S55" s="6">
        <f t="shared" si="2"/>
        <v>8.1730453129628897E-62</v>
      </c>
      <c r="T55" s="7"/>
    </row>
    <row r="56" spans="1:20" x14ac:dyDescent="0.2">
      <c r="P56" s="93">
        <v>250</v>
      </c>
      <c r="Q56" s="6">
        <f t="shared" si="0"/>
        <v>1.2160685439479815E-41</v>
      </c>
      <c r="R56" s="6">
        <f t="shared" si="1"/>
        <v>152117118.45720351</v>
      </c>
      <c r="S56" s="6">
        <f t="shared" si="2"/>
        <v>1.8596508787063057E-63</v>
      </c>
      <c r="T56" s="7"/>
    </row>
    <row r="57" spans="1:20" x14ac:dyDescent="0.2">
      <c r="P57" s="93">
        <v>255</v>
      </c>
      <c r="Q57" s="6">
        <f t="shared" si="0"/>
        <v>1.7753025307869299E-42</v>
      </c>
      <c r="R57" s="6">
        <f t="shared" si="1"/>
        <v>163629365.41348171</v>
      </c>
      <c r="S57" s="6">
        <f t="shared" si="2"/>
        <v>4.2211182781264103E-65</v>
      </c>
      <c r="T57" s="7"/>
    </row>
    <row r="58" spans="1:20" x14ac:dyDescent="0.2">
      <c r="P58" s="93">
        <v>260</v>
      </c>
      <c r="Q58" s="6">
        <f t="shared" si="0"/>
        <v>2.5912134396566627E-43</v>
      </c>
      <c r="R58" s="6">
        <f t="shared" si="1"/>
        <v>175641045.51628366</v>
      </c>
      <c r="S58" s="6">
        <f t="shared" si="2"/>
        <v>9.5592140165105186E-67</v>
      </c>
      <c r="T58" s="7"/>
    </row>
    <row r="59" spans="1:20" x14ac:dyDescent="0.2">
      <c r="P59" s="93">
        <v>265</v>
      </c>
      <c r="Q59" s="6">
        <f t="shared" si="0"/>
        <v>3.7814092488284511E-44</v>
      </c>
      <c r="R59" s="6">
        <f t="shared" si="1"/>
        <v>188155067.8848955</v>
      </c>
      <c r="S59" s="6">
        <f t="shared" si="2"/>
        <v>2.1600415124796107E-68</v>
      </c>
      <c r="T59" s="7"/>
    </row>
    <row r="60" spans="1:20" x14ac:dyDescent="0.2">
      <c r="P60" s="93">
        <v>270</v>
      </c>
      <c r="Q60" s="6">
        <f t="shared" si="0"/>
        <v>5.5173032989072889E-45</v>
      </c>
      <c r="R60" s="6">
        <f t="shared" si="1"/>
        <v>201173911.28708789</v>
      </c>
      <c r="S60" s="6">
        <f t="shared" si="2"/>
        <v>4.8706950083472337E-70</v>
      </c>
      <c r="T60" s="7"/>
    </row>
    <row r="61" spans="1:20" x14ac:dyDescent="0.2">
      <c r="P61" s="93">
        <v>275</v>
      </c>
      <c r="Q61" s="6">
        <f t="shared" si="0"/>
        <v>8.0486965715894728E-46</v>
      </c>
      <c r="R61" s="6">
        <f t="shared" si="1"/>
        <v>214699643.49963826</v>
      </c>
      <c r="S61" s="6">
        <f t="shared" si="2"/>
        <v>1.0960985676400796E-71</v>
      </c>
      <c r="T61" s="7"/>
    </row>
    <row r="62" spans="1:20" x14ac:dyDescent="0.2">
      <c r="P62" s="93">
        <v>280</v>
      </c>
      <c r="Q62" s="6">
        <f t="shared" si="0"/>
        <v>1.1739577184489186E-46</v>
      </c>
      <c r="R62" s="6">
        <f t="shared" si="1"/>
        <v>228733940.27604908</v>
      </c>
      <c r="S62" s="6">
        <f t="shared" si="2"/>
        <v>2.4619344608624853E-73</v>
      </c>
      <c r="T62" s="7"/>
    </row>
    <row r="63" spans="1:20" x14ac:dyDescent="0.2">
      <c r="P63" s="93">
        <v>285</v>
      </c>
      <c r="Q63" s="6">
        <f t="shared" si="0"/>
        <v>1.7120249969919382E-47</v>
      </c>
      <c r="R63" s="6">
        <f t="shared" si="1"/>
        <v>243278103.87424037</v>
      </c>
      <c r="S63" s="6">
        <f t="shared" si="2"/>
        <v>5.5195998080060097E-75</v>
      </c>
      <c r="T63" s="7"/>
    </row>
    <row r="64" spans="1:20" x14ac:dyDescent="0.2">
      <c r="P64" s="93">
        <v>290</v>
      </c>
      <c r="Q64" s="6">
        <f t="shared" si="0"/>
        <v>2.4963237117814623E-48</v>
      </c>
      <c r="R64" s="6">
        <f t="shared" si="1"/>
        <v>258333081.10691977</v>
      </c>
      <c r="S64" s="6">
        <f t="shared" si="2"/>
        <v>1.2353123466786238E-76</v>
      </c>
      <c r="T64" s="7"/>
    </row>
    <row r="65" spans="16:20" x14ac:dyDescent="0.2">
      <c r="P65" s="93">
        <v>295</v>
      </c>
      <c r="Q65" s="6">
        <f t="shared" si="0"/>
        <v>3.6393778084733754E-49</v>
      </c>
      <c r="R65" s="6">
        <f t="shared" si="1"/>
        <v>273899480.88588607</v>
      </c>
      <c r="S65" s="6">
        <f t="shared" si="2"/>
        <v>2.7600434895679847E-78</v>
      </c>
      <c r="T65" s="7"/>
    </row>
    <row r="66" spans="16:20" x14ac:dyDescent="0.2">
      <c r="P66" s="93">
        <v>300</v>
      </c>
      <c r="Q66" s="6">
        <f t="shared" si="0"/>
        <v>5.3050684704573871E-50</v>
      </c>
      <c r="R66" s="6">
        <f t="shared" si="1"/>
        <v>289977591.23891991</v>
      </c>
      <c r="S66" s="6">
        <f t="shared" si="2"/>
        <v>6.1567998619951062E-80</v>
      </c>
      <c r="T66" s="7"/>
    </row>
    <row r="67" spans="16:20" x14ac:dyDescent="0.2">
      <c r="P67" s="93">
        <v>305</v>
      </c>
      <c r="Q67" s="6">
        <f t="shared" si="0"/>
        <v>7.7320475727655749E-51</v>
      </c>
      <c r="R67" s="6">
        <f t="shared" si="1"/>
        <v>306567395.78425562</v>
      </c>
      <c r="S67" s="6">
        <f t="shared" si="2"/>
        <v>1.3712682462534349E-81</v>
      </c>
      <c r="T67" s="7"/>
    </row>
    <row r="68" spans="16:20" x14ac:dyDescent="0.2">
      <c r="P68" s="93">
        <v>310</v>
      </c>
      <c r="Q68" s="6">
        <f t="shared" si="0"/>
        <v>1.1267814178272185E-51</v>
      </c>
      <c r="R68" s="6">
        <f t="shared" si="1"/>
        <v>323668589.65306467</v>
      </c>
      <c r="S68" s="6">
        <f t="shared" si="2"/>
        <v>3.0496134233335644E-83</v>
      </c>
      <c r="T68" s="7"/>
    </row>
    <row r="69" spans="16:20" x14ac:dyDescent="0.2">
      <c r="P69" s="93">
        <v>315</v>
      </c>
      <c r="Q69" s="6">
        <f t="shared" si="0"/>
        <v>1.6418305703158346E-52</v>
      </c>
      <c r="R69" s="6">
        <f t="shared" si="1"/>
        <v>341280594.85500669</v>
      </c>
      <c r="S69" s="6">
        <f t="shared" si="2"/>
        <v>6.7724746936536351E-85</v>
      </c>
      <c r="T69" s="7"/>
    </row>
    <row r="70" spans="16:20" x14ac:dyDescent="0.2">
      <c r="P70" s="93">
        <v>320</v>
      </c>
      <c r="Q70" s="6">
        <f t="shared" ref="Q70:Q133" si="3">2*SQRT(P70/(PI()*($G$4)^3))*EXP((-P70)/(2*$G$4))</f>
        <v>2.3920060935241253E-53</v>
      </c>
      <c r="R70" s="6">
        <f t="shared" ref="R70:R133" si="4">(EXP(-(31.29*$B$9*$C$9*(SQRT($B$11/P70)))))*$R$4</f>
        <v>359402575.08582854</v>
      </c>
      <c r="S70" s="6">
        <f t="shared" ref="S70:S133" si="5">$S$4*(2*SQRT(P70/(PI()*($G$4)^3))*EXP((-(P70)/($G$4))-SQRT(($Q$4*1000)/P70)))</f>
        <v>1.5019452090587754E-86</v>
      </c>
      <c r="T70" s="7"/>
    </row>
    <row r="71" spans="16:20" x14ac:dyDescent="0.2">
      <c r="P71" s="93">
        <v>325</v>
      </c>
      <c r="Q71" s="6">
        <f t="shared" si="3"/>
        <v>3.4845219496977965E-54</v>
      </c>
      <c r="R71" s="6">
        <f t="shared" si="4"/>
        <v>378033449.97930503</v>
      </c>
      <c r="S71" s="6">
        <f t="shared" si="5"/>
        <v>3.3264996355804619E-88</v>
      </c>
      <c r="T71" s="7"/>
    </row>
    <row r="72" spans="16:20" x14ac:dyDescent="0.2">
      <c r="P72" s="93">
        <v>330</v>
      </c>
      <c r="Q72" s="6">
        <f t="shared" si="3"/>
        <v>5.0754286351189622E-55</v>
      </c>
      <c r="R72" s="6">
        <f t="shared" si="4"/>
        <v>397171908.80858409</v>
      </c>
      <c r="S72" s="6">
        <f t="shared" si="5"/>
        <v>7.3581555476856295E-90</v>
      </c>
      <c r="T72" s="7"/>
    </row>
    <row r="73" spans="16:20" x14ac:dyDescent="0.2">
      <c r="P73" s="93">
        <v>335</v>
      </c>
      <c r="Q73" s="6">
        <f t="shared" si="3"/>
        <v>7.391837156984009E-56</v>
      </c>
      <c r="R73" s="6">
        <f t="shared" si="4"/>
        <v>416816423.64431447</v>
      </c>
      <c r="S73" s="6">
        <f t="shared" si="5"/>
        <v>1.6256192540379442E-91</v>
      </c>
      <c r="T73" s="7"/>
    </row>
    <row r="74" spans="16:20" x14ac:dyDescent="0.2">
      <c r="P74" s="93">
        <v>340</v>
      </c>
      <c r="Q74" s="6">
        <f t="shared" si="3"/>
        <v>1.0764247561911458E-56</v>
      </c>
      <c r="R74" s="6">
        <f t="shared" si="4"/>
        <v>436965261.97881019</v>
      </c>
      <c r="S74" s="6">
        <f t="shared" si="5"/>
        <v>3.5872062325216646E-93</v>
      </c>
      <c r="T74" s="7"/>
    </row>
    <row r="75" spans="16:20" x14ac:dyDescent="0.2">
      <c r="P75" s="93">
        <v>345</v>
      </c>
      <c r="Q75" s="6">
        <f t="shared" si="3"/>
        <v>1.567357252953627E-57</v>
      </c>
      <c r="R75" s="6">
        <f t="shared" si="4"/>
        <v>457616498.82708287</v>
      </c>
      <c r="S75" s="6">
        <f t="shared" si="5"/>
        <v>7.9067823201073366E-95</v>
      </c>
      <c r="T75" s="7"/>
    </row>
    <row r="76" spans="16:20" x14ac:dyDescent="0.2">
      <c r="P76" s="93">
        <v>350</v>
      </c>
      <c r="Q76" s="6">
        <f t="shared" si="3"/>
        <v>2.2819530466682322E-58</v>
      </c>
      <c r="R76" s="6">
        <f t="shared" si="4"/>
        <v>478768028.31677455</v>
      </c>
      <c r="S76" s="6">
        <f t="shared" si="5"/>
        <v>1.7408707286029461E-96</v>
      </c>
      <c r="T76" s="7"/>
    </row>
    <row r="77" spans="16:20" x14ac:dyDescent="0.2">
      <c r="P77" s="93">
        <v>355</v>
      </c>
      <c r="Q77" s="6">
        <f t="shared" si="3"/>
        <v>3.3220111829259312E-59</v>
      </c>
      <c r="R77" s="6">
        <f t="shared" si="4"/>
        <v>500417574.78003389</v>
      </c>
      <c r="S77" s="6">
        <f t="shared" si="5"/>
        <v>3.8288918026576033E-98</v>
      </c>
      <c r="T77" s="7"/>
    </row>
    <row r="78" spans="16:20" x14ac:dyDescent="0.2">
      <c r="P78" s="93">
        <v>360</v>
      </c>
      <c r="Q78" s="6">
        <f t="shared" si="3"/>
        <v>4.8356225651518651E-60</v>
      </c>
      <c r="R78" s="6">
        <f t="shared" si="4"/>
        <v>522562703.36109275</v>
      </c>
      <c r="S78" s="6">
        <f t="shared" si="5"/>
        <v>8.4126965825392564E-100</v>
      </c>
      <c r="T78" s="7"/>
    </row>
    <row r="79" spans="16:20" x14ac:dyDescent="0.2">
      <c r="P79" s="93">
        <v>365</v>
      </c>
      <c r="Q79" s="6">
        <f t="shared" si="3"/>
        <v>7.0382033256031027E-61</v>
      </c>
      <c r="R79" s="6">
        <f t="shared" si="4"/>
        <v>545200830.15387332</v>
      </c>
      <c r="S79" s="6">
        <f t="shared" si="5"/>
        <v>1.8465790276692933E-101</v>
      </c>
      <c r="T79" s="7"/>
    </row>
    <row r="80" spans="16:20" x14ac:dyDescent="0.2">
      <c r="P80" s="93">
        <v>370</v>
      </c>
      <c r="Q80" s="6">
        <f t="shared" si="3"/>
        <v>1.0243077775834665E-61</v>
      </c>
      <c r="R80" s="6">
        <f t="shared" si="4"/>
        <v>568329231.88432288</v>
      </c>
      <c r="S80" s="6">
        <f t="shared" si="5"/>
        <v>4.0493507057822988E-103</v>
      </c>
      <c r="T80" s="7"/>
    </row>
    <row r="81" spans="16:20" x14ac:dyDescent="0.2">
      <c r="P81" s="93">
        <v>375</v>
      </c>
      <c r="Q81" s="6">
        <f t="shared" si="3"/>
        <v>1.490594360335087E-62</v>
      </c>
      <c r="R81" s="6">
        <f t="shared" si="4"/>
        <v>591945055.15242064</v>
      </c>
      <c r="S81" s="6">
        <f t="shared" si="5"/>
        <v>8.87158711640862E-105</v>
      </c>
      <c r="T81" s="7"/>
    </row>
    <row r="82" spans="16:20" x14ac:dyDescent="0.2">
      <c r="P82" s="93">
        <v>380</v>
      </c>
      <c r="Q82" s="6">
        <f t="shared" si="3"/>
        <v>2.1689516444290132E-63</v>
      </c>
      <c r="R82" s="6">
        <f t="shared" si="4"/>
        <v>616045325.24891019</v>
      </c>
      <c r="S82" s="6">
        <f t="shared" si="5"/>
        <v>1.9419081445357233E-106</v>
      </c>
      <c r="T82" s="7"/>
    </row>
    <row r="83" spans="16:20" x14ac:dyDescent="0.2">
      <c r="P83" s="93">
        <v>385</v>
      </c>
      <c r="Q83" s="6">
        <f t="shared" si="3"/>
        <v>3.1557505588345159E-64</v>
      </c>
      <c r="R83" s="6">
        <f t="shared" si="4"/>
        <v>640626954.5618329</v>
      </c>
      <c r="S83" s="6">
        <f t="shared" si="5"/>
        <v>4.2469767725384344E-108</v>
      </c>
      <c r="T83" s="7"/>
    </row>
    <row r="84" spans="16:20" x14ac:dyDescent="0.2">
      <c r="P84" s="93">
        <v>390</v>
      </c>
      <c r="Q84" s="6">
        <f t="shared" si="3"/>
        <v>4.5911220496322332E-65</v>
      </c>
      <c r="R84" s="6">
        <f t="shared" si="4"/>
        <v>665686750.5878489</v>
      </c>
      <c r="S84" s="6">
        <f t="shared" si="5"/>
        <v>9.2804019358620357E-110</v>
      </c>
      <c r="T84" s="7"/>
    </row>
    <row r="85" spans="16:20" x14ac:dyDescent="0.2">
      <c r="P85" s="93">
        <v>395</v>
      </c>
      <c r="Q85" s="6">
        <f t="shared" si="3"/>
        <v>6.6788134641683394E-66</v>
      </c>
      <c r="R85" s="6">
        <f t="shared" si="4"/>
        <v>691221423.56320858</v>
      </c>
      <c r="S85" s="6">
        <f t="shared" si="5"/>
        <v>2.026285887746774E-111</v>
      </c>
      <c r="T85" s="7"/>
    </row>
    <row r="86" spans="16:20" x14ac:dyDescent="0.2">
      <c r="P86" s="93">
        <v>400</v>
      </c>
      <c r="Q86" s="6">
        <f t="shared" si="3"/>
        <v>9.7150489561773918E-67</v>
      </c>
      <c r="R86" s="6">
        <f t="shared" si="4"/>
        <v>717227593.72900808</v>
      </c>
      <c r="S86" s="6">
        <f t="shared" si="5"/>
        <v>4.420715141767444E-113</v>
      </c>
      <c r="T86" s="7"/>
    </row>
    <row r="87" spans="16:20" x14ac:dyDescent="0.2">
      <c r="P87" s="93">
        <v>405</v>
      </c>
      <c r="Q87" s="6">
        <f t="shared" si="3"/>
        <v>1.4130474347228469E-67</v>
      </c>
      <c r="R87" s="6">
        <f t="shared" si="4"/>
        <v>743701798.24511766</v>
      </c>
      <c r="S87" s="6">
        <f t="shared" si="5"/>
        <v>9.6372383365340283E-115</v>
      </c>
      <c r="T87" s="7"/>
    </row>
    <row r="88" spans="16:20" x14ac:dyDescent="0.2">
      <c r="P88" s="93">
        <v>410</v>
      </c>
      <c r="Q88" s="6">
        <f t="shared" si="3"/>
        <v>2.0551114991262258E-68</v>
      </c>
      <c r="R88" s="6">
        <f t="shared" si="4"/>
        <v>770640497.76687407</v>
      </c>
      <c r="S88" s="6">
        <f t="shared" si="5"/>
        <v>2.0993790808908268E-116</v>
      </c>
      <c r="T88" s="7"/>
    </row>
    <row r="89" spans="16:20" x14ac:dyDescent="0.2">
      <c r="P89" s="93">
        <v>415</v>
      </c>
      <c r="Q89" s="6">
        <f t="shared" si="3"/>
        <v>2.9886959900002298E-69</v>
      </c>
      <c r="R89" s="6">
        <f t="shared" si="4"/>
        <v>798040082.69831002</v>
      </c>
      <c r="S89" s="6">
        <f t="shared" si="5"/>
        <v>4.5700068747012178E-118</v>
      </c>
      <c r="T89" s="7"/>
    </row>
    <row r="90" spans="16:20" x14ac:dyDescent="0.2">
      <c r="P90" s="93">
        <v>420</v>
      </c>
      <c r="Q90" s="6">
        <f t="shared" si="3"/>
        <v>4.3460685218307822E-70</v>
      </c>
      <c r="R90" s="6">
        <f t="shared" si="4"/>
        <v>825896879.13530493</v>
      </c>
      <c r="S90" s="6">
        <f t="shared" si="5"/>
        <v>9.9412202308164745E-120</v>
      </c>
      <c r="T90" s="7"/>
    </row>
    <row r="91" spans="16:20" x14ac:dyDescent="0.2">
      <c r="P91" s="93">
        <v>425</v>
      </c>
      <c r="Q91" s="6">
        <f t="shared" si="3"/>
        <v>6.3194694792513757E-71</v>
      </c>
      <c r="R91" s="6">
        <f t="shared" si="4"/>
        <v>854207154.51172495</v>
      </c>
      <c r="S91" s="6">
        <f t="shared" si="5"/>
        <v>2.1610665884582242E-121</v>
      </c>
      <c r="T91" s="7"/>
    </row>
    <row r="92" spans="16:20" x14ac:dyDescent="0.2">
      <c r="P92" s="93">
        <v>430</v>
      </c>
      <c r="Q92" s="6">
        <f t="shared" si="3"/>
        <v>9.1882883316459583E-72</v>
      </c>
      <c r="R92" s="6">
        <f t="shared" si="4"/>
        <v>882967122.96117508</v>
      </c>
      <c r="S92" s="6">
        <f t="shared" si="5"/>
        <v>4.6947300032015724E-123</v>
      </c>
      <c r="T92" s="7"/>
    </row>
    <row r="93" spans="16:20" x14ac:dyDescent="0.2">
      <c r="P93" s="93">
        <v>435</v>
      </c>
      <c r="Q93" s="6">
        <f t="shared" si="3"/>
        <v>1.3358547754182512E-72</v>
      </c>
      <c r="R93" s="6">
        <f t="shared" si="4"/>
        <v>912172950.406636</v>
      </c>
      <c r="S93" s="6">
        <f t="shared" si="5"/>
        <v>1.0192370004047543E-124</v>
      </c>
      <c r="T93" s="7"/>
    </row>
    <row r="94" spans="16:20" x14ac:dyDescent="0.2">
      <c r="P94" s="93">
        <v>440</v>
      </c>
      <c r="Q94" s="6">
        <f t="shared" si="3"/>
        <v>1.9420266648469368E-73</v>
      </c>
      <c r="R94" s="6">
        <f t="shared" si="4"/>
        <v>941820759.38982654</v>
      </c>
      <c r="S94" s="6">
        <f t="shared" si="5"/>
        <v>2.2114115942537565E-126</v>
      </c>
      <c r="T94" s="7"/>
    </row>
    <row r="95" spans="16:20" x14ac:dyDescent="0.2">
      <c r="P95" s="93">
        <v>445</v>
      </c>
      <c r="Q95" s="6">
        <f t="shared" si="3"/>
        <v>2.8230793642390006E-74</v>
      </c>
      <c r="R95" s="6">
        <f t="shared" si="4"/>
        <v>971906633.65174365</v>
      </c>
      <c r="S95" s="6">
        <f t="shared" si="5"/>
        <v>4.7951398155152498E-128</v>
      </c>
      <c r="T95" s="7"/>
    </row>
    <row r="96" spans="16:20" x14ac:dyDescent="0.2">
      <c r="P96" s="93">
        <v>450</v>
      </c>
      <c r="Q96" s="6">
        <f t="shared" si="3"/>
        <v>4.1035862927082867E-75</v>
      </c>
      <c r="R96" s="6">
        <f t="shared" si="4"/>
        <v>1002426622.4754285</v>
      </c>
      <c r="S96" s="6">
        <f t="shared" si="5"/>
        <v>1.0391480381918951E-129</v>
      </c>
      <c r="T96" s="7"/>
    </row>
    <row r="97" spans="16:20" x14ac:dyDescent="0.2">
      <c r="P97" s="93">
        <v>455</v>
      </c>
      <c r="Q97" s="6">
        <f t="shared" si="3"/>
        <v>5.9645439559787507E-76</v>
      </c>
      <c r="R97" s="6">
        <f t="shared" si="4"/>
        <v>1033376744.8015853</v>
      </c>
      <c r="S97" s="6">
        <f t="shared" si="5"/>
        <v>2.2506342035818531E-131</v>
      </c>
      <c r="T97" s="7"/>
    </row>
    <row r="98" spans="16:20" x14ac:dyDescent="0.2">
      <c r="P98" s="93">
        <v>460</v>
      </c>
      <c r="Q98" s="6">
        <f t="shared" si="3"/>
        <v>8.668913960555349E-77</v>
      </c>
      <c r="R98" s="6">
        <f t="shared" si="4"/>
        <v>1064752993.1273056</v>
      </c>
      <c r="S98" s="6">
        <f t="shared" si="5"/>
        <v>4.8718104612422386E-133</v>
      </c>
      <c r="T98" s="7"/>
    </row>
    <row r="99" spans="16:20" x14ac:dyDescent="0.2">
      <c r="P99" s="93">
        <v>465</v>
      </c>
      <c r="Q99" s="6">
        <f t="shared" si="3"/>
        <v>1.2598721760547186E-77</v>
      </c>
      <c r="R99" s="6">
        <f t="shared" si="4"/>
        <v>1096551337.1977553</v>
      </c>
      <c r="S99" s="6">
        <f t="shared" si="5"/>
        <v>1.0539990336888472E-134</v>
      </c>
      <c r="T99" s="7"/>
    </row>
    <row r="100" spans="16:20" x14ac:dyDescent="0.2">
      <c r="P100" s="93">
        <v>470</v>
      </c>
      <c r="Q100" s="6">
        <f t="shared" si="3"/>
        <v>1.8308938625880773E-78</v>
      </c>
      <c r="R100" s="6">
        <f t="shared" si="4"/>
        <v>1128767727.5002685</v>
      </c>
      <c r="S100" s="6">
        <f t="shared" si="5"/>
        <v>2.2790851448025746E-136</v>
      </c>
      <c r="T100" s="7"/>
    </row>
    <row r="101" spans="16:20" x14ac:dyDescent="0.2">
      <c r="P101" s="93">
        <v>475</v>
      </c>
      <c r="Q101" s="6">
        <f t="shared" si="3"/>
        <v>2.6605735931503397E-79</v>
      </c>
      <c r="R101" s="6">
        <f t="shared" si="4"/>
        <v>1161398098.5699637</v>
      </c>
      <c r="S101" s="6">
        <f t="shared" si="5"/>
        <v>4.925579361076327E-138</v>
      </c>
      <c r="T101" s="7"/>
    </row>
    <row r="102" spans="16:20" x14ac:dyDescent="0.2">
      <c r="P102" s="93">
        <v>480</v>
      </c>
      <c r="Q102" s="6">
        <f t="shared" si="3"/>
        <v>3.8660131039064675E-80</v>
      </c>
      <c r="R102" s="6">
        <f t="shared" si="4"/>
        <v>1194438372.1155787</v>
      </c>
      <c r="S102" s="6">
        <f t="shared" si="5"/>
        <v>1.0639867861979427E-139</v>
      </c>
      <c r="T102" s="7"/>
    </row>
    <row r="103" spans="16:20" x14ac:dyDescent="0.2">
      <c r="P103" s="93">
        <v>485</v>
      </c>
      <c r="Q103" s="6">
        <f t="shared" si="3"/>
        <v>5.6173023969531751E-81</v>
      </c>
      <c r="R103" s="6">
        <f t="shared" si="4"/>
        <v>1227884459.9739029</v>
      </c>
      <c r="S103" s="6">
        <f t="shared" si="5"/>
        <v>2.2972211050743189E-141</v>
      </c>
      <c r="T103" s="7"/>
    </row>
    <row r="104" spans="16:20" x14ac:dyDescent="0.2">
      <c r="P104" s="93">
        <v>490</v>
      </c>
      <c r="Q104" s="6">
        <f t="shared" si="3"/>
        <v>8.1614853656306548E-82</v>
      </c>
      <c r="R104" s="6">
        <f t="shared" si="4"/>
        <v>1261732266.9008214</v>
      </c>
      <c r="S104" s="6">
        <f t="shared" si="5"/>
        <v>4.9574954245881603E-143</v>
      </c>
      <c r="T104" s="7"/>
    </row>
    <row r="105" spans="16:20" x14ac:dyDescent="0.2">
      <c r="P105" s="93">
        <v>495</v>
      </c>
      <c r="Q105" s="6">
        <f t="shared" si="3"/>
        <v>1.1857359771391736E-82</v>
      </c>
      <c r="R105" s="6">
        <f t="shared" si="4"/>
        <v>1295977693.2066202</v>
      </c>
      <c r="S105" s="6">
        <f t="shared" si="5"/>
        <v>1.0693501476386419E-144</v>
      </c>
      <c r="T105" s="7"/>
    </row>
    <row r="106" spans="16:20" x14ac:dyDescent="0.2">
      <c r="P106" s="93">
        <v>500</v>
      </c>
      <c r="Q106" s="6">
        <f t="shared" si="3"/>
        <v>1.7226007483130092E-83</v>
      </c>
      <c r="R106" s="6">
        <f t="shared" si="4"/>
        <v>1330616637.2429509</v>
      </c>
      <c r="S106" s="6">
        <f t="shared" si="5"/>
        <v>2.3055820428514577E-146</v>
      </c>
      <c r="T106" s="7"/>
    </row>
    <row r="107" spans="16:20" x14ac:dyDescent="0.2">
      <c r="P107" s="93">
        <v>505</v>
      </c>
      <c r="Q107" s="6">
        <f t="shared" si="3"/>
        <v>2.5024162409840598E-84</v>
      </c>
      <c r="R107" s="6">
        <f t="shared" si="4"/>
        <v>1365644997.7484307</v>
      </c>
      <c r="S107" s="6">
        <f t="shared" si="5"/>
        <v>4.9687716967448597E-148</v>
      </c>
      <c r="T107" s="7"/>
    </row>
    <row r="108" spans="16:20" x14ac:dyDescent="0.2">
      <c r="P108" s="93">
        <v>510</v>
      </c>
      <c r="Q108" s="6">
        <f t="shared" si="3"/>
        <v>3.6350733661246152E-85</v>
      </c>
      <c r="R108" s="6">
        <f t="shared" si="4"/>
        <v>1401058676.0596569</v>
      </c>
      <c r="S108" s="6">
        <f t="shared" si="5"/>
        <v>1.0703601567712773E-149</v>
      </c>
      <c r="T108" s="7"/>
    </row>
    <row r="109" spans="16:20" x14ac:dyDescent="0.2">
      <c r="P109" s="93">
        <v>515</v>
      </c>
      <c r="Q109" s="6">
        <f t="shared" si="3"/>
        <v>5.2801460895451879E-86</v>
      </c>
      <c r="R109" s="6">
        <f t="shared" si="4"/>
        <v>1436853578.1940129</v>
      </c>
      <c r="S109" s="6">
        <f t="shared" si="5"/>
        <v>2.3047706692431306E-151</v>
      </c>
      <c r="T109" s="7"/>
    </row>
    <row r="110" spans="16:20" x14ac:dyDescent="0.2">
      <c r="P110" s="93">
        <v>520</v>
      </c>
      <c r="Q110" s="6">
        <f t="shared" si="3"/>
        <v>7.6693441677900875E-87</v>
      </c>
      <c r="R110" s="6">
        <f t="shared" si="4"/>
        <v>1473025616.8104899</v>
      </c>
      <c r="S110" s="6">
        <f t="shared" si="5"/>
        <v>4.9607427565201653E-153</v>
      </c>
      <c r="T110" s="7"/>
    </row>
    <row r="111" spans="16:20" x14ac:dyDescent="0.2">
      <c r="P111" s="93">
        <v>525</v>
      </c>
      <c r="Q111" s="6">
        <f t="shared" si="3"/>
        <v>1.1139108622661733E-87</v>
      </c>
      <c r="R111" s="6">
        <f t="shared" si="4"/>
        <v>1509570713.0543001</v>
      </c>
      <c r="S111" s="6">
        <f t="shared" si="5"/>
        <v>1.0673112089492953E-154</v>
      </c>
      <c r="T111" s="7"/>
    </row>
    <row r="112" spans="16:20" x14ac:dyDescent="0.2">
      <c r="P112" s="93">
        <v>530</v>
      </c>
      <c r="Q112" s="6">
        <f t="shared" si="3"/>
        <v>1.617793006366952E-88</v>
      </c>
      <c r="R112" s="6">
        <f t="shared" si="4"/>
        <v>1546484798.2909896</v>
      </c>
      <c r="S112" s="6">
        <f t="shared" si="5"/>
        <v>2.2954341750730274E-156</v>
      </c>
      <c r="T112" s="7"/>
    </row>
    <row r="113" spans="16:20" x14ac:dyDescent="0.2">
      <c r="P113" s="93">
        <v>535</v>
      </c>
      <c r="Q113" s="6">
        <f t="shared" si="3"/>
        <v>2.3495037441213144E-89</v>
      </c>
      <c r="R113" s="6">
        <f t="shared" si="4"/>
        <v>1583763815.7353475</v>
      </c>
      <c r="S113" s="6">
        <f t="shared" si="5"/>
        <v>4.9348269649148031E-158</v>
      </c>
      <c r="T113" s="7"/>
    </row>
    <row r="114" spans="16:20" x14ac:dyDescent="0.2">
      <c r="P114" s="93">
        <v>540</v>
      </c>
      <c r="Q114" s="6">
        <f t="shared" si="3"/>
        <v>3.4120105231215527E-90</v>
      </c>
      <c r="R114" s="6">
        <f t="shared" si="4"/>
        <v>1621403721.9802606</v>
      </c>
      <c r="S114" s="6">
        <f t="shared" si="5"/>
        <v>1.0605132690748038E-159</v>
      </c>
      <c r="T114" s="7"/>
    </row>
    <row r="115" spans="16:20" x14ac:dyDescent="0.2">
      <c r="P115" s="93">
        <v>545</v>
      </c>
      <c r="Q115" s="6">
        <f t="shared" si="3"/>
        <v>4.9547981267498718E-91</v>
      </c>
      <c r="R115" s="6">
        <f t="shared" si="4"/>
        <v>1659400488.4303753</v>
      </c>
      <c r="S115" s="6">
        <f t="shared" si="5"/>
        <v>2.278248194351852E-161</v>
      </c>
      <c r="T115" s="7"/>
    </row>
    <row r="116" spans="16:20" x14ac:dyDescent="0.2">
      <c r="P116" s="93">
        <v>550</v>
      </c>
      <c r="Q116" s="6">
        <f t="shared" si="3"/>
        <v>7.1948756094168191E-92</v>
      </c>
      <c r="R116" s="6">
        <f t="shared" si="4"/>
        <v>1697750102.6452589</v>
      </c>
      <c r="S116" s="6">
        <f t="shared" si="5"/>
        <v>4.8924934924202331E-163</v>
      </c>
      <c r="T116" s="7"/>
    </row>
    <row r="117" spans="16:20" x14ac:dyDescent="0.2">
      <c r="P117" s="93">
        <v>555</v>
      </c>
      <c r="Q117" s="6">
        <f t="shared" si="3"/>
        <v>1.0447266380178053E-92</v>
      </c>
      <c r="R117" s="6">
        <f t="shared" si="4"/>
        <v>1736448569.596478</v>
      </c>
      <c r="S117" s="6">
        <f t="shared" si="5"/>
        <v>1.0502851030502425E-164</v>
      </c>
      <c r="T117" s="7"/>
    </row>
    <row r="118" spans="16:20" x14ac:dyDescent="0.2">
      <c r="P118" s="93">
        <v>560</v>
      </c>
      <c r="Q118" s="6">
        <f t="shared" si="3"/>
        <v>1.5169260931202135E-93</v>
      </c>
      <c r="R118" s="6">
        <f t="shared" si="4"/>
        <v>1775491912.8428469</v>
      </c>
      <c r="S118" s="6">
        <f t="shared" si="5"/>
        <v>2.2539029324675295E-166</v>
      </c>
      <c r="T118" s="7"/>
    </row>
    <row r="119" spans="16:20" x14ac:dyDescent="0.2">
      <c r="P119" s="93">
        <v>565</v>
      </c>
      <c r="Q119" s="6">
        <f t="shared" si="3"/>
        <v>2.2024642300585882E-94</v>
      </c>
      <c r="R119" s="6">
        <f t="shared" si="4"/>
        <v>1814876175.627929</v>
      </c>
      <c r="S119" s="6">
        <f t="shared" si="5"/>
        <v>4.835233936207673E-168</v>
      </c>
      <c r="T119" s="7"/>
    </row>
    <row r="120" spans="16:20" x14ac:dyDescent="0.2">
      <c r="P120" s="93">
        <v>570</v>
      </c>
      <c r="Q120" s="6">
        <f t="shared" si="3"/>
        <v>3.197689562243582E-95</v>
      </c>
      <c r="R120" s="6">
        <f t="shared" si="4"/>
        <v>1854597421.9035738</v>
      </c>
      <c r="S120" s="6">
        <f t="shared" si="5"/>
        <v>1.0369484801676602E-169</v>
      </c>
      <c r="T120" s="7"/>
    </row>
    <row r="121" spans="16:20" x14ac:dyDescent="0.2">
      <c r="P121" s="93">
        <v>575</v>
      </c>
      <c r="Q121" s="6">
        <f t="shared" si="3"/>
        <v>4.6424477595080407E-96</v>
      </c>
      <c r="R121" s="6">
        <f t="shared" si="4"/>
        <v>1894651737.283268</v>
      </c>
      <c r="S121" s="6">
        <f t="shared" si="5"/>
        <v>2.2230913440218238E-171</v>
      </c>
      <c r="T121" s="7"/>
    </row>
    <row r="122" spans="16:20" x14ac:dyDescent="0.2">
      <c r="P122" s="93">
        <v>580</v>
      </c>
      <c r="Q122" s="6">
        <f t="shared" si="3"/>
        <v>6.739711886439895E-97</v>
      </c>
      <c r="R122" s="6">
        <f t="shared" si="4"/>
        <v>1935035229.9287205</v>
      </c>
      <c r="S122" s="6">
        <f t="shared" si="5"/>
        <v>4.764538255553677E-173</v>
      </c>
      <c r="T122" s="7"/>
    </row>
    <row r="123" spans="16:20" x14ac:dyDescent="0.2">
      <c r="P123" s="93">
        <v>585</v>
      </c>
      <c r="Q123" s="6">
        <f t="shared" si="3"/>
        <v>9.7840688302394753E-98</v>
      </c>
      <c r="R123" s="6">
        <f t="shared" si="4"/>
        <v>1975744031.3730931</v>
      </c>
      <c r="S123" s="6">
        <f t="shared" si="5"/>
        <v>1.0208232835805312E-174</v>
      </c>
      <c r="T123" s="7"/>
    </row>
    <row r="124" spans="16:20" x14ac:dyDescent="0.2">
      <c r="P124" s="93">
        <v>590</v>
      </c>
      <c r="Q124" s="6">
        <f t="shared" si="3"/>
        <v>1.4203056138562358E-98</v>
      </c>
      <c r="R124" s="6">
        <f t="shared" si="4"/>
        <v>2016774297.284034</v>
      </c>
      <c r="S124" s="6">
        <f t="shared" si="5"/>
        <v>2.1864992169030547E-176</v>
      </c>
      <c r="T124" s="7"/>
    </row>
    <row r="125" spans="16:20" x14ac:dyDescent="0.2">
      <c r="P125" s="93">
        <v>595</v>
      </c>
      <c r="Q125" s="6">
        <f t="shared" si="3"/>
        <v>2.0617144379560986E-99</v>
      </c>
      <c r="R125" s="6">
        <f t="shared" si="4"/>
        <v>2058122208.1695535</v>
      </c>
      <c r="S125" s="6">
        <f t="shared" si="5"/>
        <v>4.6818747021272874E-178</v>
      </c>
      <c r="T125" s="7"/>
    </row>
    <row r="126" spans="16:20" x14ac:dyDescent="0.2">
      <c r="P126" s="93">
        <v>600</v>
      </c>
      <c r="Q126" s="6">
        <f t="shared" si="3"/>
        <v>2.9926772773447957E-100</v>
      </c>
      <c r="R126" s="6">
        <f t="shared" si="4"/>
        <v>2099783970.0296659</v>
      </c>
      <c r="S126" s="6">
        <f t="shared" si="5"/>
        <v>1.0022234566277088E-179</v>
      </c>
      <c r="T126" s="7"/>
    </row>
    <row r="127" spans="16:20" x14ac:dyDescent="0.2">
      <c r="P127" s="93">
        <v>605</v>
      </c>
      <c r="Q127" s="6">
        <f t="shared" si="3"/>
        <v>4.3438636019449377E-101</v>
      </c>
      <c r="R127" s="6">
        <f t="shared" si="4"/>
        <v>2141755814.9565129</v>
      </c>
      <c r="S127" s="6">
        <f t="shared" si="5"/>
        <v>2.1447970025598235E-181</v>
      </c>
      <c r="T127" s="7"/>
    </row>
    <row r="128" spans="16:20" x14ac:dyDescent="0.2">
      <c r="P128" s="93">
        <v>610</v>
      </c>
      <c r="Q128" s="6">
        <f t="shared" si="3"/>
        <v>6.3048918538382408E-102</v>
      </c>
      <c r="R128" s="6">
        <f t="shared" si="4"/>
        <v>2184034001.6856523</v>
      </c>
      <c r="S128" s="6">
        <f t="shared" si="5"/>
        <v>4.5886733929254087E-183</v>
      </c>
      <c r="T128" s="7"/>
    </row>
    <row r="129" spans="16:20" x14ac:dyDescent="0.2">
      <c r="P129" s="93">
        <v>615</v>
      </c>
      <c r="Q129" s="6">
        <f t="shared" si="3"/>
        <v>9.1509148367442134E-103</v>
      </c>
      <c r="R129" s="6">
        <f t="shared" si="4"/>
        <v>2226614816.1009727</v>
      </c>
      <c r="S129" s="6">
        <f t="shared" si="5"/>
        <v>9.8145370795402083E-185</v>
      </c>
      <c r="T129" s="7"/>
    </row>
    <row r="130" spans="16:20" x14ac:dyDescent="0.2">
      <c r="P130" s="93">
        <v>620</v>
      </c>
      <c r="Q130" s="6">
        <f t="shared" si="3"/>
        <v>1.3281191293570614E-103</v>
      </c>
      <c r="R130" s="6">
        <f t="shared" si="4"/>
        <v>2269494571.6956463</v>
      </c>
      <c r="S130" s="6">
        <f t="shared" si="5"/>
        <v>2.098633224736309E-186</v>
      </c>
      <c r="T130" s="7"/>
    </row>
    <row r="131" spans="16:20" x14ac:dyDescent="0.2">
      <c r="P131" s="93">
        <v>625</v>
      </c>
      <c r="Q131" s="6">
        <f t="shared" si="3"/>
        <v>1.9275046193899406E-104</v>
      </c>
      <c r="R131" s="6">
        <f t="shared" si="4"/>
        <v>2312669609.9913883</v>
      </c>
      <c r="S131" s="6">
        <f t="shared" si="5"/>
        <v>4.4863131623747401E-188</v>
      </c>
      <c r="T131" s="7"/>
    </row>
    <row r="132" spans="16:20" x14ac:dyDescent="0.2">
      <c r="P132" s="93">
        <v>630</v>
      </c>
      <c r="Q132" s="6">
        <f t="shared" si="3"/>
        <v>2.7973056670720645E-105</v>
      </c>
      <c r="R132" s="6">
        <f t="shared" si="4"/>
        <v>2356136300.9181943</v>
      </c>
      <c r="S132" s="6">
        <f t="shared" si="5"/>
        <v>9.5880689697180591E-190</v>
      </c>
      <c r="T132" s="7"/>
    </row>
    <row r="133" spans="16:20" x14ac:dyDescent="0.2">
      <c r="P133" s="93">
        <v>635</v>
      </c>
      <c r="Q133" s="6">
        <f t="shared" si="3"/>
        <v>4.059483164824555E-106</v>
      </c>
      <c r="R133" s="6">
        <f t="shared" si="4"/>
        <v>2399891043.1566052</v>
      </c>
      <c r="S133" s="6">
        <f t="shared" si="5"/>
        <v>2.0486292979387922E-191</v>
      </c>
      <c r="T133" s="7"/>
    </row>
    <row r="134" spans="16:20" x14ac:dyDescent="0.2">
      <c r="P134" s="93">
        <v>640</v>
      </c>
      <c r="Q134" s="6">
        <f t="shared" ref="Q134:Q197" si="6">2*SQRT(P134/(PI()*($G$4)^3))*EXP((-P134)/(2*$G$4))</f>
        <v>5.8909874916498002E-107</v>
      </c>
      <c r="R134" s="6">
        <f t="shared" ref="R134:R197" si="7">(EXP(-(31.29*$B$9*$C$9*(SQRT($B$11/P134)))))*$R$4</f>
        <v>2443930264.4444718</v>
      </c>
      <c r="S134" s="6">
        <f t="shared" ref="S134:S197" si="8">$S$4*(2*SQRT(P134/(PI()*($G$4)^3))*EXP((-(P134)/($G$4))-SQRT(($Q$4*1000)/P134)))</f>
        <v>4.3761113318713069E-193</v>
      </c>
      <c r="T134" s="7"/>
    </row>
    <row r="135" spans="16:20" x14ac:dyDescent="0.2">
      <c r="P135" s="93">
        <v>645</v>
      </c>
      <c r="Q135" s="6">
        <f t="shared" si="6"/>
        <v>8.5485450062735585E-108</v>
      </c>
      <c r="R135" s="6">
        <f t="shared" si="7"/>
        <v>2488250421.8501101</v>
      </c>
      <c r="S135" s="6">
        <f t="shared" si="8"/>
        <v>9.3456202233829573E-195</v>
      </c>
      <c r="T135" s="7"/>
    </row>
    <row r="136" spans="16:20" x14ac:dyDescent="0.2">
      <c r="P136" s="93">
        <v>650</v>
      </c>
      <c r="Q136" s="6">
        <f t="shared" si="6"/>
        <v>1.2404614011628929E-108</v>
      </c>
      <c r="R136" s="6">
        <f t="shared" si="7"/>
        <v>2532848002.0136018</v>
      </c>
      <c r="S136" s="6">
        <f t="shared" si="8"/>
        <v>1.995375590778731E-196</v>
      </c>
      <c r="T136" s="7"/>
    </row>
    <row r="137" spans="16:20" x14ac:dyDescent="0.2">
      <c r="P137" s="93">
        <v>655</v>
      </c>
      <c r="Q137" s="6">
        <f t="shared" si="6"/>
        <v>1.7999542155858425E-109</v>
      </c>
      <c r="R137" s="6">
        <f t="shared" si="7"/>
        <v>2577719521.3579283</v>
      </c>
      <c r="S137" s="6">
        <f t="shared" si="8"/>
        <v>4.2593160461484174E-198</v>
      </c>
      <c r="T137" s="7"/>
    </row>
    <row r="138" spans="16:20" x14ac:dyDescent="0.2">
      <c r="P138" s="93">
        <v>660</v>
      </c>
      <c r="Q138" s="6">
        <f t="shared" si="6"/>
        <v>2.6117223627448648E-110</v>
      </c>
      <c r="R138" s="6">
        <f t="shared" si="7"/>
        <v>2622861526.2716222</v>
      </c>
      <c r="S138" s="6">
        <f t="shared" si="8"/>
        <v>9.0898273905421567E-200</v>
      </c>
      <c r="T138" s="7"/>
    </row>
    <row r="139" spans="16:20" x14ac:dyDescent="0.2">
      <c r="P139" s="93">
        <v>665</v>
      </c>
      <c r="Q139" s="6">
        <f t="shared" si="6"/>
        <v>3.7894841433939755E-111</v>
      </c>
      <c r="R139" s="6">
        <f t="shared" si="7"/>
        <v>2668270593.2643671</v>
      </c>
      <c r="S139" s="6">
        <f t="shared" si="8"/>
        <v>1.9394285766577216E-201</v>
      </c>
      <c r="T139" s="7"/>
    </row>
    <row r="140" spans="16:20" x14ac:dyDescent="0.2">
      <c r="P140" s="93">
        <v>670</v>
      </c>
      <c r="Q140" s="6">
        <f t="shared" si="6"/>
        <v>5.4982046961759135E-112</v>
      </c>
      <c r="R140" s="6">
        <f t="shared" si="7"/>
        <v>2713943329.097116</v>
      </c>
      <c r="S140" s="6">
        <f t="shared" si="8"/>
        <v>4.1371008435326214E-203</v>
      </c>
      <c r="T140" s="7"/>
    </row>
    <row r="141" spans="16:20" x14ac:dyDescent="0.2">
      <c r="P141" s="93">
        <v>675</v>
      </c>
      <c r="Q141" s="6">
        <f t="shared" si="6"/>
        <v>7.9771842125334642E-113</v>
      </c>
      <c r="R141" s="6">
        <f t="shared" si="7"/>
        <v>2759876370.8880568</v>
      </c>
      <c r="S141" s="6">
        <f t="shared" si="8"/>
        <v>8.8231633394364729E-205</v>
      </c>
      <c r="T141" s="7"/>
    </row>
    <row r="142" spans="16:20" x14ac:dyDescent="0.2">
      <c r="P142" s="93">
        <v>680</v>
      </c>
      <c r="Q142" s="6">
        <f t="shared" si="6"/>
        <v>1.1573545479667909E-113</v>
      </c>
      <c r="R142" s="6">
        <f t="shared" si="7"/>
        <v>2806066386.1957731</v>
      </c>
      <c r="S142" s="6">
        <f t="shared" si="8"/>
        <v>1.8813089238683353E-206</v>
      </c>
      <c r="T142" s="7"/>
    </row>
    <row r="143" spans="16:20" x14ac:dyDescent="0.2">
      <c r="P143" s="93">
        <v>685</v>
      </c>
      <c r="Q143" s="6">
        <f t="shared" si="6"/>
        <v>1.6790803669754275E-114</v>
      </c>
      <c r="R143" s="6">
        <f t="shared" si="7"/>
        <v>2852510073.0808578</v>
      </c>
      <c r="S143" s="6">
        <f t="shared" si="8"/>
        <v>4.0105611490631632E-208</v>
      </c>
      <c r="T143" s="7"/>
    </row>
    <row r="144" spans="16:20" x14ac:dyDescent="0.2">
      <c r="P144" s="93">
        <v>690</v>
      </c>
      <c r="Q144" s="6">
        <f t="shared" si="6"/>
        <v>2.4359309575429266E-115</v>
      </c>
      <c r="R144" s="6">
        <f t="shared" si="7"/>
        <v>2899204160.1471972</v>
      </c>
      <c r="S144" s="6">
        <f t="shared" si="8"/>
        <v>8.5479309421713838E-210</v>
      </c>
      <c r="T144" s="7"/>
    </row>
    <row r="145" spans="16:20" x14ac:dyDescent="0.2">
      <c r="P145" s="93">
        <v>695</v>
      </c>
      <c r="Q145" s="6">
        <f t="shared" si="6"/>
        <v>3.5338414728587196E-116</v>
      </c>
      <c r="R145" s="6">
        <f t="shared" si="7"/>
        <v>2946145406.564065</v>
      </c>
      <c r="S145" s="6">
        <f t="shared" si="8"/>
        <v>1.8215003882217779E-211</v>
      </c>
      <c r="T145" s="7"/>
    </row>
    <row r="146" spans="16:20" x14ac:dyDescent="0.2">
      <c r="P146" s="93">
        <v>700</v>
      </c>
      <c r="Q146" s="6">
        <f t="shared" si="6"/>
        <v>5.1264640074656873E-117</v>
      </c>
      <c r="R146" s="6">
        <f t="shared" si="7"/>
        <v>2993330602.070076</v>
      </c>
      <c r="S146" s="6">
        <f t="shared" si="8"/>
        <v>3.8807124038713611E-213</v>
      </c>
      <c r="T146" s="7"/>
    </row>
    <row r="147" spans="16:20" x14ac:dyDescent="0.2">
      <c r="P147" s="93">
        <v>705</v>
      </c>
      <c r="Q147" s="6">
        <f t="shared" si="6"/>
        <v>7.4366558287385377E-118</v>
      </c>
      <c r="R147" s="6">
        <f t="shared" si="7"/>
        <v>3040756566.9601164</v>
      </c>
      <c r="S147" s="6">
        <f t="shared" si="8"/>
        <v>8.266260091978491E-215</v>
      </c>
      <c r="T147" s="7"/>
    </row>
    <row r="148" spans="16:20" x14ac:dyDescent="0.2">
      <c r="P148" s="93">
        <v>710</v>
      </c>
      <c r="Q148" s="6">
        <f t="shared" si="6"/>
        <v>1.0787642114554475E-118</v>
      </c>
      <c r="R148" s="6">
        <f t="shared" si="7"/>
        <v>3088420152.0561657</v>
      </c>
      <c r="S148" s="6">
        <f t="shared" si="8"/>
        <v>1.7604493830702265E-216</v>
      </c>
      <c r="T148" s="7"/>
    </row>
    <row r="149" spans="16:20" x14ac:dyDescent="0.2">
      <c r="P149" s="93">
        <v>715</v>
      </c>
      <c r="Q149" s="6">
        <f t="shared" si="6"/>
        <v>1.5648207926760498E-119</v>
      </c>
      <c r="R149" s="6">
        <f t="shared" si="7"/>
        <v>3136318238.6629691</v>
      </c>
      <c r="S149" s="6">
        <f t="shared" si="8"/>
        <v>3.7484895698607474E-218</v>
      </c>
      <c r="T149" s="7"/>
    </row>
    <row r="150" spans="16:20" x14ac:dyDescent="0.2">
      <c r="P150" s="93">
        <v>720</v>
      </c>
      <c r="Q150" s="6">
        <f t="shared" si="6"/>
        <v>2.269823390497534E-120</v>
      </c>
      <c r="R150" s="6">
        <f t="shared" si="7"/>
        <v>3184447738.5094738</v>
      </c>
      <c r="S150" s="6">
        <f t="shared" si="8"/>
        <v>7.9801075084138468E-220</v>
      </c>
      <c r="T150" s="7"/>
    </row>
    <row r="151" spans="16:20" x14ac:dyDescent="0.2">
      <c r="P151" s="93">
        <v>725</v>
      </c>
      <c r="Q151" s="6">
        <f t="shared" si="6"/>
        <v>3.2923731688009202E-121</v>
      </c>
      <c r="R151" s="6">
        <f t="shared" si="7"/>
        <v>3232805593.6768532</v>
      </c>
      <c r="S151" s="6">
        <f t="shared" si="8"/>
        <v>1.6985651135960908E-221</v>
      </c>
      <c r="T151" s="7"/>
    </row>
    <row r="152" spans="16:20" x14ac:dyDescent="0.2">
      <c r="P152" s="93">
        <v>730</v>
      </c>
      <c r="Q152" s="6">
        <f t="shared" si="6"/>
        <v>4.7754655023999042E-122</v>
      </c>
      <c r="R152" s="6">
        <f t="shared" si="7"/>
        <v>3281388776.5139432</v>
      </c>
      <c r="S152" s="6">
        <f t="shared" si="8"/>
        <v>3.614747774513512E-223</v>
      </c>
      <c r="T152" s="7"/>
    </row>
    <row r="153" spans="16:20" x14ac:dyDescent="0.2">
      <c r="P153" s="93">
        <v>735</v>
      </c>
      <c r="Q153" s="6">
        <f t="shared" si="6"/>
        <v>6.9264735984245391E-123</v>
      </c>
      <c r="R153" s="6">
        <f t="shared" si="7"/>
        <v>3330194289.5408306</v>
      </c>
      <c r="S153" s="6">
        <f t="shared" si="8"/>
        <v>7.6912588422296428E-225</v>
      </c>
      <c r="T153" s="7"/>
    </row>
    <row r="154" spans="16:20" x14ac:dyDescent="0.2">
      <c r="P154" s="93">
        <v>740</v>
      </c>
      <c r="Q154" s="6">
        <f t="shared" si="6"/>
        <v>1.0046125635052246E-123</v>
      </c>
      <c r="R154" s="6">
        <f t="shared" si="7"/>
        <v>3379219165.3414001</v>
      </c>
      <c r="S154" s="6">
        <f t="shared" si="8"/>
        <v>1.636220174081854E-226</v>
      </c>
      <c r="T154" s="7"/>
    </row>
    <row r="155" spans="16:20" x14ac:dyDescent="0.2">
      <c r="P155" s="93">
        <v>745</v>
      </c>
      <c r="Q155" s="6">
        <f t="shared" si="6"/>
        <v>1.4570522073045572E-124</v>
      </c>
      <c r="R155" s="6">
        <f t="shared" si="7"/>
        <v>3428460466.4454093</v>
      </c>
      <c r="S155" s="6">
        <f t="shared" si="8"/>
        <v>3.4802638859619158E-228</v>
      </c>
      <c r="T155" s="7"/>
    </row>
    <row r="156" spans="16:20" x14ac:dyDescent="0.2">
      <c r="P156" s="93">
        <v>750</v>
      </c>
      <c r="Q156" s="6">
        <f t="shared" si="6"/>
        <v>2.1132060240998671E-125</v>
      </c>
      <c r="R156" s="6">
        <f t="shared" si="7"/>
        <v>3477915285.2008853</v>
      </c>
      <c r="S156" s="6">
        <f t="shared" si="8"/>
        <v>7.4013326454514497E-230</v>
      </c>
      <c r="T156" s="7"/>
    </row>
    <row r="157" spans="16:20" x14ac:dyDescent="0.2">
      <c r="P157" s="93">
        <v>755</v>
      </c>
      <c r="Q157" s="6">
        <f t="shared" si="6"/>
        <v>3.0647772539408248E-126</v>
      </c>
      <c r="R157" s="6">
        <f t="shared" si="7"/>
        <v>3527580743.6373787</v>
      </c>
      <c r="S157" s="6">
        <f t="shared" si="8"/>
        <v>1.5737515183162355E-231</v>
      </c>
      <c r="T157" s="7"/>
    </row>
    <row r="158" spans="16:20" x14ac:dyDescent="0.2">
      <c r="P158" s="93">
        <v>760</v>
      </c>
      <c r="Q158" s="6">
        <f t="shared" si="6"/>
        <v>4.4447410863718037E-127</v>
      </c>
      <c r="R158" s="6">
        <f t="shared" si="7"/>
        <v>3577453993.3207035</v>
      </c>
      <c r="S158" s="6">
        <f t="shared" si="8"/>
        <v>3.3457388326947565E-233</v>
      </c>
      <c r="T158" s="7"/>
    </row>
    <row r="159" spans="16:20" x14ac:dyDescent="0.2">
      <c r="P159" s="93">
        <v>765</v>
      </c>
      <c r="Q159" s="6">
        <f t="shared" si="6"/>
        <v>6.4459156879436845E-128</v>
      </c>
      <c r="R159" s="6">
        <f t="shared" si="7"/>
        <v>3627532215.1997585</v>
      </c>
      <c r="S159" s="6">
        <f t="shared" si="8"/>
        <v>7.1117858235218099E-235</v>
      </c>
      <c r="T159" s="7"/>
    </row>
    <row r="160" spans="16:20" x14ac:dyDescent="0.2">
      <c r="P160" s="93">
        <v>770</v>
      </c>
      <c r="Q160" s="6">
        <f t="shared" si="6"/>
        <v>9.3478879340057469E-129</v>
      </c>
      <c r="R160" s="6">
        <f t="shared" si="7"/>
        <v>3677812619.4459114</v>
      </c>
      <c r="S160" s="6">
        <f t="shared" si="8"/>
        <v>1.5114617241272246E-236</v>
      </c>
      <c r="T160" s="7"/>
    </row>
    <row r="161" spans="16:20" x14ac:dyDescent="0.2">
      <c r="P161" s="93">
        <v>775</v>
      </c>
      <c r="Q161" s="6">
        <f t="shared" si="6"/>
        <v>1.3556051732275336E-129</v>
      </c>
      <c r="R161" s="6">
        <f t="shared" si="7"/>
        <v>3728292445.2855129</v>
      </c>
      <c r="S161" s="6">
        <f t="shared" si="8"/>
        <v>3.2118005051250483E-238</v>
      </c>
      <c r="T161" s="7"/>
    </row>
    <row r="162" spans="16:20" x14ac:dyDescent="0.2">
      <c r="P162" s="93">
        <v>780</v>
      </c>
      <c r="Q162" s="6">
        <f t="shared" si="6"/>
        <v>1.9658206788521836E-130</v>
      </c>
      <c r="R162" s="6">
        <f t="shared" si="7"/>
        <v>3778968960.8259964</v>
      </c>
      <c r="S162" s="6">
        <f t="shared" si="8"/>
        <v>6.8239202345068568E-240</v>
      </c>
      <c r="T162" s="7"/>
    </row>
    <row r="163" spans="16:20" x14ac:dyDescent="0.2">
      <c r="P163" s="93">
        <v>785</v>
      </c>
      <c r="Q163" s="6">
        <f t="shared" si="6"/>
        <v>2.8506615488651121E-131</v>
      </c>
      <c r="R163" s="6">
        <f t="shared" si="7"/>
        <v>3829839462.8760204</v>
      </c>
      <c r="S163" s="6">
        <f t="shared" si="8"/>
        <v>1.4496204831589238E-241</v>
      </c>
      <c r="T163" s="7"/>
    </row>
    <row r="164" spans="16:20" x14ac:dyDescent="0.2">
      <c r="P164" s="93">
        <v>790</v>
      </c>
      <c r="Q164" s="6">
        <f t="shared" si="6"/>
        <v>4.1336966856379909E-132</v>
      </c>
      <c r="R164" s="6">
        <f t="shared" si="7"/>
        <v>3880901276.7601495</v>
      </c>
      <c r="S164" s="6">
        <f t="shared" si="8"/>
        <v>3.0790070975268089E-243</v>
      </c>
      <c r="T164" s="7"/>
    </row>
    <row r="165" spans="16:20" x14ac:dyDescent="0.2">
      <c r="P165" s="93">
        <v>795</v>
      </c>
      <c r="Q165" s="6">
        <f t="shared" si="6"/>
        <v>5.9940844434639203E-133</v>
      </c>
      <c r="R165" s="6">
        <f t="shared" si="7"/>
        <v>3932151756.1284022</v>
      </c>
      <c r="S165" s="6">
        <f t="shared" si="8"/>
        <v>6.5388901449615457E-245</v>
      </c>
      <c r="T165" s="7"/>
    </row>
    <row r="166" spans="16:20" x14ac:dyDescent="0.2">
      <c r="P166" s="93">
        <v>800</v>
      </c>
      <c r="Q166" s="6">
        <f t="shared" si="6"/>
        <v>8.6915757121916081E-134</v>
      </c>
      <c r="R166" s="6">
        <f t="shared" si="7"/>
        <v>3983588282.7611456</v>
      </c>
      <c r="S166" s="6">
        <f t="shared" si="8"/>
        <v>1.388466256349034E-246</v>
      </c>
      <c r="T166" s="7"/>
    </row>
    <row r="167" spans="16:20" x14ac:dyDescent="0.2">
      <c r="P167" s="93">
        <v>805</v>
      </c>
      <c r="Q167" s="6">
        <f t="shared" si="6"/>
        <v>1.2602760872007716E-134</v>
      </c>
      <c r="R167" s="6">
        <f t="shared" si="7"/>
        <v>4035208266.3696756</v>
      </c>
      <c r="S167" s="6">
        <f t="shared" si="8"/>
        <v>2.9478507683716645E-248</v>
      </c>
      <c r="T167" s="7"/>
    </row>
    <row r="168" spans="16:20" x14ac:dyDescent="0.2">
      <c r="P168" s="93">
        <v>810</v>
      </c>
      <c r="Q168" s="6">
        <f t="shared" si="6"/>
        <v>1.8273616097093559E-135</v>
      </c>
      <c r="R168" s="6">
        <f t="shared" si="7"/>
        <v>4087009144.3927965</v>
      </c>
      <c r="S168" s="6">
        <f t="shared" si="8"/>
        <v>6.2577102928842314E-250</v>
      </c>
      <c r="T168" s="7"/>
    </row>
    <row r="169" spans="16:20" x14ac:dyDescent="0.2">
      <c r="P169" s="93">
        <v>815</v>
      </c>
      <c r="Q169" s="6">
        <f t="shared" si="6"/>
        <v>2.6495677150696272E-136</v>
      </c>
      <c r="R169" s="6">
        <f t="shared" si="7"/>
        <v>4138988381.7898641</v>
      </c>
      <c r="S169" s="6">
        <f t="shared" si="8"/>
        <v>1.3282080440971796E-251</v>
      </c>
      <c r="T169" s="7"/>
    </row>
    <row r="170" spans="16:20" x14ac:dyDescent="0.2">
      <c r="P170" s="93">
        <v>820</v>
      </c>
      <c r="Q170" s="6">
        <f t="shared" si="6"/>
        <v>3.8416462978172355E-137</v>
      </c>
      <c r="R170" s="6">
        <f t="shared" si="7"/>
        <v>4191143470.8304791</v>
      </c>
      <c r="S170" s="6">
        <f t="shared" si="8"/>
        <v>2.8187615149024465E-253</v>
      </c>
      <c r="T170" s="7"/>
    </row>
    <row r="171" spans="16:20" x14ac:dyDescent="0.2">
      <c r="P171" s="93">
        <v>825</v>
      </c>
      <c r="Q171" s="6">
        <f t="shared" si="6"/>
        <v>5.5699546131252627E-138</v>
      </c>
      <c r="R171" s="6">
        <f t="shared" si="7"/>
        <v>4243471930.8811936</v>
      </c>
      <c r="S171" s="6">
        <f t="shared" si="8"/>
        <v>5.9812643453059744E-255</v>
      </c>
      <c r="T171" s="7"/>
    </row>
    <row r="172" spans="16:20" x14ac:dyDescent="0.2">
      <c r="P172" s="93">
        <v>830</v>
      </c>
      <c r="Q172" s="6">
        <f t="shared" si="6"/>
        <v>8.0756587682201908E-139</v>
      </c>
      <c r="R172" s="6">
        <f t="shared" si="7"/>
        <v>4295971308.1895561</v>
      </c>
      <c r="S172" s="6">
        <f t="shared" si="8"/>
        <v>1.2690272278253825E-256</v>
      </c>
      <c r="T172" s="7"/>
    </row>
    <row r="173" spans="16:20" x14ac:dyDescent="0.2">
      <c r="P173" s="93">
        <v>835</v>
      </c>
      <c r="Q173" s="6">
        <f t="shared" si="6"/>
        <v>1.1708368509101951E-139</v>
      </c>
      <c r="R173" s="6">
        <f t="shared" si="7"/>
        <v>4348639175.6656914</v>
      </c>
      <c r="S173" s="6">
        <f t="shared" si="8"/>
        <v>2.6921111738265552E-258</v>
      </c>
      <c r="T173" s="7"/>
    </row>
    <row r="174" spans="16:20" x14ac:dyDescent="0.2">
      <c r="P174" s="93">
        <v>840</v>
      </c>
      <c r="Q174" s="6">
        <f t="shared" si="6"/>
        <v>1.697489199976369E-140</v>
      </c>
      <c r="R174" s="6">
        <f t="shared" si="7"/>
        <v>4401473132.6617584</v>
      </c>
      <c r="S174" s="6">
        <f t="shared" si="8"/>
        <v>5.7103135713550004E-260</v>
      </c>
      <c r="T174" s="7"/>
    </row>
    <row r="175" spans="16:20" x14ac:dyDescent="0.2">
      <c r="P175" s="93">
        <v>845</v>
      </c>
      <c r="Q175" s="6">
        <f t="shared" si="6"/>
        <v>2.4609906451967618E-141</v>
      </c>
      <c r="R175" s="6">
        <f t="shared" si="7"/>
        <v>4454470804.7494459</v>
      </c>
      <c r="S175" s="6">
        <f t="shared" si="8"/>
        <v>1.2110794465635234E-261</v>
      </c>
      <c r="T175" s="7"/>
    </row>
    <row r="176" spans="16:20" x14ac:dyDescent="0.2">
      <c r="P176" s="93">
        <v>850</v>
      </c>
      <c r="Q176" s="6">
        <f t="shared" si="6"/>
        <v>3.5678394465723904E-142</v>
      </c>
      <c r="R176" s="6">
        <f t="shared" si="7"/>
        <v>4507629843.4958248</v>
      </c>
      <c r="S176" s="6">
        <f t="shared" si="8"/>
        <v>2.5682174743757802E-263</v>
      </c>
      <c r="T176" s="7"/>
    </row>
    <row r="177" spans="16:20" x14ac:dyDescent="0.2">
      <c r="P177" s="93">
        <v>855</v>
      </c>
      <c r="Q177" s="6">
        <f t="shared" si="6"/>
        <v>5.172412217928987E-143</v>
      </c>
      <c r="R177" s="6">
        <f t="shared" si="7"/>
        <v>4560947926.237709</v>
      </c>
      <c r="S177" s="6">
        <f t="shared" si="8"/>
        <v>5.4455055814405565E-265</v>
      </c>
      <c r="T177" s="7"/>
    </row>
    <row r="178" spans="16:20" x14ac:dyDescent="0.2">
      <c r="P178" s="93">
        <v>860</v>
      </c>
      <c r="Q178" s="6">
        <f t="shared" si="6"/>
        <v>7.4984850292162223E-144</v>
      </c>
      <c r="R178" s="6">
        <f t="shared" si="7"/>
        <v>4614422755.8548012</v>
      </c>
      <c r="S178" s="6">
        <f t="shared" si="8"/>
        <v>1.1544964783479106E-266</v>
      </c>
      <c r="T178" s="7"/>
    </row>
    <row r="179" spans="16:20" x14ac:dyDescent="0.2">
      <c r="P179" s="93">
        <v>865</v>
      </c>
      <c r="Q179" s="6">
        <f t="shared" si="6"/>
        <v>1.0870426612883166E-144</v>
      </c>
      <c r="R179" s="6">
        <f t="shared" si="7"/>
        <v>4668052060.5417194</v>
      </c>
      <c r="S179" s="6">
        <f t="shared" si="8"/>
        <v>2.4473480827227351E-268</v>
      </c>
      <c r="T179" s="7"/>
    </row>
    <row r="180" spans="16:20" x14ac:dyDescent="0.2">
      <c r="P180" s="93">
        <v>870</v>
      </c>
      <c r="Q180" s="6">
        <f t="shared" si="6"/>
        <v>1.5758409886915165E-145</v>
      </c>
      <c r="R180" s="6">
        <f t="shared" si="7"/>
        <v>4721833593.5792437</v>
      </c>
      <c r="S180" s="6">
        <f t="shared" si="8"/>
        <v>5.1873830095632746E-270</v>
      </c>
      <c r="T180" s="7"/>
    </row>
    <row r="181" spans="16:20" x14ac:dyDescent="0.2">
      <c r="P181" s="93">
        <v>875</v>
      </c>
      <c r="Q181" s="6">
        <f t="shared" si="6"/>
        <v>2.2843940712894405E-146</v>
      </c>
      <c r="R181" s="6">
        <f t="shared" si="7"/>
        <v>4775765133.1048012</v>
      </c>
      <c r="S181" s="6">
        <f t="shared" si="8"/>
        <v>1.0993881016773989E-271</v>
      </c>
      <c r="T181" s="7"/>
    </row>
    <row r="182" spans="16:20" x14ac:dyDescent="0.2">
      <c r="P182" s="93">
        <v>880</v>
      </c>
      <c r="Q182" s="6">
        <f t="shared" si="6"/>
        <v>3.311483271731283E-147</v>
      </c>
      <c r="R182" s="6">
        <f t="shared" si="7"/>
        <v>4829844481.8824549</v>
      </c>
      <c r="S182" s="6">
        <f t="shared" si="8"/>
        <v>2.3297245880085717E-273</v>
      </c>
      <c r="T182" s="7"/>
    </row>
    <row r="183" spans="16:20" x14ac:dyDescent="0.2">
      <c r="P183" s="93">
        <v>885</v>
      </c>
      <c r="Q183" s="6">
        <f t="shared" si="6"/>
        <v>4.8002858125959922E-148</v>
      </c>
      <c r="R183" s="6">
        <f t="shared" si="7"/>
        <v>4884069467.0725603</v>
      </c>
      <c r="S183" s="6">
        <f t="shared" si="8"/>
        <v>4.9363920389377562E-275</v>
      </c>
      <c r="T183" s="7"/>
    </row>
    <row r="184" spans="16:20" x14ac:dyDescent="0.2">
      <c r="P184" s="93">
        <v>890</v>
      </c>
      <c r="Q184" s="6">
        <f t="shared" si="6"/>
        <v>6.9583247851979669E-149</v>
      </c>
      <c r="R184" s="6">
        <f t="shared" si="7"/>
        <v>4938437940.0011415</v>
      </c>
      <c r="S184" s="6">
        <f t="shared" si="8"/>
        <v>1.045843917045427E-276</v>
      </c>
      <c r="T184" s="7"/>
    </row>
    <row r="185" spans="16:20" x14ac:dyDescent="0.2">
      <c r="P185" s="93">
        <v>895</v>
      </c>
      <c r="Q185" s="6">
        <f t="shared" si="6"/>
        <v>1.0086382690430999E-149</v>
      </c>
      <c r="R185" s="6">
        <f t="shared" si="7"/>
        <v>4992947775.9292688</v>
      </c>
      <c r="S185" s="6">
        <f t="shared" si="8"/>
        <v>2.2155263900681306E-278</v>
      </c>
      <c r="T185" s="7"/>
    </row>
    <row r="186" spans="16:20" x14ac:dyDescent="0.2">
      <c r="P186" s="93">
        <v>900</v>
      </c>
      <c r="Q186" s="6">
        <f t="shared" si="6"/>
        <v>1.4620405245346394E-150</v>
      </c>
      <c r="R186" s="6">
        <f t="shared" si="7"/>
        <v>5047596873.8224373</v>
      </c>
      <c r="S186" s="6">
        <f t="shared" si="8"/>
        <v>4.6928906914073285E-280</v>
      </c>
      <c r="T186" s="7"/>
    </row>
    <row r="187" spans="16:20" x14ac:dyDescent="0.2">
      <c r="P187" s="93">
        <v>905</v>
      </c>
      <c r="Q187" s="6">
        <f t="shared" si="6"/>
        <v>2.1192230888476289E-151</v>
      </c>
      <c r="R187" s="6">
        <f t="shared" si="7"/>
        <v>5102383156.1201792</v>
      </c>
      <c r="S187" s="6">
        <f t="shared" si="8"/>
        <v>9.9393511273911121E-282</v>
      </c>
      <c r="T187" s="7"/>
    </row>
    <row r="188" spans="16:20" x14ac:dyDescent="0.2">
      <c r="P188" s="93">
        <v>910</v>
      </c>
      <c r="Q188" s="6">
        <f t="shared" si="6"/>
        <v>3.0717602425707979E-152</v>
      </c>
      <c r="R188" s="6">
        <f t="shared" si="7"/>
        <v>5157304568.5059414</v>
      </c>
      <c r="S188" s="6">
        <f t="shared" si="8"/>
        <v>2.1048944575101013E-283</v>
      </c>
      <c r="T188" s="7"/>
    </row>
    <row r="189" spans="16:20" x14ac:dyDescent="0.2">
      <c r="P189" s="93">
        <v>915</v>
      </c>
      <c r="Q189" s="6">
        <f t="shared" si="6"/>
        <v>4.4523715347815754E-153</v>
      </c>
      <c r="R189" s="6">
        <f t="shared" si="7"/>
        <v>5212359079.6774139</v>
      </c>
      <c r="S189" s="6">
        <f t="shared" si="8"/>
        <v>0</v>
      </c>
      <c r="T189" s="7"/>
    </row>
    <row r="190" spans="16:20" x14ac:dyDescent="0.2">
      <c r="P190" s="93">
        <v>920</v>
      </c>
      <c r="Q190" s="6">
        <f t="shared" si="6"/>
        <v>6.4534061072872979E-154</v>
      </c>
      <c r="R190" s="6">
        <f t="shared" si="7"/>
        <v>5267544681.1173573</v>
      </c>
      <c r="S190" s="6">
        <f t="shared" si="8"/>
        <v>0</v>
      </c>
      <c r="T190" s="7"/>
    </row>
    <row r="191" spans="16:20" x14ac:dyDescent="0.2">
      <c r="P191" s="93">
        <v>925</v>
      </c>
      <c r="Q191" s="6">
        <f t="shared" si="6"/>
        <v>9.353629858372841E-155</v>
      </c>
      <c r="R191" s="6">
        <f t="shared" si="7"/>
        <v>5322859386.8650646</v>
      </c>
      <c r="S191" s="6">
        <f t="shared" si="8"/>
        <v>0</v>
      </c>
      <c r="T191" s="7"/>
    </row>
    <row r="192" spans="16:20" x14ac:dyDescent="0.2">
      <c r="P192" s="93">
        <v>930</v>
      </c>
      <c r="Q192" s="6">
        <f t="shared" si="6"/>
        <v>1.3557044434931474E-155</v>
      </c>
      <c r="R192" s="6">
        <f t="shared" si="7"/>
        <v>5378301233.2885313</v>
      </c>
      <c r="S192" s="6">
        <f t="shared" si="8"/>
        <v>0</v>
      </c>
      <c r="T192" s="7"/>
    </row>
    <row r="193" spans="16:20" x14ac:dyDescent="0.2">
      <c r="P193" s="93">
        <v>935</v>
      </c>
      <c r="Q193" s="6">
        <f t="shared" si="6"/>
        <v>1.9649141594493492E-156</v>
      </c>
      <c r="R193" s="6">
        <f t="shared" si="7"/>
        <v>5433868278.8574209</v>
      </c>
      <c r="S193" s="6">
        <f t="shared" si="8"/>
        <v>0</v>
      </c>
      <c r="T193" s="7"/>
    </row>
    <row r="194" spans="16:20" x14ac:dyDescent="0.2">
      <c r="P194" s="93">
        <v>940</v>
      </c>
      <c r="Q194" s="6">
        <f t="shared" si="6"/>
        <v>2.8478422916640059E-157</v>
      </c>
      <c r="R194" s="6">
        <f t="shared" si="7"/>
        <v>5489558603.9169331</v>
      </c>
      <c r="S194" s="6">
        <f t="shared" si="8"/>
        <v>0</v>
      </c>
      <c r="T194" s="7"/>
    </row>
    <row r="195" spans="16:20" x14ac:dyDescent="0.2">
      <c r="P195" s="93">
        <v>945</v>
      </c>
      <c r="Q195" s="6">
        <f t="shared" si="6"/>
        <v>4.1274530726705862E-158</v>
      </c>
      <c r="R195" s="6">
        <f t="shared" si="7"/>
        <v>5545370310.462595</v>
      </c>
      <c r="S195" s="6">
        <f t="shared" si="8"/>
        <v>0</v>
      </c>
      <c r="T195" s="7"/>
    </row>
    <row r="196" spans="16:20" x14ac:dyDescent="0.2">
      <c r="P196" s="93">
        <v>950</v>
      </c>
      <c r="Q196" s="6">
        <f t="shared" si="6"/>
        <v>5.9819430513969353E-159</v>
      </c>
      <c r="R196" s="6">
        <f t="shared" si="7"/>
        <v>5601301521.9161205</v>
      </c>
      <c r="S196" s="6">
        <f t="shared" si="8"/>
        <v>0</v>
      </c>
      <c r="T196" s="7"/>
    </row>
    <row r="197" spans="16:20" x14ac:dyDescent="0.2">
      <c r="P197" s="93">
        <v>955</v>
      </c>
      <c r="Q197" s="6">
        <f t="shared" si="6"/>
        <v>8.6695466716115717E-160</v>
      </c>
      <c r="R197" s="6">
        <f t="shared" si="7"/>
        <v>5657350382.9023485</v>
      </c>
      <c r="S197" s="6">
        <f t="shared" si="8"/>
        <v>0</v>
      </c>
      <c r="T197" s="7"/>
    </row>
    <row r="198" spans="16:20" x14ac:dyDescent="0.2">
      <c r="P198" s="93">
        <v>960</v>
      </c>
      <c r="Q198" s="6">
        <f t="shared" ref="Q198:Q261" si="9">2*SQRT(P198/(PI()*($G$4)^3))*EXP((-P198)/(2*$G$4))</f>
        <v>1.2564480921817252E-160</v>
      </c>
      <c r="R198" s="6">
        <f t="shared" ref="R198:R261" si="10">(EXP(-(31.29*$B$9*$C$9*(SQRT($B$11/P198)))))*$R$4</f>
        <v>5713515059.0273428</v>
      </c>
      <c r="S198" s="6">
        <f t="shared" ref="S198:S261" si="11">$S$4*(2*SQRT(P198/(PI()*($G$4)^3))*EXP((-(P198)/($G$4))-SQRT(($Q$4*1000)/P198)))</f>
        <v>0</v>
      </c>
      <c r="T198" s="7"/>
    </row>
    <row r="199" spans="16:20" x14ac:dyDescent="0.2">
      <c r="P199" s="93">
        <v>965</v>
      </c>
      <c r="Q199" s="6">
        <f t="shared" si="9"/>
        <v>1.8209030483682507E-161</v>
      </c>
      <c r="R199" s="6">
        <f t="shared" si="10"/>
        <v>5769793736.6577158</v>
      </c>
      <c r="S199" s="6">
        <f t="shared" si="11"/>
        <v>0</v>
      </c>
      <c r="T199" s="7"/>
    </row>
    <row r="200" spans="16:20" x14ac:dyDescent="0.2">
      <c r="P200" s="93">
        <v>970</v>
      </c>
      <c r="Q200" s="6">
        <f t="shared" si="9"/>
        <v>2.6389020165788903E-162</v>
      </c>
      <c r="R200" s="6">
        <f t="shared" si="10"/>
        <v>5826184622.7012262</v>
      </c>
      <c r="S200" s="6">
        <f t="shared" si="11"/>
        <v>0</v>
      </c>
      <c r="T200" s="7"/>
    </row>
    <row r="201" spans="16:20" x14ac:dyDescent="0.2">
      <c r="P201" s="93">
        <v>975</v>
      </c>
      <c r="Q201" s="6">
        <f t="shared" si="9"/>
        <v>3.8243174690347476E-163</v>
      </c>
      <c r="R201" s="6">
        <f t="shared" si="10"/>
        <v>5882685944.3886909</v>
      </c>
      <c r="S201" s="6">
        <f t="shared" si="11"/>
        <v>0</v>
      </c>
      <c r="T201" s="7"/>
    </row>
    <row r="202" spans="16:20" x14ac:dyDescent="0.2">
      <c r="P202" s="93">
        <v>980</v>
      </c>
      <c r="Q202" s="6">
        <f t="shared" si="9"/>
        <v>5.5421579497124049E-164</v>
      </c>
      <c r="R202" s="6">
        <f t="shared" si="10"/>
        <v>5939295949.0572824</v>
      </c>
      <c r="S202" s="6">
        <f t="shared" si="11"/>
        <v>0</v>
      </c>
      <c r="T202" s="7"/>
    </row>
    <row r="203" spans="16:20" x14ac:dyDescent="0.2">
      <c r="P203" s="93">
        <v>985</v>
      </c>
      <c r="Q203" s="6">
        <f t="shared" si="9"/>
        <v>8.0315285565673038E-165</v>
      </c>
      <c r="R203" s="6">
        <f t="shared" si="10"/>
        <v>5996012903.9352331</v>
      </c>
      <c r="S203" s="6">
        <f t="shared" si="11"/>
        <v>0</v>
      </c>
      <c r="T203" s="7"/>
    </row>
    <row r="204" spans="16:20" x14ac:dyDescent="0.2">
      <c r="P204" s="93">
        <v>990</v>
      </c>
      <c r="Q204" s="6">
        <f t="shared" si="9"/>
        <v>1.1638899589628411E-165</v>
      </c>
      <c r="R204" s="6">
        <f t="shared" si="10"/>
        <v>6052835095.9279938</v>
      </c>
      <c r="S204" s="6">
        <f t="shared" si="11"/>
        <v>0</v>
      </c>
      <c r="T204" s="7"/>
    </row>
    <row r="205" spans="16:20" x14ac:dyDescent="0.2">
      <c r="P205" s="93">
        <v>995</v>
      </c>
      <c r="Q205" s="6">
        <f t="shared" si="9"/>
        <v>1.686631069188297E-166</v>
      </c>
      <c r="R205" s="6">
        <f t="shared" si="10"/>
        <v>6109760831.4058933</v>
      </c>
      <c r="S205" s="6">
        <f t="shared" si="11"/>
        <v>0</v>
      </c>
      <c r="T205" s="7"/>
    </row>
    <row r="206" spans="16:20" x14ac:dyDescent="0.2">
      <c r="P206" s="93">
        <v>1000</v>
      </c>
      <c r="Q206" s="6">
        <f t="shared" si="9"/>
        <v>2.4441214773686202E-167</v>
      </c>
      <c r="R206" s="6">
        <f t="shared" si="10"/>
        <v>6166788435.9933147</v>
      </c>
      <c r="S206" s="6">
        <f t="shared" si="11"/>
        <v>0</v>
      </c>
      <c r="T206" s="7"/>
    </row>
    <row r="207" spans="16:20" x14ac:dyDescent="0.2">
      <c r="P207" s="93">
        <v>1005</v>
      </c>
      <c r="Q207" s="6">
        <f t="shared" si="9"/>
        <v>3.5417675110893904E-168</v>
      </c>
      <c r="R207" s="6">
        <f t="shared" si="10"/>
        <v>6223916254.359437</v>
      </c>
      <c r="S207" s="6">
        <f t="shared" si="11"/>
        <v>0</v>
      </c>
      <c r="T207" s="7"/>
    </row>
    <row r="208" spans="16:20" x14ac:dyDescent="0.2">
      <c r="P208" s="93">
        <v>1010</v>
      </c>
      <c r="Q208" s="6">
        <f t="shared" si="9"/>
        <v>5.1322988536647347E-169</v>
      </c>
      <c r="R208" s="6">
        <f t="shared" si="10"/>
        <v>6281142650.0105648</v>
      </c>
      <c r="S208" s="6">
        <f t="shared" si="11"/>
        <v>0</v>
      </c>
      <c r="T208" s="7"/>
    </row>
    <row r="209" spans="16:20" x14ac:dyDescent="0.2">
      <c r="P209" s="93">
        <v>1015</v>
      </c>
      <c r="Q209" s="6">
        <f t="shared" si="9"/>
        <v>7.4370123590499941E-170</v>
      </c>
      <c r="R209" s="6">
        <f t="shared" si="10"/>
        <v>6338466005.0840559</v>
      </c>
      <c r="S209" s="6">
        <f t="shared" si="11"/>
        <v>0</v>
      </c>
      <c r="T209" s="7"/>
    </row>
    <row r="210" spans="16:20" x14ac:dyDescent="0.2">
      <c r="P210" s="93">
        <v>1020</v>
      </c>
      <c r="Q210" s="6">
        <f t="shared" si="9"/>
        <v>1.077655127275247E-170</v>
      </c>
      <c r="R210" s="6">
        <f t="shared" si="10"/>
        <v>6395884720.1439171</v>
      </c>
      <c r="S210" s="6">
        <f t="shared" si="11"/>
        <v>0</v>
      </c>
      <c r="T210" s="7"/>
    </row>
    <row r="211" spans="16:20" x14ac:dyDescent="0.2">
      <c r="P211" s="93">
        <v>1025</v>
      </c>
      <c r="Q211" s="6">
        <f t="shared" si="9"/>
        <v>1.5615499398649593E-171</v>
      </c>
      <c r="R211" s="6">
        <f t="shared" si="10"/>
        <v>6453397213.978035</v>
      </c>
      <c r="S211" s="6">
        <f t="shared" si="11"/>
        <v>0</v>
      </c>
      <c r="T211" s="7"/>
    </row>
    <row r="212" spans="16:20" x14ac:dyDescent="0.2">
      <c r="P212" s="93">
        <v>1030</v>
      </c>
      <c r="Q212" s="6">
        <f t="shared" si="9"/>
        <v>2.262699022207136E-172</v>
      </c>
      <c r="R212" s="6">
        <f t="shared" si="10"/>
        <v>6511001923.397089</v>
      </c>
      <c r="S212" s="6">
        <f t="shared" si="11"/>
        <v>0</v>
      </c>
      <c r="T212" s="7"/>
    </row>
    <row r="213" spans="16:20" x14ac:dyDescent="0.2">
      <c r="P213" s="93">
        <v>1035</v>
      </c>
      <c r="Q213" s="6">
        <f t="shared" si="9"/>
        <v>3.2786313201883248E-173</v>
      </c>
      <c r="R213" s="6">
        <f t="shared" si="10"/>
        <v>6568697303.0351677</v>
      </c>
      <c r="S213" s="6">
        <f t="shared" si="11"/>
        <v>0</v>
      </c>
      <c r="T213" s="7"/>
    </row>
    <row r="214" spans="16:20" x14ac:dyDescent="0.2">
      <c r="P214" s="93">
        <v>1040</v>
      </c>
      <c r="Q214" s="6">
        <f t="shared" si="9"/>
        <v>4.7506530005615764E-174</v>
      </c>
      <c r="R214" s="6">
        <f t="shared" si="10"/>
        <v>6626481825.1520853</v>
      </c>
      <c r="S214" s="6">
        <f t="shared" si="11"/>
        <v>0</v>
      </c>
      <c r="T214" s="7"/>
    </row>
    <row r="215" spans="16:20" x14ac:dyDescent="0.2">
      <c r="P215" s="93">
        <v>1045</v>
      </c>
      <c r="Q215" s="6">
        <f t="shared" si="9"/>
        <v>6.883495245661895E-175</v>
      </c>
      <c r="R215" s="6">
        <f t="shared" si="10"/>
        <v>6684353979.4374437</v>
      </c>
      <c r="S215" s="6">
        <f t="shared" si="11"/>
        <v>0</v>
      </c>
      <c r="T215" s="7"/>
    </row>
    <row r="216" spans="16:20" x14ac:dyDescent="0.2">
      <c r="P216" s="93">
        <v>1050</v>
      </c>
      <c r="Q216" s="6">
        <f t="shared" si="9"/>
        <v>9.9737792717310031E-176</v>
      </c>
      <c r="R216" s="6">
        <f t="shared" si="10"/>
        <v>6742312272.8164072</v>
      </c>
      <c r="S216" s="6">
        <f t="shared" si="11"/>
        <v>0</v>
      </c>
      <c r="T216" s="7"/>
    </row>
    <row r="217" spans="16:20" x14ac:dyDescent="0.2">
      <c r="P217" s="93">
        <v>1055</v>
      </c>
      <c r="Q217" s="6">
        <f t="shared" si="9"/>
        <v>1.4451255002843815E-176</v>
      </c>
      <c r="R217" s="6">
        <f t="shared" si="10"/>
        <v>6800355229.2572498</v>
      </c>
      <c r="S217" s="6">
        <f t="shared" si="11"/>
        <v>0</v>
      </c>
      <c r="T217" s="7"/>
    </row>
    <row r="218" spans="16:20" x14ac:dyDescent="0.2">
      <c r="P218" s="93">
        <v>1060</v>
      </c>
      <c r="Q218" s="6">
        <f t="shared" si="9"/>
        <v>2.0938544964566989E-177</v>
      </c>
      <c r="R218" s="6">
        <f t="shared" si="10"/>
        <v>6858481389.5806322</v>
      </c>
      <c r="S218" s="6">
        <f t="shared" si="11"/>
        <v>0</v>
      </c>
      <c r="T218" s="7"/>
    </row>
    <row r="219" spans="16:20" x14ac:dyDescent="0.2">
      <c r="P219" s="93">
        <v>1065</v>
      </c>
      <c r="Q219" s="6">
        <f t="shared" si="9"/>
        <v>3.0337696462151335E-178</v>
      </c>
      <c r="R219" s="6">
        <f t="shared" si="10"/>
        <v>6916689311.2706575</v>
      </c>
      <c r="S219" s="6">
        <f t="shared" si="11"/>
        <v>0</v>
      </c>
      <c r="T219" s="7"/>
    </row>
    <row r="220" spans="16:20" x14ac:dyDescent="0.2">
      <c r="P220" s="93">
        <v>1070</v>
      </c>
      <c r="Q220" s="6">
        <f t="shared" si="9"/>
        <v>4.3955570213098703E-179</v>
      </c>
      <c r="R220" s="6">
        <f t="shared" si="10"/>
        <v>6974977568.2877035</v>
      </c>
      <c r="S220" s="6">
        <f t="shared" si="11"/>
        <v>0</v>
      </c>
      <c r="T220" s="7"/>
    </row>
    <row r="221" spans="16:20" x14ac:dyDescent="0.2">
      <c r="P221" s="93">
        <v>1075</v>
      </c>
      <c r="Q221" s="6">
        <f t="shared" si="9"/>
        <v>6.3685489783391592E-180</v>
      </c>
      <c r="R221" s="6">
        <f t="shared" si="10"/>
        <v>7033344750.883008</v>
      </c>
      <c r="S221" s="6">
        <f t="shared" si="11"/>
        <v>0</v>
      </c>
      <c r="T221" s="7"/>
    </row>
    <row r="222" spans="16:20" x14ac:dyDescent="0.2">
      <c r="P222" s="93">
        <v>1080</v>
      </c>
      <c r="Q222" s="6">
        <f t="shared" si="9"/>
        <v>9.227039299911993E-181</v>
      </c>
      <c r="R222" s="6">
        <f t="shared" si="10"/>
        <v>7091789465.4150562</v>
      </c>
      <c r="S222" s="6">
        <f t="shared" si="11"/>
        <v>0</v>
      </c>
      <c r="T222" s="7"/>
    </row>
    <row r="223" spans="16:20" x14ac:dyDescent="0.2">
      <c r="P223" s="93">
        <v>1085</v>
      </c>
      <c r="Q223" s="6">
        <f t="shared" si="9"/>
        <v>1.3368404973043552E-181</v>
      </c>
      <c r="R223" s="6">
        <f t="shared" si="10"/>
        <v>7150310334.1677017</v>
      </c>
      <c r="S223" s="6">
        <f t="shared" si="11"/>
        <v>0</v>
      </c>
      <c r="T223" s="7"/>
    </row>
    <row r="224" spans="16:20" x14ac:dyDescent="0.2">
      <c r="P224" s="93">
        <v>1090</v>
      </c>
      <c r="Q224" s="6">
        <f t="shared" si="9"/>
        <v>1.9368331279662298E-182</v>
      </c>
      <c r="R224" s="6">
        <f t="shared" si="10"/>
        <v>7208905995.1701384</v>
      </c>
      <c r="S224" s="6">
        <f t="shared" si="11"/>
        <v>0</v>
      </c>
      <c r="T224" s="7"/>
    </row>
    <row r="225" spans="16:20" x14ac:dyDescent="0.2">
      <c r="P225" s="93">
        <v>1095</v>
      </c>
      <c r="Q225" s="6">
        <f t="shared" si="9"/>
        <v>2.8060812829050401E-183</v>
      </c>
      <c r="R225" s="6">
        <f t="shared" si="10"/>
        <v>7267575102.0185785</v>
      </c>
      <c r="S225" s="6">
        <f t="shared" si="11"/>
        <v>0</v>
      </c>
      <c r="T225" s="7"/>
    </row>
    <row r="226" spans="16:20" x14ac:dyDescent="0.2">
      <c r="P226" s="93">
        <v>1100</v>
      </c>
      <c r="Q226" s="6">
        <f t="shared" si="9"/>
        <v>4.0654044809838125E-184</v>
      </c>
      <c r="R226" s="6">
        <f t="shared" si="10"/>
        <v>7326316323.6997595</v>
      </c>
      <c r="S226" s="6">
        <f t="shared" si="11"/>
        <v>0</v>
      </c>
      <c r="T226" s="7"/>
    </row>
    <row r="227" spans="16:20" x14ac:dyDescent="0.2">
      <c r="P227" s="93">
        <v>1105</v>
      </c>
      <c r="Q227" s="6">
        <f t="shared" si="9"/>
        <v>5.8898304033567917E-185</v>
      </c>
      <c r="R227" s="6">
        <f t="shared" si="10"/>
        <v>7385128344.4162083</v>
      </c>
      <c r="S227" s="6">
        <f t="shared" si="11"/>
        <v>0</v>
      </c>
      <c r="T227" s="7"/>
    </row>
    <row r="228" spans="16:20" x14ac:dyDescent="0.2">
      <c r="P228" s="93">
        <v>1110</v>
      </c>
      <c r="Q228" s="6">
        <f t="shared" si="9"/>
        <v>8.5329140575676577E-186</v>
      </c>
      <c r="R228" s="6">
        <f t="shared" si="10"/>
        <v>7444009863.4132586</v>
      </c>
      <c r="S228" s="6">
        <f t="shared" si="11"/>
        <v>0</v>
      </c>
      <c r="T228" s="7"/>
    </row>
    <row r="229" spans="16:20" x14ac:dyDescent="0.2">
      <c r="P229" s="93">
        <v>1115</v>
      </c>
      <c r="Q229" s="6">
        <f t="shared" si="9"/>
        <v>1.2361966073659331E-186</v>
      </c>
      <c r="R229" s="6">
        <f t="shared" si="10"/>
        <v>7502959594.807888</v>
      </c>
      <c r="S229" s="6">
        <f t="shared" si="11"/>
        <v>0</v>
      </c>
      <c r="T229" s="7"/>
    </row>
    <row r="230" spans="16:20" x14ac:dyDescent="0.2">
      <c r="P230" s="93">
        <v>1120</v>
      </c>
      <c r="Q230" s="6">
        <f t="shared" si="9"/>
        <v>1.7909083304678786E-187</v>
      </c>
      <c r="R230" s="6">
        <f t="shared" si="10"/>
        <v>7561976267.4192696</v>
      </c>
      <c r="S230" s="6">
        <f t="shared" si="11"/>
        <v>0</v>
      </c>
      <c r="T230" s="7"/>
    </row>
    <row r="231" spans="16:20" x14ac:dyDescent="0.2">
      <c r="P231" s="93">
        <v>1125</v>
      </c>
      <c r="Q231" s="6">
        <f t="shared" si="9"/>
        <v>2.5945069480417094E-188</v>
      </c>
      <c r="R231" s="6">
        <f t="shared" si="10"/>
        <v>7621058624.6011047</v>
      </c>
      <c r="S231" s="6">
        <f t="shared" si="11"/>
        <v>0</v>
      </c>
      <c r="T231" s="7"/>
    </row>
    <row r="232" spans="16:20" x14ac:dyDescent="0.2">
      <c r="P232" s="93">
        <v>1130</v>
      </c>
      <c r="Q232" s="6">
        <f t="shared" si="9"/>
        <v>3.7586512413684524E-189</v>
      </c>
      <c r="R232" s="6">
        <f t="shared" si="10"/>
        <v>7680205424.0757198</v>
      </c>
      <c r="S232" s="6">
        <f t="shared" si="11"/>
        <v>0</v>
      </c>
      <c r="T232" s="7"/>
    </row>
    <row r="233" spans="16:20" x14ac:dyDescent="0.2">
      <c r="P233" s="93">
        <v>1135</v>
      </c>
      <c r="Q233" s="6">
        <f t="shared" si="9"/>
        <v>5.4450888504334026E-190</v>
      </c>
      <c r="R233" s="6">
        <f t="shared" si="10"/>
        <v>7739415437.7698793</v>
      </c>
      <c r="S233" s="6">
        <f t="shared" si="11"/>
        <v>0</v>
      </c>
      <c r="T233" s="7"/>
    </row>
    <row r="234" spans="16:20" x14ac:dyDescent="0.2">
      <c r="P234" s="93">
        <v>1140</v>
      </c>
      <c r="Q234" s="6">
        <f t="shared" si="9"/>
        <v>7.8881234228660042E-191</v>
      </c>
      <c r="R234" s="6">
        <f t="shared" si="10"/>
        <v>7798687451.6523666</v>
      </c>
      <c r="S234" s="6">
        <f t="shared" si="11"/>
        <v>0</v>
      </c>
      <c r="T234" s="7"/>
    </row>
    <row r="235" spans="16:20" x14ac:dyDescent="0.2">
      <c r="P235" s="93">
        <v>1145</v>
      </c>
      <c r="Q235" s="6">
        <f t="shared" si="9"/>
        <v>1.1427158373955498E-191</v>
      </c>
      <c r="R235" s="6">
        <f t="shared" si="10"/>
        <v>7858020265.5732794</v>
      </c>
      <c r="S235" s="6">
        <f t="shared" si="11"/>
        <v>0</v>
      </c>
      <c r="T235" s="7"/>
    </row>
    <row r="236" spans="16:20" x14ac:dyDescent="0.2">
      <c r="P236" s="93">
        <v>1150</v>
      </c>
      <c r="Q236" s="6">
        <f t="shared" si="9"/>
        <v>1.6553836252267352E-192</v>
      </c>
      <c r="R236" s="6">
        <f t="shared" si="10"/>
        <v>7917412693.1050529</v>
      </c>
      <c r="S236" s="6">
        <f t="shared" si="11"/>
        <v>0</v>
      </c>
      <c r="T236" s="7"/>
    </row>
    <row r="237" spans="16:20" x14ac:dyDescent="0.2">
      <c r="P237" s="93">
        <v>1155</v>
      </c>
      <c r="Q237" s="6">
        <f t="shared" si="9"/>
        <v>2.3980319132388828E-193</v>
      </c>
      <c r="R237" s="6">
        <f t="shared" si="10"/>
        <v>7976863561.3851938</v>
      </c>
      <c r="S237" s="6">
        <f t="shared" si="11"/>
        <v>0</v>
      </c>
      <c r="T237" s="7"/>
    </row>
    <row r="238" spans="16:20" x14ac:dyDescent="0.2">
      <c r="P238" s="93">
        <v>1160</v>
      </c>
      <c r="Q238" s="6">
        <f t="shared" si="9"/>
        <v>3.4738190504645367E-194</v>
      </c>
      <c r="R238" s="6">
        <f t="shared" si="10"/>
        <v>8036371710.9607334</v>
      </c>
      <c r="S238" s="6">
        <f t="shared" si="11"/>
        <v>0</v>
      </c>
      <c r="T238" s="7"/>
    </row>
    <row r="239" spans="16:20" x14ac:dyDescent="0.2">
      <c r="P239" s="93">
        <v>1165</v>
      </c>
      <c r="Q239" s="6">
        <f t="shared" si="9"/>
        <v>5.0321710180352906E-195</v>
      </c>
      <c r="R239" s="6">
        <f t="shared" si="10"/>
        <v>8095935995.6343422</v>
      </c>
      <c r="S239" s="6">
        <f t="shared" si="11"/>
        <v>0</v>
      </c>
      <c r="T239" s="7"/>
    </row>
    <row r="240" spans="16:20" x14ac:dyDescent="0.2">
      <c r="P240" s="93">
        <v>1170</v>
      </c>
      <c r="Q240" s="6">
        <f t="shared" si="9"/>
        <v>7.2895310792309393E-196</v>
      </c>
      <c r="R240" s="6">
        <f t="shared" si="10"/>
        <v>8155555282.3121595</v>
      </c>
      <c r="S240" s="6">
        <f t="shared" si="11"/>
        <v>0</v>
      </c>
      <c r="T240" s="7"/>
    </row>
    <row r="241" spans="16:20" x14ac:dyDescent="0.2">
      <c r="P241" s="93">
        <v>1175</v>
      </c>
      <c r="Q241" s="6">
        <f t="shared" si="9"/>
        <v>1.0559414205872471E-196</v>
      </c>
      <c r="R241" s="6">
        <f t="shared" si="10"/>
        <v>8215228450.8532906</v>
      </c>
      <c r="S241" s="6">
        <f t="shared" si="11"/>
        <v>0</v>
      </c>
      <c r="T241" s="7"/>
    </row>
    <row r="242" spans="16:20" x14ac:dyDescent="0.2">
      <c r="P242" s="93">
        <v>1180</v>
      </c>
      <c r="Q242" s="6">
        <f t="shared" si="9"/>
        <v>1.529593846806063E-197</v>
      </c>
      <c r="R242" s="6">
        <f t="shared" si="10"/>
        <v>8274954393.9209442</v>
      </c>
      <c r="S242" s="6">
        <f t="shared" si="11"/>
        <v>0</v>
      </c>
      <c r="T242" s="7"/>
    </row>
    <row r="243" spans="16:20" x14ac:dyDescent="0.2">
      <c r="P243" s="93">
        <v>1185</v>
      </c>
      <c r="Q243" s="6">
        <f t="shared" si="9"/>
        <v>2.2156876192743993E-198</v>
      </c>
      <c r="R243" s="6">
        <f t="shared" si="10"/>
        <v>8334732016.8352566</v>
      </c>
      <c r="S243" s="6">
        <f t="shared" si="11"/>
        <v>0</v>
      </c>
      <c r="T243" s="7"/>
    </row>
    <row r="244" spans="16:20" x14ac:dyDescent="0.2">
      <c r="P244" s="93">
        <v>1190</v>
      </c>
      <c r="Q244" s="6">
        <f t="shared" si="9"/>
        <v>3.2094976946742915E-199</v>
      </c>
      <c r="R244" s="6">
        <f t="shared" si="10"/>
        <v>8394560237.4277172</v>
      </c>
      <c r="S244" s="6">
        <f t="shared" si="11"/>
        <v>0</v>
      </c>
      <c r="T244" s="7"/>
    </row>
    <row r="245" spans="16:20" x14ac:dyDescent="0.2">
      <c r="P245" s="93">
        <v>1195</v>
      </c>
      <c r="Q245" s="6">
        <f t="shared" si="9"/>
        <v>4.6490238225203959E-200</v>
      </c>
      <c r="R245" s="6">
        <f t="shared" si="10"/>
        <v>8454437985.8972483</v>
      </c>
      <c r="S245" s="6">
        <f t="shared" si="11"/>
        <v>0</v>
      </c>
      <c r="T245" s="7"/>
    </row>
    <row r="246" spans="16:20" x14ac:dyDescent="0.2">
      <c r="P246" s="93">
        <v>1200</v>
      </c>
      <c r="Q246" s="6">
        <f t="shared" si="9"/>
        <v>6.7341482586472856E-201</v>
      </c>
      <c r="R246" s="6">
        <f t="shared" si="10"/>
        <v>8514364204.6678972</v>
      </c>
      <c r="S246" s="6">
        <f t="shared" si="11"/>
        <v>0</v>
      </c>
      <c r="T246" s="7"/>
    </row>
    <row r="247" spans="16:20" x14ac:dyDescent="0.2">
      <c r="P247" s="93">
        <v>1205</v>
      </c>
      <c r="Q247" s="6">
        <f t="shared" si="9"/>
        <v>9.7543830375079497E-202</v>
      </c>
      <c r="R247" s="6">
        <f t="shared" si="10"/>
        <v>8574337848.2481136</v>
      </c>
      <c r="S247" s="6">
        <f t="shared" si="11"/>
        <v>0</v>
      </c>
      <c r="T247" s="7"/>
    </row>
    <row r="248" spans="16:20" x14ac:dyDescent="0.2">
      <c r="P248" s="93">
        <v>1210</v>
      </c>
      <c r="Q248" s="6">
        <f t="shared" si="9"/>
        <v>1.4129057705159859E-202</v>
      </c>
      <c r="R248" s="6">
        <f t="shared" si="10"/>
        <v>8634357883.0916405</v>
      </c>
      <c r="S248" s="6">
        <f t="shared" si="11"/>
        <v>0</v>
      </c>
      <c r="T248" s="7"/>
    </row>
    <row r="249" spans="16:20" x14ac:dyDescent="0.2">
      <c r="P249" s="93">
        <v>1215</v>
      </c>
      <c r="Q249" s="6">
        <f t="shared" si="9"/>
        <v>2.0465524727072187E-203</v>
      </c>
      <c r="R249" s="6">
        <f t="shared" si="10"/>
        <v>8694423287.4599457</v>
      </c>
      <c r="S249" s="6">
        <f t="shared" si="11"/>
        <v>0</v>
      </c>
      <c r="T249" s="7"/>
    </row>
    <row r="250" spans="16:20" x14ac:dyDescent="0.2">
      <c r="P250" s="93">
        <v>1220</v>
      </c>
      <c r="Q250" s="6">
        <f t="shared" si="9"/>
        <v>2.9643459921589433E-204</v>
      </c>
      <c r="R250" s="6">
        <f t="shared" si="10"/>
        <v>8754533051.2862835</v>
      </c>
      <c r="S250" s="6">
        <f t="shared" si="11"/>
        <v>0</v>
      </c>
      <c r="T250" s="7"/>
    </row>
    <row r="251" spans="16:20" x14ac:dyDescent="0.2">
      <c r="P251" s="93">
        <v>1225</v>
      </c>
      <c r="Q251" s="6">
        <f t="shared" si="9"/>
        <v>4.2936956073707319E-205</v>
      </c>
      <c r="R251" s="6">
        <f t="shared" si="10"/>
        <v>8814686176.0412064</v>
      </c>
      <c r="S251" s="6">
        <f t="shared" si="11"/>
        <v>0</v>
      </c>
      <c r="T251" s="7"/>
    </row>
    <row r="252" spans="16:20" x14ac:dyDescent="0.2">
      <c r="P252" s="93">
        <v>1230</v>
      </c>
      <c r="Q252" s="6">
        <f t="shared" si="9"/>
        <v>6.2191351647265786E-206</v>
      </c>
      <c r="R252" s="6">
        <f t="shared" si="10"/>
        <v>8874881674.5997391</v>
      </c>
      <c r="S252" s="6">
        <f t="shared" si="11"/>
        <v>0</v>
      </c>
      <c r="T252" s="7"/>
    </row>
    <row r="253" spans="16:20" x14ac:dyDescent="0.2">
      <c r="P253" s="93">
        <v>1235</v>
      </c>
      <c r="Q253" s="6">
        <f t="shared" si="9"/>
        <v>9.0079330644685921E-207</v>
      </c>
      <c r="R253" s="6">
        <f t="shared" si="10"/>
        <v>8935118571.1099606</v>
      </c>
      <c r="S253" s="6">
        <f t="shared" si="11"/>
        <v>0</v>
      </c>
      <c r="T253" s="7"/>
    </row>
    <row r="254" spans="16:20" x14ac:dyDescent="0.2">
      <c r="P254" s="93">
        <v>1240</v>
      </c>
      <c r="Q254" s="6">
        <f t="shared" si="9"/>
        <v>1.3047182756881893E-207</v>
      </c>
      <c r="R254" s="6">
        <f t="shared" si="10"/>
        <v>8995395900.863184</v>
      </c>
      <c r="S254" s="6">
        <f t="shared" si="11"/>
        <v>0</v>
      </c>
      <c r="T254" s="7"/>
    </row>
    <row r="255" spans="16:20" x14ac:dyDescent="0.2">
      <c r="P255" s="93">
        <v>1245</v>
      </c>
      <c r="Q255" s="6">
        <f t="shared" si="9"/>
        <v>1.889751986189654E-208</v>
      </c>
      <c r="R255" s="6">
        <f t="shared" si="10"/>
        <v>9055712710.1655407</v>
      </c>
      <c r="S255" s="6">
        <f t="shared" si="11"/>
        <v>0</v>
      </c>
      <c r="T255" s="7"/>
    </row>
    <row r="256" spans="16:20" x14ac:dyDescent="0.2">
      <c r="P256" s="93">
        <v>1250</v>
      </c>
      <c r="Q256" s="6">
        <f t="shared" si="9"/>
        <v>2.7370918584508572E-209</v>
      </c>
      <c r="R256" s="6">
        <f t="shared" si="10"/>
        <v>9116068056.2111874</v>
      </c>
      <c r="S256" s="6">
        <f t="shared" si="11"/>
        <v>0</v>
      </c>
      <c r="T256" s="7"/>
    </row>
    <row r="257" spans="16:20" x14ac:dyDescent="0.2">
      <c r="P257" s="93">
        <v>1255</v>
      </c>
      <c r="Q257" s="6">
        <f t="shared" si="9"/>
        <v>3.9643360413069684E-210</v>
      </c>
      <c r="R257" s="6">
        <f t="shared" si="10"/>
        <v>9176461006.9568081</v>
      </c>
      <c r="S257" s="6">
        <f t="shared" si="11"/>
        <v>0</v>
      </c>
      <c r="T257" s="7"/>
    </row>
    <row r="258" spans="16:20" x14ac:dyDescent="0.2">
      <c r="P258" s="93">
        <v>1260</v>
      </c>
      <c r="Q258" s="6">
        <f t="shared" si="9"/>
        <v>5.7418005433481844E-211</v>
      </c>
      <c r="R258" s="6">
        <f t="shared" si="10"/>
        <v>9236890640.9977417</v>
      </c>
      <c r="S258" s="6">
        <f t="shared" si="11"/>
        <v>0</v>
      </c>
      <c r="T258" s="7"/>
    </row>
    <row r="259" spans="16:20" x14ac:dyDescent="0.2">
      <c r="P259" s="93">
        <v>1265</v>
      </c>
      <c r="Q259" s="6">
        <f t="shared" si="9"/>
        <v>8.3161501847228288E-212</v>
      </c>
      <c r="R259" s="6">
        <f t="shared" si="10"/>
        <v>9297356047.4454079</v>
      </c>
      <c r="S259" s="6">
        <f t="shared" si="11"/>
        <v>0</v>
      </c>
      <c r="T259" s="7"/>
    </row>
    <row r="260" spans="16:20" x14ac:dyDescent="0.2">
      <c r="P260" s="93">
        <v>1270</v>
      </c>
      <c r="Q260" s="6">
        <f t="shared" si="9"/>
        <v>1.2044621394800493E-212</v>
      </c>
      <c r="R260" s="6">
        <f t="shared" si="10"/>
        <v>9357856325.8062687</v>
      </c>
      <c r="S260" s="6">
        <f t="shared" si="11"/>
        <v>0</v>
      </c>
      <c r="T260" s="7"/>
    </row>
    <row r="261" spans="16:20" x14ac:dyDescent="0.2">
      <c r="P261" s="93">
        <v>1275</v>
      </c>
      <c r="Q261" s="6">
        <f t="shared" si="9"/>
        <v>1.7444583972156469E-213</v>
      </c>
      <c r="R261" s="6">
        <f t="shared" si="10"/>
        <v>9418390585.8621311</v>
      </c>
      <c r="S261" s="6">
        <f t="shared" si="11"/>
        <v>0</v>
      </c>
      <c r="T261" s="7"/>
    </row>
    <row r="262" spans="16:20" x14ac:dyDescent="0.2">
      <c r="P262" s="93">
        <v>1280</v>
      </c>
      <c r="Q262" s="6">
        <f t="shared" ref="Q262:Q325" si="12">2*SQRT(P262/(PI()*($G$4)^3))*EXP((-P262)/(2*$G$4))</f>
        <v>2.5265316360282213E-214</v>
      </c>
      <c r="R262" s="6">
        <f t="shared" ref="R262:R325" si="13">(EXP(-(31.29*$B$9*$C$9*(SQRT($B$11/P262)))))*$R$4</f>
        <v>9478957947.5518913</v>
      </c>
      <c r="S262" s="6">
        <f t="shared" ref="S262:S325" si="14">$S$4*(2*SQRT(P262/(PI()*($G$4)^3))*EXP((-(P262)/($G$4))-SQRT(($Q$4*1000)/P262)))</f>
        <v>0</v>
      </c>
      <c r="T262" s="7"/>
    </row>
    <row r="263" spans="16:20" x14ac:dyDescent="0.2">
      <c r="P263" s="93">
        <v>1285</v>
      </c>
      <c r="Q263" s="6">
        <f t="shared" si="12"/>
        <v>3.6591949780322597E-215</v>
      </c>
      <c r="R263" s="6">
        <f t="shared" si="13"/>
        <v>9539557540.8546486</v>
      </c>
      <c r="S263" s="6">
        <f t="shared" si="14"/>
        <v>0</v>
      </c>
      <c r="T263" s="7"/>
    </row>
    <row r="264" spans="16:20" x14ac:dyDescent="0.2">
      <c r="P264" s="93">
        <v>1290</v>
      </c>
      <c r="Q264" s="6">
        <f t="shared" si="12"/>
        <v>5.2995997889007376E-216</v>
      </c>
      <c r="R264" s="6">
        <f t="shared" si="13"/>
        <v>9600188505.6741772</v>
      </c>
      <c r="S264" s="6">
        <f t="shared" si="14"/>
        <v>0</v>
      </c>
      <c r="T264" s="7"/>
    </row>
    <row r="265" spans="16:20" x14ac:dyDescent="0.2">
      <c r="P265" s="93">
        <v>1295</v>
      </c>
      <c r="Q265" s="6">
        <f t="shared" si="12"/>
        <v>7.6753349089778744E-217</v>
      </c>
      <c r="R265" s="6">
        <f t="shared" si="13"/>
        <v>9660849991.7248077</v>
      </c>
      <c r="S265" s="6">
        <f t="shared" si="14"/>
        <v>0</v>
      </c>
      <c r="T265" s="7"/>
    </row>
    <row r="266" spans="16:20" x14ac:dyDescent="0.2">
      <c r="P266" s="93">
        <v>1300</v>
      </c>
      <c r="Q266" s="6">
        <f t="shared" si="12"/>
        <v>1.111599539742412E-217</v>
      </c>
      <c r="R266" s="6">
        <f t="shared" si="13"/>
        <v>9721541158.4185677</v>
      </c>
      <c r="S266" s="6">
        <f t="shared" si="14"/>
        <v>0</v>
      </c>
      <c r="T266" s="7"/>
    </row>
    <row r="267" spans="16:20" x14ac:dyDescent="0.2">
      <c r="P267" s="93">
        <v>1305</v>
      </c>
      <c r="Q267" s="6">
        <f t="shared" si="12"/>
        <v>1.6098898770231343E-218</v>
      </c>
      <c r="R267" s="6">
        <f t="shared" si="13"/>
        <v>9782261174.7537365</v>
      </c>
      <c r="S267" s="6">
        <f t="shared" si="14"/>
        <v>0</v>
      </c>
      <c r="T267" s="7"/>
    </row>
    <row r="268" spans="16:20" x14ac:dyDescent="0.2">
      <c r="P268" s="93">
        <v>1310</v>
      </c>
      <c r="Q268" s="6">
        <f t="shared" si="12"/>
        <v>2.3315288467738265E-219</v>
      </c>
      <c r="R268" s="6">
        <f t="shared" si="13"/>
        <v>9843009219.2046585</v>
      </c>
      <c r="S268" s="6">
        <f t="shared" si="14"/>
        <v>0</v>
      </c>
      <c r="T268" s="7"/>
    </row>
    <row r="269" spans="16:20" x14ac:dyDescent="0.2">
      <c r="P269" s="93">
        <v>1315</v>
      </c>
      <c r="Q269" s="6">
        <f t="shared" si="12"/>
        <v>3.3766205036685009E-220</v>
      </c>
      <c r="R269" s="6">
        <f t="shared" si="13"/>
        <v>9903784479.6128979</v>
      </c>
      <c r="S269" s="6">
        <f t="shared" si="14"/>
        <v>0</v>
      </c>
      <c r="T269" s="7"/>
    </row>
    <row r="270" spans="16:20" x14ac:dyDescent="0.2">
      <c r="P270" s="93">
        <v>1320</v>
      </c>
      <c r="Q270" s="6">
        <f t="shared" si="12"/>
        <v>4.8901319076940422E-221</v>
      </c>
      <c r="R270" s="6">
        <f t="shared" si="13"/>
        <v>9964586153.0796165</v>
      </c>
      <c r="S270" s="6">
        <f t="shared" si="14"/>
        <v>0</v>
      </c>
      <c r="T270" s="7"/>
    </row>
    <row r="271" spans="16:20" x14ac:dyDescent="0.2">
      <c r="P271" s="93">
        <v>1325</v>
      </c>
      <c r="Q271" s="6">
        <f t="shared" si="12"/>
        <v>7.081997663961709E-222</v>
      </c>
      <c r="R271" s="6">
        <f t="shared" si="13"/>
        <v>10025413445.859337</v>
      </c>
      <c r="S271" s="6">
        <f t="shared" si="14"/>
        <v>0</v>
      </c>
      <c r="T271" s="7"/>
    </row>
    <row r="272" spans="16:20" x14ac:dyDescent="0.2">
      <c r="P272" s="93">
        <v>1330</v>
      </c>
      <c r="Q272" s="6">
        <f t="shared" si="12"/>
        <v>1.0256233320046475E-222</v>
      </c>
      <c r="R272" s="6">
        <f t="shared" si="13"/>
        <v>10086265573.254845</v>
      </c>
      <c r="S272" s="6">
        <f t="shared" si="14"/>
        <v>0</v>
      </c>
      <c r="T272" s="7"/>
    </row>
    <row r="273" spans="16:20" x14ac:dyDescent="0.2">
      <c r="P273" s="93">
        <v>1335</v>
      </c>
      <c r="Q273" s="6">
        <f t="shared" si="12"/>
        <v>1.4853094221764973E-223</v>
      </c>
      <c r="R273" s="6">
        <f t="shared" si="13"/>
        <v>10147141759.513416</v>
      </c>
      <c r="S273" s="6">
        <f t="shared" si="14"/>
        <v>0</v>
      </c>
      <c r="T273" s="7"/>
    </row>
    <row r="274" spans="16:20" x14ac:dyDescent="0.2">
      <c r="P274" s="93">
        <v>1340</v>
      </c>
      <c r="Q274" s="6">
        <f t="shared" si="12"/>
        <v>2.1510124989031995E-224</v>
      </c>
      <c r="R274" s="6">
        <f t="shared" si="13"/>
        <v>10208041237.724239</v>
      </c>
      <c r="S274" s="6">
        <f t="shared" si="14"/>
        <v>0</v>
      </c>
      <c r="T274" s="7"/>
    </row>
    <row r="275" spans="16:20" x14ac:dyDescent="0.2">
      <c r="P275" s="93">
        <v>1345</v>
      </c>
      <c r="Q275" s="6">
        <f t="shared" si="12"/>
        <v>3.115056359014478E-225</v>
      </c>
      <c r="R275" s="6">
        <f t="shared" si="13"/>
        <v>10268963249.717087</v>
      </c>
      <c r="S275" s="6">
        <f t="shared" si="14"/>
        <v>0</v>
      </c>
      <c r="T275" s="7"/>
    </row>
    <row r="276" spans="16:20" x14ac:dyDescent="0.2">
      <c r="P276" s="93">
        <v>1350</v>
      </c>
      <c r="Q276" s="6">
        <f t="shared" si="12"/>
        <v>4.5111356046459968E-226</v>
      </c>
      <c r="R276" s="6">
        <f t="shared" si="13"/>
        <v>10329907045.962173</v>
      </c>
      <c r="S276" s="6">
        <f t="shared" si="14"/>
        <v>0</v>
      </c>
      <c r="T276" s="7"/>
    </row>
    <row r="277" spans="16:20" x14ac:dyDescent="0.2">
      <c r="P277" s="93">
        <v>1355</v>
      </c>
      <c r="Q277" s="6">
        <f t="shared" si="12"/>
        <v>6.5328528670151304E-227</v>
      </c>
      <c r="R277" s="6">
        <f t="shared" si="13"/>
        <v>10390871885.471193</v>
      </c>
      <c r="S277" s="6">
        <f t="shared" si="14"/>
        <v>0</v>
      </c>
      <c r="T277" s="7"/>
    </row>
    <row r="278" spans="16:20" x14ac:dyDescent="0.2">
      <c r="P278" s="93">
        <v>1360</v>
      </c>
      <c r="Q278" s="6">
        <f t="shared" si="12"/>
        <v>9.4605615437988108E-228</v>
      </c>
      <c r="R278" s="6">
        <f t="shared" si="13"/>
        <v>10451857035.699566</v>
      </c>
      <c r="S278" s="6">
        <f t="shared" si="14"/>
        <v>0</v>
      </c>
      <c r="T278" s="7"/>
    </row>
    <row r="279" spans="16:20" x14ac:dyDescent="0.2">
      <c r="P279" s="93">
        <v>1365</v>
      </c>
      <c r="Q279" s="6">
        <f t="shared" si="12"/>
        <v>1.3700235053251529E-228</v>
      </c>
      <c r="R279" s="6">
        <f t="shared" si="13"/>
        <v>10512861772.449839</v>
      </c>
      <c r="S279" s="6">
        <f t="shared" si="14"/>
        <v>0</v>
      </c>
      <c r="T279" s="7"/>
    </row>
    <row r="280" spans="16:20" x14ac:dyDescent="0.2">
      <c r="P280" s="93">
        <v>1370</v>
      </c>
      <c r="Q280" s="6">
        <f t="shared" si="12"/>
        <v>1.9839750571218335E-229</v>
      </c>
      <c r="R280" s="6">
        <f t="shared" si="13"/>
        <v>10573885379.776217</v>
      </c>
      <c r="S280" s="6">
        <f t="shared" si="14"/>
        <v>0</v>
      </c>
      <c r="T280" s="7"/>
    </row>
    <row r="281" spans="16:20" x14ac:dyDescent="0.2">
      <c r="P281" s="93">
        <v>1375</v>
      </c>
      <c r="Q281" s="6">
        <f t="shared" si="12"/>
        <v>2.8730388912395151E-230</v>
      </c>
      <c r="R281" s="6">
        <f t="shared" si="13"/>
        <v>10634927149.89027</v>
      </c>
      <c r="S281" s="6">
        <f t="shared" si="14"/>
        <v>0</v>
      </c>
      <c r="T281" s="7"/>
    </row>
    <row r="282" spans="16:20" x14ac:dyDescent="0.2">
      <c r="P282" s="93">
        <v>1380</v>
      </c>
      <c r="Q282" s="6">
        <f t="shared" si="12"/>
        <v>4.1604847130173737E-231</v>
      </c>
      <c r="R282" s="6">
        <f t="shared" si="13"/>
        <v>10695986383.067749</v>
      </c>
      <c r="S282" s="6">
        <f t="shared" si="14"/>
        <v>0</v>
      </c>
      <c r="T282" s="7"/>
    </row>
    <row r="283" spans="16:20" x14ac:dyDescent="0.2">
      <c r="P283" s="93">
        <v>1385</v>
      </c>
      <c r="Q283" s="6">
        <f t="shared" si="12"/>
        <v>6.024812084377521E-232</v>
      </c>
      <c r="R283" s="6">
        <f t="shared" si="13"/>
        <v>10757062387.556492</v>
      </c>
      <c r="S283" s="6">
        <f t="shared" si="14"/>
        <v>0</v>
      </c>
      <c r="T283" s="7"/>
    </row>
    <row r="284" spans="16:20" x14ac:dyDescent="0.2">
      <c r="P284" s="93">
        <v>1390</v>
      </c>
      <c r="Q284" s="6">
        <f t="shared" si="12"/>
        <v>8.7244940479150698E-233</v>
      </c>
      <c r="R284" s="6">
        <f t="shared" si="13"/>
        <v>10818154479.485493</v>
      </c>
      <c r="S284" s="6">
        <f t="shared" si="14"/>
        <v>0</v>
      </c>
      <c r="T284" s="7"/>
    </row>
    <row r="285" spans="16:20" x14ac:dyDescent="0.2">
      <c r="P285" s="93">
        <v>1395</v>
      </c>
      <c r="Q285" s="6">
        <f t="shared" si="12"/>
        <v>1.2633805482377808E-233</v>
      </c>
      <c r="R285" s="6">
        <f t="shared" si="13"/>
        <v>10879261982.774969</v>
      </c>
      <c r="S285" s="6">
        <f t="shared" si="14"/>
        <v>0</v>
      </c>
      <c r="T285" s="7"/>
    </row>
    <row r="286" spans="16:20" x14ac:dyDescent="0.2">
      <c r="P286" s="93">
        <v>1400</v>
      </c>
      <c r="Q286" s="6">
        <f t="shared" si="12"/>
        <v>1.8294701656763388E-234</v>
      </c>
      <c r="R286" s="6">
        <f t="shared" si="13"/>
        <v>10940384229.047607</v>
      </c>
      <c r="S286" s="6">
        <f t="shared" si="14"/>
        <v>0</v>
      </c>
      <c r="T286" s="7"/>
    </row>
    <row r="287" spans="16:20" x14ac:dyDescent="0.2">
      <c r="P287" s="93">
        <v>1405</v>
      </c>
      <c r="Q287" s="6">
        <f t="shared" si="12"/>
        <v>2.6491936624203278E-235</v>
      </c>
      <c r="R287" s="6">
        <f t="shared" si="13"/>
        <v>11001520557.540777</v>
      </c>
      <c r="S287" s="6">
        <f t="shared" si="14"/>
        <v>0</v>
      </c>
      <c r="T287" s="7"/>
    </row>
    <row r="288" spans="16:20" x14ac:dyDescent="0.2">
      <c r="P288" s="93">
        <v>1410</v>
      </c>
      <c r="Q288" s="6">
        <f t="shared" si="12"/>
        <v>3.8361831482367322E-236</v>
      </c>
      <c r="R288" s="6">
        <f t="shared" si="13"/>
        <v>11062670315.019859</v>
      </c>
      <c r="S288" s="6">
        <f t="shared" si="14"/>
        <v>0</v>
      </c>
      <c r="T288" s="7"/>
    </row>
    <row r="289" spans="16:20" x14ac:dyDescent="0.2">
      <c r="P289" s="93">
        <v>1415</v>
      </c>
      <c r="Q289" s="6">
        <f t="shared" si="12"/>
        <v>5.5549765303527935E-237</v>
      </c>
      <c r="R289" s="6">
        <f t="shared" si="13"/>
        <v>11123832855.692572</v>
      </c>
      <c r="S289" s="6">
        <f t="shared" si="14"/>
        <v>0</v>
      </c>
      <c r="T289" s="7"/>
    </row>
    <row r="290" spans="16:20" x14ac:dyDescent="0.2">
      <c r="P290" s="93">
        <v>1420</v>
      </c>
      <c r="Q290" s="6">
        <f t="shared" si="12"/>
        <v>8.0438212705369156E-238</v>
      </c>
      <c r="R290" s="6">
        <f t="shared" si="13"/>
        <v>11185007541.124346</v>
      </c>
      <c r="S290" s="6">
        <f t="shared" si="14"/>
        <v>0</v>
      </c>
      <c r="T290" s="7"/>
    </row>
    <row r="291" spans="16:20" x14ac:dyDescent="0.2">
      <c r="P291" s="93">
        <v>1425</v>
      </c>
      <c r="Q291" s="6">
        <f t="shared" si="12"/>
        <v>1.1647692690058869E-238</v>
      </c>
      <c r="R291" s="6">
        <f t="shared" si="13"/>
        <v>11246193740.15473</v>
      </c>
      <c r="S291" s="6">
        <f t="shared" si="14"/>
        <v>0</v>
      </c>
      <c r="T291" s="7"/>
    </row>
    <row r="292" spans="16:20" x14ac:dyDescent="0.2">
      <c r="P292" s="93">
        <v>1430</v>
      </c>
      <c r="Q292" s="6">
        <f t="shared" si="12"/>
        <v>1.6866101980018006E-239</v>
      </c>
      <c r="R292" s="6">
        <f t="shared" si="13"/>
        <v>11307390828.814724</v>
      </c>
      <c r="S292" s="6">
        <f t="shared" si="14"/>
        <v>0</v>
      </c>
      <c r="T292" s="7"/>
    </row>
    <row r="293" spans="16:20" x14ac:dyDescent="0.2">
      <c r="P293" s="93">
        <v>1435</v>
      </c>
      <c r="Q293" s="6">
        <f t="shared" si="12"/>
        <v>2.4422318195840506E-240</v>
      </c>
      <c r="R293" s="6">
        <f t="shared" si="13"/>
        <v>11368598190.245213</v>
      </c>
      <c r="S293" s="6">
        <f t="shared" si="14"/>
        <v>0</v>
      </c>
      <c r="T293" s="7"/>
    </row>
    <row r="294" spans="16:20" x14ac:dyDescent="0.2">
      <c r="P294" s="93">
        <v>1440</v>
      </c>
      <c r="Q294" s="6">
        <f t="shared" si="12"/>
        <v>3.5363595344036418E-241</v>
      </c>
      <c r="R294" s="6">
        <f t="shared" si="13"/>
        <v>11429815214.616253</v>
      </c>
      <c r="S294" s="6">
        <f t="shared" si="14"/>
        <v>0</v>
      </c>
      <c r="T294" s="7"/>
    </row>
    <row r="295" spans="16:20" x14ac:dyDescent="0.2">
      <c r="P295" s="93">
        <v>1445</v>
      </c>
      <c r="Q295" s="6">
        <f t="shared" si="12"/>
        <v>5.1206291183400067E-242</v>
      </c>
      <c r="R295" s="6">
        <f t="shared" si="13"/>
        <v>11491041299.047464</v>
      </c>
      <c r="S295" s="6">
        <f t="shared" si="14"/>
        <v>0</v>
      </c>
      <c r="T295" s="7"/>
    </row>
    <row r="296" spans="16:20" x14ac:dyDescent="0.2">
      <c r="P296" s="93">
        <v>1450</v>
      </c>
      <c r="Q296" s="6">
        <f t="shared" si="12"/>
        <v>7.4145983575699932E-243</v>
      </c>
      <c r="R296" s="6">
        <f t="shared" si="13"/>
        <v>11552275847.529219</v>
      </c>
      <c r="S296" s="6">
        <f t="shared" si="14"/>
        <v>0</v>
      </c>
      <c r="T296" s="7"/>
    </row>
    <row r="297" spans="16:20" x14ac:dyDescent="0.2">
      <c r="P297" s="93">
        <v>1455</v>
      </c>
      <c r="Q297" s="6">
        <f t="shared" si="12"/>
        <v>1.0736169459260226E-243</v>
      </c>
      <c r="R297" s="6">
        <f t="shared" si="13"/>
        <v>11613518270.844923</v>
      </c>
      <c r="S297" s="6">
        <f t="shared" si="14"/>
        <v>0</v>
      </c>
      <c r="T297" s="7"/>
    </row>
    <row r="298" spans="16:20" x14ac:dyDescent="0.2">
      <c r="P298" s="93">
        <v>1460</v>
      </c>
      <c r="Q298" s="6">
        <f t="shared" si="12"/>
        <v>1.5545636932942904E-244</v>
      </c>
      <c r="R298" s="6">
        <f t="shared" si="13"/>
        <v>11674767986.494135</v>
      </c>
      <c r="S298" s="6">
        <f t="shared" si="14"/>
        <v>0</v>
      </c>
      <c r="T298" s="7"/>
    </row>
    <row r="299" spans="16:20" x14ac:dyDescent="0.2">
      <c r="P299" s="93">
        <v>1465</v>
      </c>
      <c r="Q299" s="6">
        <f t="shared" si="12"/>
        <v>2.2509463118639182E-245</v>
      </c>
      <c r="R299" s="6">
        <f t="shared" si="13"/>
        <v>11736024418.616636</v>
      </c>
      <c r="S299" s="6">
        <f t="shared" si="14"/>
        <v>0</v>
      </c>
      <c r="T299" s="7"/>
    </row>
    <row r="300" spans="16:20" x14ac:dyDescent="0.2">
      <c r="P300" s="93">
        <v>1470</v>
      </c>
      <c r="Q300" s="6">
        <f t="shared" si="12"/>
        <v>3.2592616249479066E-246</v>
      </c>
      <c r="R300" s="6">
        <f t="shared" si="13"/>
        <v>11797286997.917402</v>
      </c>
      <c r="S300" s="6">
        <f t="shared" si="14"/>
        <v>0</v>
      </c>
      <c r="T300" s="7"/>
    </row>
    <row r="301" spans="16:20" x14ac:dyDescent="0.2">
      <c r="P301" s="93">
        <v>1475</v>
      </c>
      <c r="Q301" s="6">
        <f t="shared" si="12"/>
        <v>4.7192262360223903E-247</v>
      </c>
      <c r="R301" s="6">
        <f t="shared" si="13"/>
        <v>11858555161.592491</v>
      </c>
      <c r="S301" s="6">
        <f t="shared" si="14"/>
        <v>0</v>
      </c>
      <c r="T301" s="7"/>
    </row>
    <row r="302" spans="16:20" x14ac:dyDescent="0.2">
      <c r="P302" s="93">
        <v>1480</v>
      </c>
      <c r="Q302" s="6">
        <f t="shared" si="12"/>
        <v>6.833133043964782E-248</v>
      </c>
      <c r="R302" s="6">
        <f t="shared" si="13"/>
        <v>11919828353.255793</v>
      </c>
      <c r="S302" s="6">
        <f t="shared" si="14"/>
        <v>0</v>
      </c>
      <c r="T302" s="7"/>
    </row>
    <row r="303" spans="16:20" x14ac:dyDescent="0.2">
      <c r="P303" s="93">
        <v>1485</v>
      </c>
      <c r="Q303" s="6">
        <f t="shared" si="12"/>
        <v>9.8938763271936024E-249</v>
      </c>
      <c r="R303" s="6">
        <f t="shared" si="13"/>
        <v>11981106022.866673</v>
      </c>
      <c r="S303" s="6">
        <f t="shared" si="14"/>
        <v>0</v>
      </c>
      <c r="T303" s="7"/>
    </row>
    <row r="304" spans="16:20" x14ac:dyDescent="0.2">
      <c r="P304" s="93">
        <v>1490</v>
      </c>
      <c r="Q304" s="6">
        <f t="shared" si="12"/>
        <v>1.4325527291496223E-249</v>
      </c>
      <c r="R304" s="6">
        <f t="shared" si="13"/>
        <v>12042387626.658484</v>
      </c>
      <c r="S304" s="6">
        <f t="shared" si="14"/>
        <v>0</v>
      </c>
      <c r="T304" s="7"/>
    </row>
    <row r="305" spans="16:20" x14ac:dyDescent="0.2">
      <c r="P305" s="93">
        <v>1495</v>
      </c>
      <c r="Q305" s="6">
        <f t="shared" si="12"/>
        <v>2.0742080244325394E-250</v>
      </c>
      <c r="R305" s="6">
        <f t="shared" si="13"/>
        <v>12103672627.067913</v>
      </c>
      <c r="S305" s="6">
        <f t="shared" si="14"/>
        <v>0</v>
      </c>
      <c r="T305" s="7"/>
    </row>
    <row r="306" spans="16:20" x14ac:dyDescent="0.2">
      <c r="P306" s="93">
        <v>1500</v>
      </c>
      <c r="Q306" s="6">
        <f t="shared" si="12"/>
        <v>3.0032506161761678E-251</v>
      </c>
      <c r="R306" s="6">
        <f t="shared" si="13"/>
        <v>12164960492.665201</v>
      </c>
      <c r="S306" s="6">
        <f t="shared" si="14"/>
        <v>0</v>
      </c>
      <c r="T306" s="7"/>
    </row>
    <row r="307" spans="16:20" x14ac:dyDescent="0.2">
      <c r="P307" s="93">
        <v>1505</v>
      </c>
      <c r="Q307" s="6">
        <f t="shared" si="12"/>
        <v>4.3483893846560079E-252</v>
      </c>
      <c r="R307" s="6">
        <f t="shared" si="13"/>
        <v>12226250698.085171</v>
      </c>
      <c r="S307" s="6">
        <f t="shared" si="14"/>
        <v>0</v>
      </c>
      <c r="T307" s="7"/>
    </row>
    <row r="308" spans="16:20" x14ac:dyDescent="0.2">
      <c r="P308" s="93">
        <v>1510</v>
      </c>
      <c r="Q308" s="6">
        <f t="shared" si="12"/>
        <v>6.2959733656980768E-253</v>
      </c>
      <c r="R308" s="6">
        <f t="shared" si="13"/>
        <v>12287542723.959116</v>
      </c>
      <c r="S308" s="6">
        <f t="shared" si="14"/>
        <v>0</v>
      </c>
      <c r="T308" s="7"/>
    </row>
    <row r="309" spans="16:20" x14ac:dyDescent="0.2">
      <c r="P309" s="93">
        <v>1515</v>
      </c>
      <c r="Q309" s="6">
        <f t="shared" si="12"/>
        <v>9.1158035317100291E-254</v>
      </c>
      <c r="R309" s="6">
        <f t="shared" si="13"/>
        <v>12348836056.847441</v>
      </c>
      <c r="S309" s="6">
        <f t="shared" si="14"/>
        <v>0</v>
      </c>
      <c r="T309" s="7"/>
    </row>
    <row r="310" spans="16:20" x14ac:dyDescent="0.2">
      <c r="P310" s="93">
        <v>1520</v>
      </c>
      <c r="Q310" s="6">
        <f t="shared" si="12"/>
        <v>1.3198502700441443E-254</v>
      </c>
      <c r="R310" s="6">
        <f t="shared" si="13"/>
        <v>12410130189.173182</v>
      </c>
      <c r="S310" s="6">
        <f t="shared" si="14"/>
        <v>0</v>
      </c>
      <c r="T310" s="7"/>
    </row>
    <row r="311" spans="16:20" x14ac:dyDescent="0.2">
      <c r="P311" s="93">
        <v>1525</v>
      </c>
      <c r="Q311" s="6">
        <f t="shared" si="12"/>
        <v>1.9109618855319645E-255</v>
      </c>
      <c r="R311" s="6">
        <f t="shared" si="13"/>
        <v>12471424619.156252</v>
      </c>
      <c r="S311" s="6">
        <f t="shared" si="14"/>
        <v>0</v>
      </c>
      <c r="T311" s="7"/>
    </row>
    <row r="312" spans="16:20" x14ac:dyDescent="0.2">
      <c r="P312" s="93">
        <v>1530</v>
      </c>
      <c r="Q312" s="6">
        <f t="shared" si="12"/>
        <v>2.7667954334373438E-256</v>
      </c>
      <c r="R312" s="6">
        <f t="shared" si="13"/>
        <v>12532718850.748537</v>
      </c>
      <c r="S312" s="6">
        <f t="shared" si="14"/>
        <v>0</v>
      </c>
      <c r="T312" s="7"/>
    </row>
    <row r="313" spans="16:20" x14ac:dyDescent="0.2">
      <c r="P313" s="93">
        <v>1535</v>
      </c>
      <c r="Q313" s="6">
        <f t="shared" si="12"/>
        <v>4.0058967952875755E-257</v>
      </c>
      <c r="R313" s="6">
        <f t="shared" si="13"/>
        <v>12594012393.569708</v>
      </c>
      <c r="S313" s="6">
        <f t="shared" si="14"/>
        <v>0</v>
      </c>
      <c r="T313" s="7"/>
    </row>
    <row r="314" spans="16:20" x14ac:dyDescent="0.2">
      <c r="P314" s="93">
        <v>1540</v>
      </c>
      <c r="Q314" s="6">
        <f t="shared" si="12"/>
        <v>5.7998953621038101E-258</v>
      </c>
      <c r="R314" s="6">
        <f t="shared" si="13"/>
        <v>12655304762.843849</v>
      </c>
      <c r="S314" s="6">
        <f t="shared" si="14"/>
        <v>0</v>
      </c>
      <c r="T314" s="7"/>
    </row>
    <row r="315" spans="16:20" x14ac:dyDescent="0.2">
      <c r="P315" s="93">
        <v>1545</v>
      </c>
      <c r="Q315" s="6">
        <f t="shared" si="12"/>
        <v>8.3972729777749865E-259</v>
      </c>
      <c r="R315" s="6">
        <f t="shared" si="13"/>
        <v>12716595479.336771</v>
      </c>
      <c r="S315" s="6">
        <f t="shared" si="14"/>
        <v>0</v>
      </c>
      <c r="T315" s="7"/>
    </row>
    <row r="316" spans="16:20" x14ac:dyDescent="0.2">
      <c r="P316" s="93">
        <v>1550</v>
      </c>
      <c r="Q316" s="6">
        <f t="shared" si="12"/>
        <v>1.2157775235965921E-259</v>
      </c>
      <c r="R316" s="6">
        <f t="shared" si="13"/>
        <v>12777884069.294174</v>
      </c>
      <c r="S316" s="6">
        <f t="shared" si="14"/>
        <v>0</v>
      </c>
      <c r="T316" s="7"/>
    </row>
    <row r="317" spans="16:20" x14ac:dyDescent="0.2">
      <c r="P317" s="93">
        <v>1555</v>
      </c>
      <c r="Q317" s="6">
        <f t="shared" si="12"/>
        <v>1.7602229917618958E-260</v>
      </c>
      <c r="R317" s="6">
        <f t="shared" si="13"/>
        <v>12839170064.380455</v>
      </c>
      <c r="S317" s="6">
        <f t="shared" si="14"/>
        <v>0</v>
      </c>
      <c r="T317" s="7"/>
    </row>
    <row r="318" spans="16:20" x14ac:dyDescent="0.2">
      <c r="P318" s="93">
        <v>1560</v>
      </c>
      <c r="Q318" s="6">
        <f t="shared" si="12"/>
        <v>2.5484670537365434E-261</v>
      </c>
      <c r="R318" s="6">
        <f t="shared" si="13"/>
        <v>12900453001.618284</v>
      </c>
      <c r="S318" s="6">
        <f t="shared" si="14"/>
        <v>0</v>
      </c>
      <c r="T318" s="7"/>
    </row>
    <row r="319" spans="16:20" x14ac:dyDescent="0.2">
      <c r="P319" s="93">
        <v>1565</v>
      </c>
      <c r="Q319" s="6">
        <f t="shared" si="12"/>
        <v>3.6896751120983166E-262</v>
      </c>
      <c r="R319" s="6">
        <f t="shared" si="13"/>
        <v>12961732423.328901</v>
      </c>
      <c r="S319" s="6">
        <f t="shared" si="14"/>
        <v>0</v>
      </c>
      <c r="T319" s="7"/>
    </row>
    <row r="320" spans="16:20" x14ac:dyDescent="0.2">
      <c r="P320" s="93">
        <v>1570</v>
      </c>
      <c r="Q320" s="6">
        <f t="shared" si="12"/>
        <v>5.3418908959623162E-263</v>
      </c>
      <c r="R320" s="6">
        <f t="shared" si="13"/>
        <v>13023007877.07312</v>
      </c>
      <c r="S320" s="6">
        <f t="shared" si="14"/>
        <v>0</v>
      </c>
      <c r="T320" s="7"/>
    </row>
    <row r="321" spans="16:20" x14ac:dyDescent="0.2">
      <c r="P321" s="93">
        <v>1575</v>
      </c>
      <c r="Q321" s="6">
        <f t="shared" si="12"/>
        <v>7.7339204039131672E-264</v>
      </c>
      <c r="R321" s="6">
        <f t="shared" si="13"/>
        <v>13084278915.593016</v>
      </c>
      <c r="S321" s="6">
        <f t="shared" si="14"/>
        <v>0</v>
      </c>
      <c r="T321" s="7"/>
    </row>
    <row r="322" spans="16:20" x14ac:dyDescent="0.2">
      <c r="P322" s="93">
        <v>1580</v>
      </c>
      <c r="Q322" s="6">
        <f t="shared" si="12"/>
        <v>1.1197013300105736E-264</v>
      </c>
      <c r="R322" s="6">
        <f t="shared" si="13"/>
        <v>13145545096.754343</v>
      </c>
      <c r="S322" s="6">
        <f t="shared" si="14"/>
        <v>0</v>
      </c>
      <c r="T322" s="7"/>
    </row>
    <row r="323" spans="16:20" x14ac:dyDescent="0.2">
      <c r="P323" s="93">
        <v>1585</v>
      </c>
      <c r="Q323" s="6">
        <f t="shared" si="12"/>
        <v>1.621072787459972E-265</v>
      </c>
      <c r="R323" s="6">
        <f t="shared" si="13"/>
        <v>13206805983.489592</v>
      </c>
      <c r="S323" s="6">
        <f t="shared" si="14"/>
        <v>0</v>
      </c>
      <c r="T323" s="7"/>
    </row>
    <row r="324" spans="16:20" x14ac:dyDescent="0.2">
      <c r="P324" s="93">
        <v>1590</v>
      </c>
      <c r="Q324" s="6">
        <f t="shared" si="12"/>
        <v>2.3469329153515595E-266</v>
      </c>
      <c r="R324" s="6">
        <f t="shared" si="13"/>
        <v>13268061143.741753</v>
      </c>
      <c r="S324" s="6">
        <f t="shared" si="14"/>
        <v>0</v>
      </c>
      <c r="T324" s="7"/>
    </row>
    <row r="325" spans="16:20" x14ac:dyDescent="0.2">
      <c r="P325" s="93">
        <v>1595</v>
      </c>
      <c r="Q325" s="6">
        <f t="shared" si="12"/>
        <v>3.3977912141547601E-267</v>
      </c>
      <c r="R325" s="6">
        <f t="shared" si="13"/>
        <v>13329310150.408745</v>
      </c>
      <c r="S325" s="6">
        <f t="shared" si="14"/>
        <v>0</v>
      </c>
      <c r="T325" s="7"/>
    </row>
    <row r="326" spans="16:20" x14ac:dyDescent="0.2">
      <c r="P326" s="93">
        <v>1600</v>
      </c>
      <c r="Q326" s="6">
        <f t="shared" ref="Q326:Q389" si="15">2*SQRT(P326/(PI()*($G$4)^3))*EXP((-P326)/(2*$G$4))</f>
        <v>4.9191556918180572E-268</v>
      </c>
      <c r="R326" s="6">
        <f t="shared" ref="R326:R389" si="16">(EXP(-(31.29*$B$9*$C$9*(SQRT($B$11/P326)))))*$R$4</f>
        <v>13390552581.288496</v>
      </c>
      <c r="S326" s="6">
        <f t="shared" ref="S326:S389" si="17">$S$4*(2*SQRT(P326/(PI()*($G$4)^3))*EXP((-(P326)/($G$4))-SQRT(($Q$4*1000)/P326)))</f>
        <v>0</v>
      </c>
      <c r="T326" s="7"/>
    </row>
    <row r="327" spans="16:20" x14ac:dyDescent="0.2">
      <c r="P327" s="93">
        <v>1605</v>
      </c>
      <c r="Q327" s="6">
        <f t="shared" si="15"/>
        <v>7.1216778901849615E-269</v>
      </c>
      <c r="R327" s="6">
        <f t="shared" si="16"/>
        <v>13451788019.024666</v>
      </c>
      <c r="S327" s="6">
        <f t="shared" si="17"/>
        <v>0</v>
      </c>
      <c r="T327" s="7"/>
    </row>
    <row r="328" spans="16:20" x14ac:dyDescent="0.2">
      <c r="P328" s="93">
        <v>1610</v>
      </c>
      <c r="Q328" s="6">
        <f t="shared" si="15"/>
        <v>1.0310316046298282E-269</v>
      </c>
      <c r="R328" s="6">
        <f t="shared" si="16"/>
        <v>13513016051.053024</v>
      </c>
      <c r="S328" s="6">
        <f t="shared" si="17"/>
        <v>0</v>
      </c>
      <c r="T328" s="7"/>
    </row>
    <row r="329" spans="16:20" x14ac:dyDescent="0.2">
      <c r="P329" s="93">
        <v>1615</v>
      </c>
      <c r="Q329" s="6">
        <f t="shared" si="15"/>
        <v>1.4926553262392076E-270</v>
      </c>
      <c r="R329" s="6">
        <f t="shared" si="16"/>
        <v>13574236269.548468</v>
      </c>
      <c r="S329" s="6">
        <f t="shared" si="17"/>
        <v>0</v>
      </c>
      <c r="T329" s="7"/>
    </row>
    <row r="330" spans="16:20" x14ac:dyDescent="0.2">
      <c r="P330" s="93">
        <v>1620</v>
      </c>
      <c r="Q330" s="6">
        <f t="shared" si="15"/>
        <v>2.1609514539269139E-271</v>
      </c>
      <c r="R330" s="6">
        <f t="shared" si="16"/>
        <v>13635448271.37265</v>
      </c>
      <c r="S330" s="6">
        <f t="shared" si="17"/>
        <v>0</v>
      </c>
      <c r="T330" s="7"/>
    </row>
    <row r="331" spans="16:20" x14ac:dyDescent="0.2">
      <c r="P331" s="93">
        <v>1625</v>
      </c>
      <c r="Q331" s="6">
        <f t="shared" si="15"/>
        <v>3.1284442310855044E-272</v>
      </c>
      <c r="R331" s="6">
        <f t="shared" si="16"/>
        <v>13696651658.022232</v>
      </c>
      <c r="S331" s="6">
        <f t="shared" si="17"/>
        <v>0</v>
      </c>
      <c r="T331" s="7"/>
    </row>
    <row r="332" spans="16:20" x14ac:dyDescent="0.2">
      <c r="P332" s="93">
        <v>1630</v>
      </c>
      <c r="Q332" s="6">
        <f t="shared" si="15"/>
        <v>4.5290776705557562E-273</v>
      </c>
      <c r="R332" s="6">
        <f t="shared" si="16"/>
        <v>13757846035.577765</v>
      </c>
      <c r="S332" s="6">
        <f t="shared" si="17"/>
        <v>0</v>
      </c>
      <c r="T332" s="7"/>
    </row>
    <row r="333" spans="16:20" x14ac:dyDescent="0.2">
      <c r="P333" s="93">
        <v>1635</v>
      </c>
      <c r="Q333" s="6">
        <f t="shared" si="15"/>
        <v>6.5567568172939875E-274</v>
      </c>
      <c r="R333" s="6">
        <f t="shared" si="16"/>
        <v>13819031014.653145</v>
      </c>
      <c r="S333" s="6">
        <f t="shared" si="17"/>
        <v>0</v>
      </c>
      <c r="T333" s="7"/>
    </row>
    <row r="334" spans="16:20" x14ac:dyDescent="0.2">
      <c r="P334" s="93">
        <v>1640</v>
      </c>
      <c r="Q334" s="6">
        <f t="shared" si="15"/>
        <v>9.4921884899350739E-275</v>
      </c>
      <c r="R334" s="6">
        <f t="shared" si="16"/>
        <v>13880206210.345671</v>
      </c>
      <c r="S334" s="6">
        <f t="shared" si="17"/>
        <v>0</v>
      </c>
      <c r="T334" s="7"/>
    </row>
    <row r="335" spans="16:20" x14ac:dyDescent="0.2">
      <c r="P335" s="93">
        <v>1645</v>
      </c>
      <c r="Q335" s="6">
        <f t="shared" si="15"/>
        <v>1.3741736362652101E-275</v>
      </c>
      <c r="R335" s="6">
        <f t="shared" si="16"/>
        <v>13941371242.186741</v>
      </c>
      <c r="S335" s="6">
        <f t="shared" si="17"/>
        <v>0</v>
      </c>
      <c r="T335" s="7"/>
    </row>
    <row r="336" spans="16:20" x14ac:dyDescent="0.2">
      <c r="P336" s="93">
        <v>1650</v>
      </c>
      <c r="Q336" s="6">
        <f t="shared" si="15"/>
        <v>1.9893667953155948E-276</v>
      </c>
      <c r="R336" s="6">
        <f t="shared" si="16"/>
        <v>14002525734.093044</v>
      </c>
      <c r="S336" s="6">
        <f t="shared" si="17"/>
        <v>0</v>
      </c>
      <c r="T336" s="7"/>
    </row>
    <row r="337" spans="16:20" x14ac:dyDescent="0.2">
      <c r="P337" s="93">
        <v>1655</v>
      </c>
      <c r="Q337" s="6">
        <f t="shared" si="15"/>
        <v>2.8799577950792017E-277</v>
      </c>
      <c r="R337" s="6">
        <f t="shared" si="16"/>
        <v>14063669314.31838</v>
      </c>
      <c r="S337" s="6">
        <f t="shared" si="17"/>
        <v>0</v>
      </c>
      <c r="T337" s="7"/>
    </row>
    <row r="338" spans="16:20" x14ac:dyDescent="0.2">
      <c r="P338" s="93">
        <v>1660</v>
      </c>
      <c r="Q338" s="6">
        <f t="shared" si="15"/>
        <v>4.1692256395880556E-278</v>
      </c>
      <c r="R338" s="6">
        <f t="shared" si="16"/>
        <v>14124801615.406055</v>
      </c>
      <c r="S338" s="6">
        <f t="shared" si="17"/>
        <v>0</v>
      </c>
      <c r="T338" s="7"/>
    </row>
    <row r="339" spans="16:20" x14ac:dyDescent="0.2">
      <c r="P339" s="93">
        <v>1665</v>
      </c>
      <c r="Q339" s="6">
        <f t="shared" si="15"/>
        <v>6.0356313598713491E-279</v>
      </c>
      <c r="R339" s="6">
        <f t="shared" si="16"/>
        <v>14185922274.141787</v>
      </c>
      <c r="S339" s="6">
        <f t="shared" si="17"/>
        <v>0</v>
      </c>
      <c r="T339" s="7"/>
    </row>
    <row r="340" spans="16:20" x14ac:dyDescent="0.2">
      <c r="P340" s="93">
        <v>1670</v>
      </c>
      <c r="Q340" s="6">
        <f t="shared" si="15"/>
        <v>8.7375174199813412E-280</v>
      </c>
      <c r="R340" s="6">
        <f t="shared" si="16"/>
        <v>14247030931.507238</v>
      </c>
      <c r="S340" s="6">
        <f t="shared" si="17"/>
        <v>0</v>
      </c>
      <c r="T340" s="7"/>
    </row>
    <row r="341" spans="16:20" x14ac:dyDescent="0.2">
      <c r="P341" s="93">
        <v>1675</v>
      </c>
      <c r="Q341" s="6">
        <f t="shared" si="15"/>
        <v>1.2648862054836083E-280</v>
      </c>
      <c r="R341" s="6">
        <f t="shared" si="16"/>
        <v>14308127232.634018</v>
      </c>
      <c r="S341" s="6">
        <f t="shared" si="17"/>
        <v>0</v>
      </c>
      <c r="T341" s="7"/>
    </row>
    <row r="342" spans="16:20" x14ac:dyDescent="0.2">
      <c r="P342" s="93">
        <v>1680</v>
      </c>
      <c r="Q342" s="6">
        <f t="shared" si="15"/>
        <v>1.8311036277783323E-281</v>
      </c>
      <c r="R342" s="6">
        <f t="shared" si="16"/>
        <v>14369210826.75824</v>
      </c>
      <c r="S342" s="6">
        <f t="shared" si="17"/>
        <v>0</v>
      </c>
      <c r="T342" s="7"/>
    </row>
    <row r="343" spans="16:20" x14ac:dyDescent="0.2">
      <c r="P343" s="93">
        <v>1685</v>
      </c>
      <c r="Q343" s="6">
        <f t="shared" si="15"/>
        <v>2.650772560731097E-282</v>
      </c>
      <c r="R343" s="6">
        <f t="shared" si="16"/>
        <v>14430281367.175701</v>
      </c>
      <c r="S343" s="6">
        <f t="shared" si="17"/>
        <v>0</v>
      </c>
      <c r="T343" s="7"/>
    </row>
    <row r="344" spans="16:20" x14ac:dyDescent="0.2">
      <c r="P344" s="93">
        <v>1690</v>
      </c>
      <c r="Q344" s="6">
        <f t="shared" si="15"/>
        <v>3.8373383825495808E-283</v>
      </c>
      <c r="R344" s="6">
        <f t="shared" si="16"/>
        <v>14491338511.197433</v>
      </c>
      <c r="S344" s="6">
        <f t="shared" si="17"/>
        <v>0</v>
      </c>
      <c r="T344" s="7"/>
    </row>
    <row r="345" spans="16:20" x14ac:dyDescent="0.2">
      <c r="P345" s="93">
        <v>1695</v>
      </c>
      <c r="Q345" s="6">
        <f t="shared" si="15"/>
        <v>5.5550225749516836E-284</v>
      </c>
      <c r="R345" s="6">
        <f t="shared" si="16"/>
        <v>14552381920.105894</v>
      </c>
      <c r="S345" s="6">
        <f t="shared" si="17"/>
        <v>0</v>
      </c>
      <c r="T345" s="7"/>
    </row>
    <row r="346" spans="16:20" x14ac:dyDescent="0.2">
      <c r="P346" s="93">
        <v>1700</v>
      </c>
      <c r="Q346" s="6">
        <f t="shared" si="15"/>
        <v>8.0415481964302997E-285</v>
      </c>
      <c r="R346" s="6">
        <f t="shared" si="16"/>
        <v>14613411259.111654</v>
      </c>
      <c r="S346" s="6">
        <f t="shared" si="17"/>
        <v>0</v>
      </c>
      <c r="T346" s="7"/>
    </row>
    <row r="347" spans="16:20" x14ac:dyDescent="0.2">
      <c r="P347" s="93">
        <v>1705</v>
      </c>
      <c r="Q347" s="6">
        <f t="shared" si="15"/>
        <v>1.1641035985544269E-285</v>
      </c>
      <c r="R347" s="6">
        <f t="shared" si="16"/>
        <v>14674426197.310499</v>
      </c>
      <c r="S347" s="6">
        <f t="shared" si="17"/>
        <v>0</v>
      </c>
      <c r="T347" s="7"/>
    </row>
    <row r="348" spans="16:20" x14ac:dyDescent="0.2">
      <c r="P348" s="93">
        <v>1710</v>
      </c>
      <c r="Q348" s="6">
        <f t="shared" si="15"/>
        <v>1.6851622698268023E-286</v>
      </c>
      <c r="R348" s="6">
        <f t="shared" si="16"/>
        <v>14735426407.641171</v>
      </c>
      <c r="S348" s="6">
        <f t="shared" si="17"/>
        <v>0</v>
      </c>
      <c r="T348" s="7"/>
    </row>
    <row r="349" spans="16:20" x14ac:dyDescent="0.2">
      <c r="P349" s="93">
        <v>1715</v>
      </c>
      <c r="Q349" s="6">
        <f t="shared" si="15"/>
        <v>2.4394390152521283E-287</v>
      </c>
      <c r="R349" s="6">
        <f t="shared" si="16"/>
        <v>14796411566.843489</v>
      </c>
      <c r="S349" s="6">
        <f t="shared" si="17"/>
        <v>0</v>
      </c>
      <c r="T349" s="7"/>
    </row>
    <row r="350" spans="16:20" x14ac:dyDescent="0.2">
      <c r="P350" s="93">
        <v>1720</v>
      </c>
      <c r="Q350" s="6">
        <f t="shared" si="15"/>
        <v>3.5313141795792337E-288</v>
      </c>
      <c r="R350" s="6">
        <f t="shared" si="16"/>
        <v>14857381355.417038</v>
      </c>
      <c r="S350" s="6">
        <f t="shared" si="17"/>
        <v>0</v>
      </c>
      <c r="T350" s="7"/>
    </row>
    <row r="351" spans="16:20" x14ac:dyDescent="0.2">
      <c r="P351" s="93">
        <v>1725</v>
      </c>
      <c r="Q351" s="6">
        <f t="shared" si="15"/>
        <v>5.1118831285002852E-289</v>
      </c>
      <c r="R351" s="6">
        <f t="shared" si="16"/>
        <v>14918335457.580246</v>
      </c>
      <c r="S351" s="6">
        <f t="shared" si="17"/>
        <v>0</v>
      </c>
      <c r="T351" s="7"/>
    </row>
    <row r="352" spans="16:20" x14ac:dyDescent="0.2">
      <c r="P352" s="93">
        <v>1730</v>
      </c>
      <c r="Q352" s="6">
        <f t="shared" si="15"/>
        <v>7.3998624924972942E-290</v>
      </c>
      <c r="R352" s="6">
        <f t="shared" si="16"/>
        <v>14979273561.230068</v>
      </c>
      <c r="S352" s="6">
        <f t="shared" si="17"/>
        <v>0</v>
      </c>
      <c r="T352" s="7"/>
    </row>
    <row r="353" spans="16:20" x14ac:dyDescent="0.2">
      <c r="P353" s="93">
        <v>1735</v>
      </c>
      <c r="Q353" s="6">
        <f t="shared" si="15"/>
        <v>1.0711852135792649E-290</v>
      </c>
      <c r="R353" s="6">
        <f t="shared" si="16"/>
        <v>15040195357.901987</v>
      </c>
      <c r="S353" s="6">
        <f t="shared" si="17"/>
        <v>0</v>
      </c>
      <c r="T353" s="7"/>
    </row>
    <row r="354" spans="16:20" x14ac:dyDescent="0.2">
      <c r="P354" s="93">
        <v>1740</v>
      </c>
      <c r="Q354" s="6">
        <f t="shared" si="15"/>
        <v>1.5506139447773895E-291</v>
      </c>
      <c r="R354" s="6">
        <f t="shared" si="16"/>
        <v>15101100542.730619</v>
      </c>
      <c r="S354" s="6">
        <f t="shared" si="17"/>
        <v>0</v>
      </c>
      <c r="T354" s="7"/>
    </row>
    <row r="355" spans="16:20" x14ac:dyDescent="0.2">
      <c r="P355" s="93">
        <v>1745</v>
      </c>
      <c r="Q355" s="6">
        <f t="shared" si="15"/>
        <v>2.2446105941511714E-292</v>
      </c>
      <c r="R355" s="6">
        <f t="shared" si="16"/>
        <v>15161988814.410685</v>
      </c>
      <c r="S355" s="6">
        <f t="shared" si="17"/>
        <v>0</v>
      </c>
      <c r="T355" s="7"/>
    </row>
    <row r="356" spans="16:20" x14ac:dyDescent="0.2">
      <c r="P356" s="93">
        <v>1750</v>
      </c>
      <c r="Q356" s="6">
        <f t="shared" si="15"/>
        <v>3.2492007787565786E-293</v>
      </c>
      <c r="R356" s="6">
        <f t="shared" si="16"/>
        <v>15222859875.158451</v>
      </c>
      <c r="S356" s="6">
        <f t="shared" si="17"/>
        <v>0</v>
      </c>
      <c r="T356" s="7"/>
    </row>
    <row r="357" spans="16:20" x14ac:dyDescent="0.2">
      <c r="P357" s="93">
        <v>1755</v>
      </c>
      <c r="Q357" s="6">
        <f t="shared" si="15"/>
        <v>4.7033826878702353E-294</v>
      </c>
      <c r="R357" s="6">
        <f t="shared" si="16"/>
        <v>15283713430.673668</v>
      </c>
      <c r="S357" s="6">
        <f t="shared" si="17"/>
        <v>0</v>
      </c>
      <c r="T357" s="7"/>
    </row>
    <row r="358" spans="16:20" x14ac:dyDescent="0.2">
      <c r="P358" s="93">
        <v>1760</v>
      </c>
      <c r="Q358" s="6">
        <f t="shared" si="15"/>
        <v>6.8083570192611587E-295</v>
      </c>
      <c r="R358" s="6">
        <f t="shared" si="16"/>
        <v>15344549190.101892</v>
      </c>
      <c r="S358" s="6">
        <f t="shared" si="17"/>
        <v>0</v>
      </c>
      <c r="T358" s="7"/>
    </row>
    <row r="359" spans="16:20" x14ac:dyDescent="0.2">
      <c r="P359" s="93">
        <v>1765</v>
      </c>
      <c r="Q359" s="6">
        <f t="shared" si="15"/>
        <v>9.8553618368943364E-296</v>
      </c>
      <c r="R359" s="6">
        <f t="shared" si="16"/>
        <v>15405366865.997211</v>
      </c>
      <c r="S359" s="6">
        <f t="shared" si="17"/>
        <v>0</v>
      </c>
      <c r="T359" s="7"/>
    </row>
    <row r="360" spans="16:20" x14ac:dyDescent="0.2">
      <c r="P360" s="93">
        <v>1770</v>
      </c>
      <c r="Q360" s="6">
        <f t="shared" si="15"/>
        <v>1.426596268803823E-296</v>
      </c>
      <c r="R360" s="6">
        <f t="shared" si="16"/>
        <v>15466166174.285559</v>
      </c>
      <c r="S360" s="6">
        <f t="shared" si="17"/>
        <v>0</v>
      </c>
      <c r="T360" s="7"/>
    </row>
    <row r="361" spans="16:20" x14ac:dyDescent="0.2">
      <c r="P361" s="93">
        <v>1775</v>
      </c>
      <c r="Q361" s="6">
        <f t="shared" si="15"/>
        <v>2.0650371114230741E-297</v>
      </c>
      <c r="R361" s="6">
        <f t="shared" si="16"/>
        <v>15526946834.228239</v>
      </c>
      <c r="S361" s="6">
        <f t="shared" si="17"/>
        <v>0</v>
      </c>
      <c r="T361" s="7"/>
    </row>
    <row r="362" spans="16:20" x14ac:dyDescent="0.2">
      <c r="P362" s="93">
        <v>1780</v>
      </c>
      <c r="Q362" s="6">
        <f t="shared" si="15"/>
        <v>2.9891858306327191E-298</v>
      </c>
      <c r="R362" s="6">
        <f t="shared" si="16"/>
        <v>15587708568.386051</v>
      </c>
      <c r="S362" s="6">
        <f t="shared" si="17"/>
        <v>0</v>
      </c>
      <c r="T362" s="7"/>
    </row>
    <row r="363" spans="16:20" x14ac:dyDescent="0.2">
      <c r="P363" s="93">
        <v>1785</v>
      </c>
      <c r="Q363" s="6">
        <f t="shared" si="15"/>
        <v>4.3268939958529517E-299</v>
      </c>
      <c r="R363" s="6">
        <f t="shared" si="16"/>
        <v>15648451102.58371</v>
      </c>
      <c r="S363" s="6">
        <f t="shared" si="17"/>
        <v>0</v>
      </c>
      <c r="T363" s="7"/>
    </row>
    <row r="364" spans="16:20" x14ac:dyDescent="0.2">
      <c r="P364" s="93">
        <v>1790</v>
      </c>
      <c r="Q364" s="6">
        <f t="shared" si="15"/>
        <v>6.2632232530709227E-300</v>
      </c>
      <c r="R364" s="6">
        <f t="shared" si="16"/>
        <v>15709174165.874741</v>
      </c>
      <c r="S364" s="6">
        <f t="shared" si="17"/>
        <v>0</v>
      </c>
      <c r="T364" s="7"/>
    </row>
    <row r="365" spans="16:20" x14ac:dyDescent="0.2">
      <c r="P365" s="93">
        <v>1795</v>
      </c>
      <c r="Q365" s="6">
        <f t="shared" si="15"/>
        <v>9.0660442610673999E-301</v>
      </c>
      <c r="R365" s="6">
        <f t="shared" si="16"/>
        <v>15769877490.506769</v>
      </c>
      <c r="S365" s="6">
        <f t="shared" si="17"/>
        <v>0</v>
      </c>
      <c r="T365" s="7"/>
    </row>
    <row r="366" spans="16:20" x14ac:dyDescent="0.2">
      <c r="P366" s="93">
        <v>1800</v>
      </c>
      <c r="Q366" s="6">
        <f t="shared" si="15"/>
        <v>1.3123089557829061E-301</v>
      </c>
      <c r="R366" s="6">
        <f t="shared" si="16"/>
        <v>15830560811.887148</v>
      </c>
      <c r="S366" s="6">
        <f t="shared" si="17"/>
        <v>0</v>
      </c>
      <c r="T366" s="7"/>
    </row>
    <row r="367" spans="16:20" x14ac:dyDescent="0.2">
      <c r="P367" s="93">
        <v>1805</v>
      </c>
      <c r="Q367" s="6">
        <f t="shared" si="15"/>
        <v>1.8995585083286617E-302</v>
      </c>
      <c r="R367" s="6">
        <f t="shared" si="16"/>
        <v>15891223868.549118</v>
      </c>
      <c r="S367" s="6">
        <f t="shared" si="17"/>
        <v>0</v>
      </c>
      <c r="T367" s="7"/>
    </row>
    <row r="368" spans="16:20" x14ac:dyDescent="0.2">
      <c r="P368" s="93">
        <v>1810</v>
      </c>
      <c r="Q368" s="6">
        <f t="shared" si="15"/>
        <v>2.7495877907843734E-303</v>
      </c>
      <c r="R368" s="6">
        <f t="shared" si="16"/>
        <v>15951866402.11817</v>
      </c>
      <c r="S368" s="6">
        <f t="shared" si="17"/>
        <v>0</v>
      </c>
      <c r="T368" s="7"/>
    </row>
    <row r="369" spans="16:20" x14ac:dyDescent="0.2">
      <c r="P369" s="93">
        <v>1815</v>
      </c>
      <c r="Q369" s="6">
        <f t="shared" si="15"/>
        <v>3.9799796320382482E-304</v>
      </c>
      <c r="R369" s="6">
        <f t="shared" si="16"/>
        <v>16012488157.27898</v>
      </c>
      <c r="S369" s="6">
        <f t="shared" si="17"/>
        <v>0</v>
      </c>
      <c r="T369" s="7"/>
    </row>
    <row r="370" spans="16:20" x14ac:dyDescent="0.2">
      <c r="P370" s="93">
        <v>1820</v>
      </c>
      <c r="Q370" s="6">
        <f t="shared" si="15"/>
        <v>5.7609281719721618E-305</v>
      </c>
      <c r="R370" s="6">
        <f t="shared" si="16"/>
        <v>16073088881.742559</v>
      </c>
      <c r="S370" s="6">
        <f t="shared" si="17"/>
        <v>0</v>
      </c>
      <c r="T370" s="7"/>
    </row>
    <row r="371" spans="16:20" x14ac:dyDescent="0.2">
      <c r="P371" s="93">
        <v>1825</v>
      </c>
      <c r="Q371" s="6">
        <f t="shared" si="15"/>
        <v>8.3387783928838814E-306</v>
      </c>
      <c r="R371" s="6">
        <f t="shared" si="16"/>
        <v>16133668326.213903</v>
      </c>
      <c r="S371" s="6">
        <f t="shared" si="17"/>
        <v>0</v>
      </c>
      <c r="T371" s="7"/>
    </row>
    <row r="372" spans="16:20" x14ac:dyDescent="0.2">
      <c r="P372" s="93">
        <v>1830</v>
      </c>
      <c r="Q372" s="6">
        <f t="shared" si="15"/>
        <v>1.2070097394080455E-306</v>
      </c>
      <c r="R372" s="6">
        <f t="shared" si="16"/>
        <v>16194226244.359962</v>
      </c>
      <c r="S372" s="6">
        <f t="shared" si="17"/>
        <v>0</v>
      </c>
      <c r="T372" s="7"/>
    </row>
    <row r="373" spans="16:20" x14ac:dyDescent="0.2">
      <c r="P373" s="93">
        <v>1835</v>
      </c>
      <c r="Q373" s="6">
        <f t="shared" si="15"/>
        <v>1.7470989208466727E-307</v>
      </c>
      <c r="R373" s="6">
        <f t="shared" si="16"/>
        <v>16254762392.777948</v>
      </c>
      <c r="S373" s="6">
        <f t="shared" si="17"/>
        <v>0</v>
      </c>
      <c r="T373" s="7"/>
    </row>
    <row r="374" spans="16:20" x14ac:dyDescent="0.2">
      <c r="P374" s="93">
        <v>1840</v>
      </c>
      <c r="Q374" s="6">
        <f t="shared" si="15"/>
        <v>2.5288472896489002E-308</v>
      </c>
      <c r="R374" s="6">
        <f t="shared" si="16"/>
        <v>16315276530.96405</v>
      </c>
      <c r="S374" s="6">
        <f t="shared" si="17"/>
        <v>0</v>
      </c>
      <c r="T374" s="7"/>
    </row>
    <row r="375" spans="16:20" x14ac:dyDescent="0.2">
      <c r="P375" s="93">
        <v>1845</v>
      </c>
      <c r="Q375" s="6">
        <f t="shared" si="15"/>
        <v>0</v>
      </c>
      <c r="R375" s="6">
        <f t="shared" si="16"/>
        <v>16375768421.282536</v>
      </c>
      <c r="S375" s="6">
        <f t="shared" si="17"/>
        <v>0</v>
      </c>
      <c r="T375" s="7"/>
    </row>
    <row r="376" spans="16:20" x14ac:dyDescent="0.2">
      <c r="P376" s="93">
        <v>1850</v>
      </c>
      <c r="Q376" s="6">
        <f t="shared" si="15"/>
        <v>0</v>
      </c>
      <c r="R376" s="6">
        <f t="shared" si="16"/>
        <v>16436237828.935049</v>
      </c>
      <c r="S376" s="6">
        <f t="shared" si="17"/>
        <v>0</v>
      </c>
      <c r="T376" s="7"/>
    </row>
    <row r="377" spans="16:20" x14ac:dyDescent="0.2">
      <c r="P377" s="93">
        <v>1855</v>
      </c>
      <c r="Q377" s="6">
        <f t="shared" si="15"/>
        <v>0</v>
      </c>
      <c r="R377" s="6">
        <f t="shared" si="16"/>
        <v>16496684521.930487</v>
      </c>
      <c r="S377" s="6">
        <f t="shared" si="17"/>
        <v>0</v>
      </c>
      <c r="T377" s="7"/>
    </row>
    <row r="378" spans="16:20" x14ac:dyDescent="0.2">
      <c r="P378" s="93">
        <v>1860</v>
      </c>
      <c r="Q378" s="6">
        <f t="shared" si="15"/>
        <v>0</v>
      </c>
      <c r="R378" s="6">
        <f t="shared" si="16"/>
        <v>16557108271.055027</v>
      </c>
      <c r="S378" s="6">
        <f t="shared" si="17"/>
        <v>0</v>
      </c>
      <c r="T378" s="7"/>
    </row>
    <row r="379" spans="16:20" x14ac:dyDescent="0.2">
      <c r="P379" s="93">
        <v>1865</v>
      </c>
      <c r="Q379" s="6">
        <f t="shared" si="15"/>
        <v>0</v>
      </c>
      <c r="R379" s="6">
        <f t="shared" si="16"/>
        <v>16617508849.842592</v>
      </c>
      <c r="S379" s="6">
        <f t="shared" si="17"/>
        <v>0</v>
      </c>
      <c r="T379" s="7"/>
    </row>
    <row r="380" spans="16:20" x14ac:dyDescent="0.2">
      <c r="P380" s="93">
        <v>1870</v>
      </c>
      <c r="Q380" s="6">
        <f t="shared" si="15"/>
        <v>0</v>
      </c>
      <c r="R380" s="6">
        <f t="shared" si="16"/>
        <v>16677886034.545622</v>
      </c>
      <c r="S380" s="6">
        <f t="shared" si="17"/>
        <v>0</v>
      </c>
      <c r="T380" s="7"/>
    </row>
    <row r="381" spans="16:20" x14ac:dyDescent="0.2">
      <c r="P381" s="93">
        <v>1875</v>
      </c>
      <c r="Q381" s="6">
        <f t="shared" si="15"/>
        <v>0</v>
      </c>
      <c r="R381" s="6">
        <f t="shared" si="16"/>
        <v>16738239604.106173</v>
      </c>
      <c r="S381" s="6">
        <f t="shared" si="17"/>
        <v>0</v>
      </c>
      <c r="T381" s="7"/>
    </row>
    <row r="382" spans="16:20" x14ac:dyDescent="0.2">
      <c r="P382" s="93">
        <v>1880</v>
      </c>
      <c r="Q382" s="6">
        <f t="shared" si="15"/>
        <v>0</v>
      </c>
      <c r="R382" s="6">
        <f t="shared" si="16"/>
        <v>16798569340.127367</v>
      </c>
      <c r="S382" s="6">
        <f t="shared" si="17"/>
        <v>0</v>
      </c>
      <c r="T382" s="7"/>
    </row>
    <row r="383" spans="16:20" x14ac:dyDescent="0.2">
      <c r="P383" s="93">
        <v>1885</v>
      </c>
      <c r="Q383" s="6">
        <f t="shared" si="15"/>
        <v>0</v>
      </c>
      <c r="R383" s="6">
        <f t="shared" si="16"/>
        <v>16858875026.845154</v>
      </c>
      <c r="S383" s="6">
        <f t="shared" si="17"/>
        <v>0</v>
      </c>
      <c r="T383" s="7"/>
    </row>
    <row r="384" spans="16:20" x14ac:dyDescent="0.2">
      <c r="P384" s="93">
        <v>1890</v>
      </c>
      <c r="Q384" s="6">
        <f t="shared" si="15"/>
        <v>0</v>
      </c>
      <c r="R384" s="6">
        <f t="shared" si="16"/>
        <v>16919156451.100357</v>
      </c>
      <c r="S384" s="6">
        <f t="shared" si="17"/>
        <v>0</v>
      </c>
      <c r="T384" s="7"/>
    </row>
    <row r="385" spans="16:20" x14ac:dyDescent="0.2">
      <c r="P385" s="93">
        <v>1895</v>
      </c>
      <c r="Q385" s="6">
        <f t="shared" si="15"/>
        <v>0</v>
      </c>
      <c r="R385" s="6">
        <f t="shared" si="16"/>
        <v>16979413402.311104</v>
      </c>
      <c r="S385" s="6">
        <f t="shared" si="17"/>
        <v>0</v>
      </c>
      <c r="T385" s="7"/>
    </row>
    <row r="386" spans="16:20" x14ac:dyDescent="0.2">
      <c r="P386" s="93">
        <v>1900</v>
      </c>
      <c r="Q386" s="6">
        <f t="shared" si="15"/>
        <v>0</v>
      </c>
      <c r="R386" s="6">
        <f t="shared" si="16"/>
        <v>17039645672.445509</v>
      </c>
      <c r="S386" s="6">
        <f t="shared" si="17"/>
        <v>0</v>
      </c>
      <c r="T386" s="7"/>
    </row>
    <row r="387" spans="16:20" x14ac:dyDescent="0.2">
      <c r="P387" s="93">
        <v>1905</v>
      </c>
      <c r="Q387" s="6">
        <f t="shared" si="15"/>
        <v>0</v>
      </c>
      <c r="R387" s="6">
        <f t="shared" si="16"/>
        <v>17099853055.994673</v>
      </c>
      <c r="S387" s="6">
        <f t="shared" si="17"/>
        <v>0</v>
      </c>
      <c r="T387" s="7"/>
    </row>
    <row r="388" spans="16:20" x14ac:dyDescent="0.2">
      <c r="P388" s="93">
        <v>1910</v>
      </c>
      <c r="Q388" s="6">
        <f t="shared" si="15"/>
        <v>0</v>
      </c>
      <c r="R388" s="6">
        <f t="shared" si="16"/>
        <v>17160035349.946066</v>
      </c>
      <c r="S388" s="6">
        <f t="shared" si="17"/>
        <v>0</v>
      </c>
      <c r="T388" s="7"/>
    </row>
    <row r="389" spans="16:20" x14ac:dyDescent="0.2">
      <c r="P389" s="93">
        <v>1915</v>
      </c>
      <c r="Q389" s="6">
        <f t="shared" si="15"/>
        <v>0</v>
      </c>
      <c r="R389" s="6">
        <f t="shared" si="16"/>
        <v>17220192353.757034</v>
      </c>
      <c r="S389" s="6">
        <f t="shared" si="17"/>
        <v>0</v>
      </c>
      <c r="T389" s="7"/>
    </row>
    <row r="390" spans="16:20" x14ac:dyDescent="0.2">
      <c r="P390" s="93">
        <v>1920</v>
      </c>
      <c r="Q390" s="6">
        <f t="shared" ref="Q390:Q453" si="18">2*SQRT(P390/(PI()*($G$4)^3))*EXP((-P390)/(2*$G$4))</f>
        <v>0</v>
      </c>
      <c r="R390" s="6">
        <f t="shared" ref="R390:R453" si="19">(EXP(-(31.29*$B$9*$C$9*(SQRT($B$11/P390)))))*$R$4</f>
        <v>17280323869.3288</v>
      </c>
      <c r="S390" s="6">
        <f t="shared" ref="S390:S453" si="20">$S$4*(2*SQRT(P390/(PI()*($G$4)^3))*EXP((-(P390)/($G$4))-SQRT(($Q$4*1000)/P390)))</f>
        <v>0</v>
      </c>
      <c r="T390" s="7"/>
    </row>
    <row r="391" spans="16:20" x14ac:dyDescent="0.2">
      <c r="P391" s="93">
        <v>1925</v>
      </c>
      <c r="Q391" s="6">
        <f t="shared" si="18"/>
        <v>0</v>
      </c>
      <c r="R391" s="6">
        <f t="shared" si="19"/>
        <v>17340429700.980652</v>
      </c>
      <c r="S391" s="6">
        <f t="shared" si="20"/>
        <v>0</v>
      </c>
      <c r="T391" s="7"/>
    </row>
    <row r="392" spans="16:20" x14ac:dyDescent="0.2">
      <c r="P392" s="93">
        <v>1930</v>
      </c>
      <c r="Q392" s="6">
        <f t="shared" si="18"/>
        <v>0</v>
      </c>
      <c r="R392" s="6">
        <f t="shared" si="19"/>
        <v>17400509655.424435</v>
      </c>
      <c r="S392" s="6">
        <f t="shared" si="20"/>
        <v>0</v>
      </c>
      <c r="T392" s="7"/>
    </row>
    <row r="393" spans="16:20" x14ac:dyDescent="0.2">
      <c r="P393" s="93">
        <v>1935</v>
      </c>
      <c r="Q393" s="6">
        <f t="shared" si="18"/>
        <v>0</v>
      </c>
      <c r="R393" s="6">
        <f t="shared" si="19"/>
        <v>17460563541.739292</v>
      </c>
      <c r="S393" s="6">
        <f t="shared" si="20"/>
        <v>0</v>
      </c>
      <c r="T393" s="7"/>
    </row>
    <row r="394" spans="16:20" x14ac:dyDescent="0.2">
      <c r="P394" s="93">
        <v>1940</v>
      </c>
      <c r="Q394" s="6">
        <f t="shared" si="18"/>
        <v>0</v>
      </c>
      <c r="R394" s="6">
        <f t="shared" si="19"/>
        <v>17520591171.346806</v>
      </c>
      <c r="S394" s="6">
        <f t="shared" si="20"/>
        <v>0</v>
      </c>
      <c r="T394" s="7"/>
    </row>
    <row r="395" spans="16:20" x14ac:dyDescent="0.2">
      <c r="P395" s="93">
        <v>1945</v>
      </c>
      <c r="Q395" s="6">
        <f t="shared" si="18"/>
        <v>0</v>
      </c>
      <c r="R395" s="6">
        <f t="shared" si="19"/>
        <v>17580592357.986294</v>
      </c>
      <c r="S395" s="6">
        <f t="shared" si="20"/>
        <v>0</v>
      </c>
      <c r="T395" s="7"/>
    </row>
    <row r="396" spans="16:20" x14ac:dyDescent="0.2">
      <c r="P396" s="93">
        <v>1950</v>
      </c>
      <c r="Q396" s="6">
        <f t="shared" si="18"/>
        <v>0</v>
      </c>
      <c r="R396" s="6">
        <f t="shared" si="19"/>
        <v>17640566917.690403</v>
      </c>
      <c r="S396" s="6">
        <f t="shared" si="20"/>
        <v>0</v>
      </c>
      <c r="T396" s="7"/>
    </row>
    <row r="397" spans="16:20" x14ac:dyDescent="0.2">
      <c r="P397" s="93">
        <v>1955</v>
      </c>
      <c r="Q397" s="6">
        <f t="shared" si="18"/>
        <v>0</v>
      </c>
      <c r="R397" s="6">
        <f t="shared" si="19"/>
        <v>17700514668.761066</v>
      </c>
      <c r="S397" s="6">
        <f t="shared" si="20"/>
        <v>0</v>
      </c>
      <c r="T397" s="7"/>
    </row>
    <row r="398" spans="16:20" x14ac:dyDescent="0.2">
      <c r="P398" s="93">
        <v>1960</v>
      </c>
      <c r="Q398" s="6">
        <f t="shared" si="18"/>
        <v>0</v>
      </c>
      <c r="R398" s="6">
        <f t="shared" si="19"/>
        <v>17760435431.745625</v>
      </c>
      <c r="S398" s="6">
        <f t="shared" si="20"/>
        <v>0</v>
      </c>
      <c r="T398" s="7"/>
    </row>
    <row r="399" spans="16:20" x14ac:dyDescent="0.2">
      <c r="P399" s="93">
        <v>1965</v>
      </c>
      <c r="Q399" s="6">
        <f t="shared" si="18"/>
        <v>0</v>
      </c>
      <c r="R399" s="6">
        <f t="shared" si="19"/>
        <v>17820329029.413235</v>
      </c>
      <c r="S399" s="6">
        <f t="shared" si="20"/>
        <v>0</v>
      </c>
      <c r="T399" s="7"/>
    </row>
    <row r="400" spans="16:20" x14ac:dyDescent="0.2">
      <c r="P400" s="93">
        <v>1970</v>
      </c>
      <c r="Q400" s="6">
        <f t="shared" si="18"/>
        <v>0</v>
      </c>
      <c r="R400" s="6">
        <f t="shared" si="19"/>
        <v>17880195286.731617</v>
      </c>
      <c r="S400" s="6">
        <f t="shared" si="20"/>
        <v>0</v>
      </c>
      <c r="T400" s="7"/>
    </row>
    <row r="401" spans="16:20" x14ac:dyDescent="0.2">
      <c r="P401" s="93">
        <v>1975</v>
      </c>
      <c r="Q401" s="6">
        <f t="shared" si="18"/>
        <v>0</v>
      </c>
      <c r="R401" s="6">
        <f t="shared" si="19"/>
        <v>17940034030.843941</v>
      </c>
      <c r="S401" s="6">
        <f t="shared" si="20"/>
        <v>0</v>
      </c>
      <c r="T401" s="7"/>
    </row>
    <row r="402" spans="16:20" x14ac:dyDescent="0.2">
      <c r="P402" s="93">
        <v>1980</v>
      </c>
      <c r="Q402" s="6">
        <f t="shared" si="18"/>
        <v>0</v>
      </c>
      <c r="R402" s="6">
        <f t="shared" si="19"/>
        <v>17999845091.046062</v>
      </c>
      <c r="S402" s="6">
        <f t="shared" si="20"/>
        <v>0</v>
      </c>
      <c r="T402" s="7"/>
    </row>
    <row r="403" spans="16:20" x14ac:dyDescent="0.2">
      <c r="P403" s="93">
        <v>1985</v>
      </c>
      <c r="Q403" s="6">
        <f t="shared" si="18"/>
        <v>0</v>
      </c>
      <c r="R403" s="6">
        <f t="shared" si="19"/>
        <v>18059628298.763992</v>
      </c>
      <c r="S403" s="6">
        <f t="shared" si="20"/>
        <v>0</v>
      </c>
      <c r="T403" s="7"/>
    </row>
    <row r="404" spans="16:20" x14ac:dyDescent="0.2">
      <c r="P404" s="93">
        <v>1990</v>
      </c>
      <c r="Q404" s="6">
        <f t="shared" si="18"/>
        <v>0</v>
      </c>
      <c r="R404" s="6">
        <f t="shared" si="19"/>
        <v>18119383487.531563</v>
      </c>
      <c r="S404" s="6">
        <f t="shared" si="20"/>
        <v>0</v>
      </c>
      <c r="T404" s="7"/>
    </row>
    <row r="405" spans="16:20" x14ac:dyDescent="0.2">
      <c r="P405" s="93">
        <v>1995</v>
      </c>
      <c r="Q405" s="6">
        <f t="shared" si="18"/>
        <v>0</v>
      </c>
      <c r="R405" s="6">
        <f t="shared" si="19"/>
        <v>18179110492.968433</v>
      </c>
      <c r="S405" s="6">
        <f t="shared" si="20"/>
        <v>0</v>
      </c>
      <c r="T405" s="7"/>
    </row>
    <row r="406" spans="16:20" x14ac:dyDescent="0.2">
      <c r="P406" s="93">
        <v>2000</v>
      </c>
      <c r="Q406" s="6">
        <f t="shared" si="18"/>
        <v>0</v>
      </c>
      <c r="R406" s="6">
        <f t="shared" si="19"/>
        <v>18238809152.75824</v>
      </c>
      <c r="S406" s="6">
        <f t="shared" si="20"/>
        <v>0</v>
      </c>
      <c r="T406" s="7"/>
    </row>
    <row r="407" spans="16:20" x14ac:dyDescent="0.2">
      <c r="P407" s="93">
        <v>2005</v>
      </c>
      <c r="Q407" s="6">
        <f t="shared" si="18"/>
        <v>0</v>
      </c>
      <c r="R407" s="6">
        <f t="shared" si="19"/>
        <v>18298479306.627071</v>
      </c>
      <c r="S407" s="6">
        <f t="shared" si="20"/>
        <v>0</v>
      </c>
      <c r="T407" s="7"/>
    </row>
    <row r="408" spans="16:20" x14ac:dyDescent="0.2">
      <c r="P408" s="93">
        <v>2010</v>
      </c>
      <c r="Q408" s="6">
        <f t="shared" si="18"/>
        <v>0</v>
      </c>
      <c r="R408" s="6">
        <f t="shared" si="19"/>
        <v>18358120796.322128</v>
      </c>
      <c r="S408" s="6">
        <f t="shared" si="20"/>
        <v>0</v>
      </c>
      <c r="T408" s="7"/>
    </row>
    <row r="409" spans="16:20" x14ac:dyDescent="0.2">
      <c r="P409" s="93">
        <v>2015</v>
      </c>
      <c r="Q409" s="6">
        <f t="shared" si="18"/>
        <v>0</v>
      </c>
      <c r="R409" s="6">
        <f t="shared" si="19"/>
        <v>18417733465.590645</v>
      </c>
      <c r="S409" s="6">
        <f t="shared" si="20"/>
        <v>0</v>
      </c>
      <c r="T409" s="7"/>
    </row>
    <row r="410" spans="16:20" x14ac:dyDescent="0.2">
      <c r="P410" s="93">
        <v>2020</v>
      </c>
      <c r="Q410" s="6">
        <f t="shared" si="18"/>
        <v>0</v>
      </c>
      <c r="R410" s="6">
        <f t="shared" si="19"/>
        <v>18477317160.159039</v>
      </c>
      <c r="S410" s="6">
        <f t="shared" si="20"/>
        <v>0</v>
      </c>
      <c r="T410" s="7"/>
    </row>
    <row r="411" spans="16:20" x14ac:dyDescent="0.2">
      <c r="P411" s="93">
        <v>2025</v>
      </c>
      <c r="Q411" s="6">
        <f t="shared" si="18"/>
        <v>0</v>
      </c>
      <c r="R411" s="6">
        <f t="shared" si="19"/>
        <v>18536871727.712303</v>
      </c>
      <c r="S411" s="6">
        <f t="shared" si="20"/>
        <v>0</v>
      </c>
      <c r="T411" s="7"/>
    </row>
    <row r="412" spans="16:20" x14ac:dyDescent="0.2">
      <c r="P412" s="93">
        <v>2030</v>
      </c>
      <c r="Q412" s="6">
        <f t="shared" si="18"/>
        <v>0</v>
      </c>
      <c r="R412" s="6">
        <f t="shared" si="19"/>
        <v>18596397017.873539</v>
      </c>
      <c r="S412" s="6">
        <f t="shared" si="20"/>
        <v>0</v>
      </c>
      <c r="T412" s="7"/>
    </row>
    <row r="413" spans="16:20" x14ac:dyDescent="0.2">
      <c r="P413" s="93">
        <v>2035</v>
      </c>
      <c r="Q413" s="6">
        <f t="shared" si="18"/>
        <v>0</v>
      </c>
      <c r="R413" s="6">
        <f t="shared" si="19"/>
        <v>18655892882.183891</v>
      </c>
      <c r="S413" s="6">
        <f t="shared" si="20"/>
        <v>0</v>
      </c>
      <c r="T413" s="7"/>
    </row>
    <row r="414" spans="16:20" x14ac:dyDescent="0.2">
      <c r="P414" s="93">
        <v>2040</v>
      </c>
      <c r="Q414" s="6">
        <f t="shared" si="18"/>
        <v>0</v>
      </c>
      <c r="R414" s="6">
        <f t="shared" si="19"/>
        <v>18715359174.082508</v>
      </c>
      <c r="S414" s="6">
        <f t="shared" si="20"/>
        <v>0</v>
      </c>
      <c r="T414" s="7"/>
    </row>
    <row r="415" spans="16:20" x14ac:dyDescent="0.2">
      <c r="P415" s="93">
        <v>2045</v>
      </c>
      <c r="Q415" s="6">
        <f t="shared" si="18"/>
        <v>0</v>
      </c>
      <c r="R415" s="6">
        <f t="shared" si="19"/>
        <v>18774795748.886826</v>
      </c>
      <c r="S415" s="6">
        <f t="shared" si="20"/>
        <v>0</v>
      </c>
      <c r="T415" s="7"/>
    </row>
    <row r="416" spans="16:20" x14ac:dyDescent="0.2">
      <c r="P416" s="93">
        <v>2050</v>
      </c>
      <c r="Q416" s="6">
        <f t="shared" si="18"/>
        <v>0</v>
      </c>
      <c r="R416" s="6">
        <f t="shared" si="19"/>
        <v>18834202463.773117</v>
      </c>
      <c r="S416" s="6">
        <f t="shared" si="20"/>
        <v>0</v>
      </c>
      <c r="T416" s="7"/>
    </row>
    <row r="417" spans="16:20" x14ac:dyDescent="0.2">
      <c r="P417" s="93">
        <v>2055</v>
      </c>
      <c r="Q417" s="6">
        <f t="shared" si="18"/>
        <v>0</v>
      </c>
      <c r="R417" s="6">
        <f t="shared" si="19"/>
        <v>18893579177.757111</v>
      </c>
      <c r="S417" s="6">
        <f t="shared" si="20"/>
        <v>0</v>
      </c>
      <c r="T417" s="7"/>
    </row>
    <row r="418" spans="16:20" x14ac:dyDescent="0.2">
      <c r="P418" s="93">
        <v>2060</v>
      </c>
      <c r="Q418" s="6">
        <f t="shared" si="18"/>
        <v>0</v>
      </c>
      <c r="R418" s="6">
        <f t="shared" si="19"/>
        <v>18952925751.674942</v>
      </c>
      <c r="S418" s="6">
        <f t="shared" si="20"/>
        <v>0</v>
      </c>
      <c r="T418" s="7"/>
    </row>
    <row r="419" spans="16:20" x14ac:dyDescent="0.2">
      <c r="P419" s="93">
        <v>2065</v>
      </c>
      <c r="Q419" s="6">
        <f t="shared" si="18"/>
        <v>0</v>
      </c>
      <c r="R419" s="6">
        <f t="shared" si="19"/>
        <v>19012242048.164288</v>
      </c>
      <c r="S419" s="6">
        <f t="shared" si="20"/>
        <v>0</v>
      </c>
      <c r="T419" s="7"/>
    </row>
    <row r="420" spans="16:20" x14ac:dyDescent="0.2">
      <c r="P420" s="93">
        <v>2070</v>
      </c>
      <c r="Q420" s="6">
        <f t="shared" si="18"/>
        <v>0</v>
      </c>
      <c r="R420" s="6">
        <f t="shared" si="19"/>
        <v>19071527931.645615</v>
      </c>
      <c r="S420" s="6">
        <f t="shared" si="20"/>
        <v>0</v>
      </c>
      <c r="T420" s="7"/>
    </row>
    <row r="421" spans="16:20" x14ac:dyDescent="0.2">
      <c r="P421" s="93">
        <v>2075</v>
      </c>
      <c r="Q421" s="6">
        <f t="shared" si="18"/>
        <v>0</v>
      </c>
      <c r="R421" s="6">
        <f t="shared" si="19"/>
        <v>19130783268.303802</v>
      </c>
      <c r="S421" s="6">
        <f t="shared" si="20"/>
        <v>0</v>
      </c>
      <c r="T421" s="7"/>
    </row>
    <row r="422" spans="16:20" x14ac:dyDescent="0.2">
      <c r="P422" s="93">
        <v>2080</v>
      </c>
      <c r="Q422" s="6">
        <f t="shared" si="18"/>
        <v>0</v>
      </c>
      <c r="R422" s="6">
        <f t="shared" si="19"/>
        <v>19190007926.069817</v>
      </c>
      <c r="S422" s="6">
        <f t="shared" si="20"/>
        <v>0</v>
      </c>
      <c r="T422" s="7"/>
    </row>
    <row r="423" spans="16:20" x14ac:dyDescent="0.2">
      <c r="P423" s="93">
        <v>2085</v>
      </c>
      <c r="Q423" s="6">
        <f t="shared" si="18"/>
        <v>0</v>
      </c>
      <c r="R423" s="6">
        <f t="shared" si="19"/>
        <v>19249201774.602673</v>
      </c>
      <c r="S423" s="6">
        <f t="shared" si="20"/>
        <v>0</v>
      </c>
      <c r="T423" s="7"/>
    </row>
    <row r="424" spans="16:20" x14ac:dyDescent="0.2">
      <c r="P424" s="93">
        <v>2090</v>
      </c>
      <c r="Q424" s="6">
        <f t="shared" si="18"/>
        <v>0</v>
      </c>
      <c r="R424" s="6">
        <f t="shared" si="19"/>
        <v>19308364685.271511</v>
      </c>
      <c r="S424" s="6">
        <f t="shared" si="20"/>
        <v>0</v>
      </c>
      <c r="T424" s="7"/>
    </row>
    <row r="425" spans="16:20" x14ac:dyDescent="0.2">
      <c r="P425" s="93">
        <v>2095</v>
      </c>
      <c r="Q425" s="6">
        <f t="shared" si="18"/>
        <v>0</v>
      </c>
      <c r="R425" s="6">
        <f t="shared" si="19"/>
        <v>19367496531.137978</v>
      </c>
      <c r="S425" s="6">
        <f t="shared" si="20"/>
        <v>0</v>
      </c>
      <c r="T425" s="7"/>
    </row>
    <row r="426" spans="16:20" x14ac:dyDescent="0.2">
      <c r="P426" s="93">
        <v>2100</v>
      </c>
      <c r="Q426" s="6">
        <f t="shared" si="18"/>
        <v>0</v>
      </c>
      <c r="R426" s="6">
        <f t="shared" si="19"/>
        <v>19426597186.938713</v>
      </c>
      <c r="S426" s="6">
        <f t="shared" si="20"/>
        <v>0</v>
      </c>
      <c r="T426" s="7"/>
    </row>
    <row r="427" spans="16:20" x14ac:dyDescent="0.2">
      <c r="P427" s="93">
        <v>2105</v>
      </c>
      <c r="Q427" s="6">
        <f t="shared" si="18"/>
        <v>0</v>
      </c>
      <c r="R427" s="6">
        <f t="shared" si="19"/>
        <v>19485666529.068012</v>
      </c>
      <c r="S427" s="6">
        <f t="shared" si="20"/>
        <v>0</v>
      </c>
      <c r="T427" s="7"/>
    </row>
    <row r="428" spans="16:20" x14ac:dyDescent="0.2">
      <c r="P428" s="93">
        <v>2110</v>
      </c>
      <c r="Q428" s="6">
        <f t="shared" si="18"/>
        <v>0</v>
      </c>
      <c r="R428" s="6">
        <f t="shared" si="19"/>
        <v>19544704435.560799</v>
      </c>
      <c r="S428" s="6">
        <f t="shared" si="20"/>
        <v>0</v>
      </c>
      <c r="T428" s="7"/>
    </row>
    <row r="429" spans="16:20" x14ac:dyDescent="0.2">
      <c r="P429" s="93">
        <v>2115</v>
      </c>
      <c r="Q429" s="6">
        <f t="shared" si="18"/>
        <v>0</v>
      </c>
      <c r="R429" s="6">
        <f t="shared" si="19"/>
        <v>19603710786.075619</v>
      </c>
      <c r="S429" s="6">
        <f t="shared" si="20"/>
        <v>0</v>
      </c>
      <c r="T429" s="7"/>
    </row>
    <row r="430" spans="16:20" x14ac:dyDescent="0.2">
      <c r="P430" s="93">
        <v>2120</v>
      </c>
      <c r="Q430" s="6">
        <f t="shared" si="18"/>
        <v>0</v>
      </c>
      <c r="R430" s="6">
        <f t="shared" si="19"/>
        <v>19662685461.877972</v>
      </c>
      <c r="S430" s="6">
        <f t="shared" si="20"/>
        <v>0</v>
      </c>
      <c r="T430" s="7"/>
    </row>
    <row r="431" spans="16:20" x14ac:dyDescent="0.2">
      <c r="P431" s="93">
        <v>2125</v>
      </c>
      <c r="Q431" s="6">
        <f t="shared" si="18"/>
        <v>0</v>
      </c>
      <c r="R431" s="6">
        <f t="shared" si="19"/>
        <v>19721628345.823666</v>
      </c>
      <c r="S431" s="6">
        <f t="shared" si="20"/>
        <v>0</v>
      </c>
      <c r="T431" s="7"/>
    </row>
    <row r="432" spans="16:20" x14ac:dyDescent="0.2">
      <c r="P432" s="93">
        <v>2130</v>
      </c>
      <c r="Q432" s="6">
        <f t="shared" si="18"/>
        <v>0</v>
      </c>
      <c r="R432" s="6">
        <f t="shared" si="19"/>
        <v>19780539322.342541</v>
      </c>
      <c r="S432" s="6">
        <f t="shared" si="20"/>
        <v>0</v>
      </c>
      <c r="T432" s="7"/>
    </row>
    <row r="433" spans="16:20" x14ac:dyDescent="0.2">
      <c r="P433" s="93">
        <v>2135</v>
      </c>
      <c r="Q433" s="6">
        <f t="shared" si="18"/>
        <v>0</v>
      </c>
      <c r="R433" s="6">
        <f t="shared" si="19"/>
        <v>19839418277.422142</v>
      </c>
      <c r="S433" s="6">
        <f t="shared" si="20"/>
        <v>0</v>
      </c>
      <c r="T433" s="7"/>
    </row>
    <row r="434" spans="16:20" x14ac:dyDescent="0.2">
      <c r="P434" s="93">
        <v>2140</v>
      </c>
      <c r="Q434" s="6">
        <f t="shared" si="18"/>
        <v>0</v>
      </c>
      <c r="R434" s="6">
        <f t="shared" si="19"/>
        <v>19898265098.591808</v>
      </c>
      <c r="S434" s="6">
        <f t="shared" si="20"/>
        <v>0</v>
      </c>
      <c r="T434" s="7"/>
    </row>
    <row r="435" spans="16:20" x14ac:dyDescent="0.2">
      <c r="P435" s="93">
        <v>2145</v>
      </c>
      <c r="Q435" s="6">
        <f t="shared" si="18"/>
        <v>0</v>
      </c>
      <c r="R435" s="6">
        <f t="shared" si="19"/>
        <v>19957079674.906727</v>
      </c>
      <c r="S435" s="6">
        <f t="shared" si="20"/>
        <v>0</v>
      </c>
      <c r="T435" s="7"/>
    </row>
    <row r="436" spans="16:20" x14ac:dyDescent="0.2">
      <c r="P436" s="93">
        <v>2150</v>
      </c>
      <c r="Q436" s="6">
        <f t="shared" si="18"/>
        <v>0</v>
      </c>
      <c r="R436" s="6">
        <f t="shared" si="19"/>
        <v>20015861896.932304</v>
      </c>
      <c r="S436" s="6">
        <f t="shared" si="20"/>
        <v>0</v>
      </c>
      <c r="T436" s="7"/>
    </row>
    <row r="437" spans="16:20" x14ac:dyDescent="0.2">
      <c r="P437" s="93">
        <v>2155</v>
      </c>
      <c r="Q437" s="6">
        <f t="shared" si="18"/>
        <v>0</v>
      </c>
      <c r="R437" s="6">
        <f t="shared" si="19"/>
        <v>20074611656.728592</v>
      </c>
      <c r="S437" s="6">
        <f t="shared" si="20"/>
        <v>0</v>
      </c>
      <c r="T437" s="7"/>
    </row>
    <row r="438" spans="16:20" x14ac:dyDescent="0.2">
      <c r="P438" s="93">
        <v>2160</v>
      </c>
      <c r="Q438" s="6">
        <f t="shared" si="18"/>
        <v>0</v>
      </c>
      <c r="R438" s="6">
        <f t="shared" si="19"/>
        <v>20133328847.835007</v>
      </c>
      <c r="S438" s="6">
        <f t="shared" si="20"/>
        <v>0</v>
      </c>
      <c r="T438" s="7"/>
    </row>
    <row r="439" spans="16:20" x14ac:dyDescent="0.2">
      <c r="P439" s="93">
        <v>2165</v>
      </c>
      <c r="Q439" s="6">
        <f t="shared" si="18"/>
        <v>0</v>
      </c>
      <c r="R439" s="6">
        <f t="shared" si="19"/>
        <v>20192013365.255051</v>
      </c>
      <c r="S439" s="6">
        <f t="shared" si="20"/>
        <v>0</v>
      </c>
    </row>
    <row r="440" spans="16:20" x14ac:dyDescent="0.2">
      <c r="P440" s="93">
        <v>2170</v>
      </c>
      <c r="Q440" s="6">
        <f t="shared" si="18"/>
        <v>0</v>
      </c>
      <c r="R440" s="6">
        <f t="shared" si="19"/>
        <v>20250665105.441395</v>
      </c>
      <c r="S440" s="6">
        <f t="shared" si="20"/>
        <v>0</v>
      </c>
    </row>
    <row r="441" spans="16:20" x14ac:dyDescent="0.2">
      <c r="P441" s="93">
        <v>2175</v>
      </c>
      <c r="Q441" s="6">
        <f t="shared" si="18"/>
        <v>0</v>
      </c>
      <c r="R441" s="6">
        <f t="shared" si="19"/>
        <v>20309283966.28093</v>
      </c>
      <c r="S441" s="6">
        <f t="shared" si="20"/>
        <v>0</v>
      </c>
    </row>
    <row r="442" spans="16:20" x14ac:dyDescent="0.2">
      <c r="P442" s="93">
        <v>2180</v>
      </c>
      <c r="Q442" s="6">
        <f t="shared" si="18"/>
        <v>0</v>
      </c>
      <c r="R442" s="6">
        <f t="shared" si="19"/>
        <v>20367869847.080078</v>
      </c>
      <c r="S442" s="6">
        <f t="shared" si="20"/>
        <v>0</v>
      </c>
    </row>
    <row r="443" spans="16:20" x14ac:dyDescent="0.2">
      <c r="P443" s="93">
        <v>2185</v>
      </c>
      <c r="Q443" s="6">
        <f t="shared" si="18"/>
        <v>0</v>
      </c>
      <c r="R443" s="6">
        <f t="shared" si="19"/>
        <v>20426422648.550308</v>
      </c>
      <c r="S443" s="6">
        <f t="shared" si="20"/>
        <v>0</v>
      </c>
    </row>
    <row r="444" spans="16:20" x14ac:dyDescent="0.2">
      <c r="P444" s="93">
        <v>2190</v>
      </c>
      <c r="Q444" s="6">
        <f t="shared" si="18"/>
        <v>0</v>
      </c>
      <c r="R444" s="6">
        <f t="shared" si="19"/>
        <v>20484942272.793659</v>
      </c>
      <c r="S444" s="6">
        <f t="shared" si="20"/>
        <v>0</v>
      </c>
    </row>
    <row r="445" spans="16:20" x14ac:dyDescent="0.2">
      <c r="P445" s="93">
        <v>2195</v>
      </c>
      <c r="Q445" s="6">
        <f t="shared" si="18"/>
        <v>0</v>
      </c>
      <c r="R445" s="6">
        <f t="shared" si="19"/>
        <v>20543428623.288555</v>
      </c>
      <c r="S445" s="6">
        <f t="shared" si="20"/>
        <v>0</v>
      </c>
    </row>
    <row r="446" spans="16:20" x14ac:dyDescent="0.2">
      <c r="P446" s="93">
        <v>2200</v>
      </c>
      <c r="Q446" s="6">
        <f t="shared" si="18"/>
        <v>0</v>
      </c>
      <c r="R446" s="6">
        <f t="shared" si="19"/>
        <v>20601881604.875675</v>
      </c>
      <c r="S446" s="6">
        <f t="shared" si="20"/>
        <v>0</v>
      </c>
    </row>
    <row r="447" spans="16:20" x14ac:dyDescent="0.2">
      <c r="P447" s="93">
        <v>2205</v>
      </c>
      <c r="Q447" s="6">
        <f t="shared" si="18"/>
        <v>0</v>
      </c>
      <c r="R447" s="6">
        <f t="shared" si="19"/>
        <v>20660301123.744106</v>
      </c>
      <c r="S447" s="6">
        <f t="shared" si="20"/>
        <v>0</v>
      </c>
    </row>
    <row r="448" spans="16:20" x14ac:dyDescent="0.2">
      <c r="P448" s="93">
        <v>2210</v>
      </c>
      <c r="Q448" s="6">
        <f t="shared" si="18"/>
        <v>0</v>
      </c>
      <c r="R448" s="6">
        <f t="shared" si="19"/>
        <v>20718687087.417427</v>
      </c>
      <c r="S448" s="6">
        <f t="shared" si="20"/>
        <v>0</v>
      </c>
    </row>
    <row r="449" spans="16:19" x14ac:dyDescent="0.2">
      <c r="P449" s="93">
        <v>2215</v>
      </c>
      <c r="Q449" s="6">
        <f t="shared" si="18"/>
        <v>0</v>
      </c>
      <c r="R449" s="6">
        <f t="shared" si="19"/>
        <v>20777039404.740177</v>
      </c>
      <c r="S449" s="6">
        <f t="shared" si="20"/>
        <v>0</v>
      </c>
    </row>
    <row r="450" spans="16:19" x14ac:dyDescent="0.2">
      <c r="P450" s="93">
        <v>2220</v>
      </c>
      <c r="Q450" s="6">
        <f t="shared" si="18"/>
        <v>0</v>
      </c>
      <c r="R450" s="6">
        <f t="shared" si="19"/>
        <v>20835357985.864307</v>
      </c>
      <c r="S450" s="6">
        <f t="shared" si="20"/>
        <v>0</v>
      </c>
    </row>
    <row r="451" spans="16:19" x14ac:dyDescent="0.2">
      <c r="P451" s="93">
        <v>2225</v>
      </c>
      <c r="Q451" s="6">
        <f t="shared" si="18"/>
        <v>0</v>
      </c>
      <c r="R451" s="6">
        <f t="shared" si="19"/>
        <v>20893642742.235809</v>
      </c>
      <c r="S451" s="6">
        <f t="shared" si="20"/>
        <v>0</v>
      </c>
    </row>
    <row r="452" spans="16:19" x14ac:dyDescent="0.2">
      <c r="P452" s="93">
        <v>2230</v>
      </c>
      <c r="Q452" s="6">
        <f t="shared" si="18"/>
        <v>0</v>
      </c>
      <c r="R452" s="6">
        <f t="shared" si="19"/>
        <v>20951893586.581581</v>
      </c>
      <c r="S452" s="6">
        <f t="shared" si="20"/>
        <v>0</v>
      </c>
    </row>
    <row r="453" spans="16:19" x14ac:dyDescent="0.2">
      <c r="P453" s="93">
        <v>2235</v>
      </c>
      <c r="Q453" s="6">
        <f t="shared" si="18"/>
        <v>0</v>
      </c>
      <c r="R453" s="6">
        <f t="shared" si="19"/>
        <v>21010110432.896259</v>
      </c>
      <c r="S453" s="6">
        <f t="shared" si="20"/>
        <v>0</v>
      </c>
    </row>
    <row r="454" spans="16:19" x14ac:dyDescent="0.2">
      <c r="P454" s="93">
        <v>2240</v>
      </c>
      <c r="Q454" s="6">
        <f t="shared" ref="Q454:Q517" si="21">2*SQRT(P454/(PI()*($G$4)^3))*EXP((-P454)/(2*$G$4))</f>
        <v>0</v>
      </c>
      <c r="R454" s="6">
        <f t="shared" ref="R454:R517" si="22">(EXP(-(31.29*$B$9*$C$9*(SQRT($B$11/P454)))))*$R$4</f>
        <v>21068293196.429359</v>
      </c>
      <c r="S454" s="6">
        <f t="shared" ref="S454:S517" si="23">$S$4*(2*SQRT(P454/(PI()*($G$4)^3))*EXP((-(P454)/($G$4))-SQRT(($Q$4*1000)/P454)))</f>
        <v>0</v>
      </c>
    </row>
    <row r="455" spans="16:19" x14ac:dyDescent="0.2">
      <c r="P455" s="93">
        <v>2245</v>
      </c>
      <c r="Q455" s="6">
        <f t="shared" si="21"/>
        <v>0</v>
      </c>
      <c r="R455" s="6">
        <f t="shared" si="22"/>
        <v>21126441793.672447</v>
      </c>
      <c r="S455" s="6">
        <f t="shared" si="23"/>
        <v>0</v>
      </c>
    </row>
    <row r="456" spans="16:19" x14ac:dyDescent="0.2">
      <c r="P456" s="93">
        <v>2250</v>
      </c>
      <c r="Q456" s="6">
        <f t="shared" si="21"/>
        <v>0</v>
      </c>
      <c r="R456" s="6">
        <f t="shared" si="22"/>
        <v>21184556142.346455</v>
      </c>
      <c r="S456" s="6">
        <f t="shared" si="23"/>
        <v>0</v>
      </c>
    </row>
    <row r="457" spans="16:19" x14ac:dyDescent="0.2">
      <c r="P457" s="93">
        <v>2255</v>
      </c>
      <c r="Q457" s="6">
        <f t="shared" si="21"/>
        <v>0</v>
      </c>
      <c r="R457" s="6">
        <f t="shared" si="22"/>
        <v>21242636161.389191</v>
      </c>
      <c r="S457" s="6">
        <f t="shared" si="23"/>
        <v>0</v>
      </c>
    </row>
    <row r="458" spans="16:19" x14ac:dyDescent="0.2">
      <c r="P458" s="93">
        <v>2260</v>
      </c>
      <c r="Q458" s="6">
        <f t="shared" si="21"/>
        <v>0</v>
      </c>
      <c r="R458" s="6">
        <f t="shared" si="22"/>
        <v>21300681770.94297</v>
      </c>
      <c r="S458" s="6">
        <f t="shared" si="23"/>
        <v>0</v>
      </c>
    </row>
    <row r="459" spans="16:19" x14ac:dyDescent="0.2">
      <c r="P459" s="93">
        <v>2265</v>
      </c>
      <c r="Q459" s="6">
        <f t="shared" si="21"/>
        <v>0</v>
      </c>
      <c r="R459" s="6">
        <f t="shared" si="22"/>
        <v>21358692892.342239</v>
      </c>
      <c r="S459" s="6">
        <f t="shared" si="23"/>
        <v>0</v>
      </c>
    </row>
    <row r="460" spans="16:19" x14ac:dyDescent="0.2">
      <c r="P460" s="93">
        <v>2270</v>
      </c>
      <c r="Q460" s="6">
        <f t="shared" si="21"/>
        <v>0</v>
      </c>
      <c r="R460" s="6">
        <f t="shared" si="22"/>
        <v>21416669448.10157</v>
      </c>
      <c r="S460" s="6">
        <f t="shared" si="23"/>
        <v>0</v>
      </c>
    </row>
    <row r="461" spans="16:19" x14ac:dyDescent="0.2">
      <c r="P461" s="93">
        <v>2275</v>
      </c>
      <c r="Q461" s="6">
        <f t="shared" si="21"/>
        <v>0</v>
      </c>
      <c r="R461" s="6">
        <f t="shared" si="22"/>
        <v>21474611361.903564</v>
      </c>
      <c r="S461" s="6">
        <f t="shared" si="23"/>
        <v>0</v>
      </c>
    </row>
    <row r="462" spans="16:19" x14ac:dyDescent="0.2">
      <c r="P462" s="93">
        <v>2280</v>
      </c>
      <c r="Q462" s="6">
        <f t="shared" si="21"/>
        <v>0</v>
      </c>
      <c r="R462" s="6">
        <f t="shared" si="22"/>
        <v>21532518558.586998</v>
      </c>
      <c r="S462" s="6">
        <f t="shared" si="23"/>
        <v>0</v>
      </c>
    </row>
    <row r="463" spans="16:19" x14ac:dyDescent="0.2">
      <c r="P463" s="93">
        <v>2285</v>
      </c>
      <c r="Q463" s="6">
        <f t="shared" si="21"/>
        <v>0</v>
      </c>
      <c r="R463" s="6">
        <f t="shared" si="22"/>
        <v>21590390964.135063</v>
      </c>
      <c r="S463" s="6">
        <f t="shared" si="23"/>
        <v>0</v>
      </c>
    </row>
    <row r="464" spans="16:19" x14ac:dyDescent="0.2">
      <c r="P464" s="93">
        <v>2290</v>
      </c>
      <c r="Q464" s="6">
        <f t="shared" si="21"/>
        <v>0</v>
      </c>
      <c r="R464" s="6">
        <f t="shared" si="22"/>
        <v>21648228505.66375</v>
      </c>
      <c r="S464" s="6">
        <f t="shared" si="23"/>
        <v>0</v>
      </c>
    </row>
    <row r="465" spans="16:19" x14ac:dyDescent="0.2">
      <c r="P465" s="93">
        <v>2295</v>
      </c>
      <c r="Q465" s="6">
        <f t="shared" si="21"/>
        <v>0</v>
      </c>
      <c r="R465" s="6">
        <f t="shared" si="22"/>
        <v>21706031111.410297</v>
      </c>
      <c r="S465" s="6">
        <f t="shared" si="23"/>
        <v>0</v>
      </c>
    </row>
    <row r="466" spans="16:19" x14ac:dyDescent="0.2">
      <c r="P466" s="93">
        <v>2300</v>
      </c>
      <c r="Q466" s="6">
        <f t="shared" si="21"/>
        <v>0</v>
      </c>
      <c r="R466" s="6">
        <f t="shared" si="22"/>
        <v>21763798710.721825</v>
      </c>
      <c r="S466" s="6">
        <f t="shared" si="23"/>
        <v>0</v>
      </c>
    </row>
    <row r="467" spans="16:19" x14ac:dyDescent="0.2">
      <c r="P467" s="93">
        <v>2305</v>
      </c>
      <c r="Q467" s="6">
        <f t="shared" si="21"/>
        <v>0</v>
      </c>
      <c r="R467" s="6">
        <f t="shared" si="22"/>
        <v>21821531234.044064</v>
      </c>
      <c r="S467" s="6">
        <f t="shared" si="23"/>
        <v>0</v>
      </c>
    </row>
    <row r="468" spans="16:19" x14ac:dyDescent="0.2">
      <c r="P468" s="93">
        <v>2310</v>
      </c>
      <c r="Q468" s="6">
        <f t="shared" si="21"/>
        <v>0</v>
      </c>
      <c r="R468" s="6">
        <f t="shared" si="22"/>
        <v>21879228612.910172</v>
      </c>
      <c r="S468" s="6">
        <f t="shared" si="23"/>
        <v>0</v>
      </c>
    </row>
    <row r="469" spans="16:19" x14ac:dyDescent="0.2">
      <c r="P469" s="93">
        <v>2315</v>
      </c>
      <c r="Q469" s="6">
        <f t="shared" si="21"/>
        <v>0</v>
      </c>
      <c r="R469" s="6">
        <f t="shared" si="22"/>
        <v>21936890779.929737</v>
      </c>
      <c r="S469" s="6">
        <f t="shared" si="23"/>
        <v>0</v>
      </c>
    </row>
    <row r="470" spans="16:19" x14ac:dyDescent="0.2">
      <c r="P470" s="93">
        <v>2320</v>
      </c>
      <c r="Q470" s="6">
        <f t="shared" si="21"/>
        <v>0</v>
      </c>
      <c r="R470" s="6">
        <f t="shared" si="22"/>
        <v>21994517668.777828</v>
      </c>
      <c r="S470" s="6">
        <f t="shared" si="23"/>
        <v>0</v>
      </c>
    </row>
    <row r="471" spans="16:19" x14ac:dyDescent="0.2">
      <c r="P471" s="93">
        <v>2325</v>
      </c>
      <c r="Q471" s="6">
        <f t="shared" si="21"/>
        <v>0</v>
      </c>
      <c r="R471" s="6">
        <f t="shared" si="22"/>
        <v>22052109214.184177</v>
      </c>
      <c r="S471" s="6">
        <f t="shared" si="23"/>
        <v>0</v>
      </c>
    </row>
    <row r="472" spans="16:19" x14ac:dyDescent="0.2">
      <c r="P472" s="93">
        <v>2330</v>
      </c>
      <c r="Q472" s="6">
        <f t="shared" si="21"/>
        <v>0</v>
      </c>
      <c r="R472" s="6">
        <f t="shared" si="22"/>
        <v>22109665351.922497</v>
      </c>
      <c r="S472" s="6">
        <f t="shared" si="23"/>
        <v>0</v>
      </c>
    </row>
    <row r="473" spans="16:19" x14ac:dyDescent="0.2">
      <c r="P473" s="93">
        <v>2335</v>
      </c>
      <c r="Q473" s="6">
        <f t="shared" si="21"/>
        <v>0</v>
      </c>
      <c r="R473" s="6">
        <f t="shared" si="22"/>
        <v>22167186018.799904</v>
      </c>
      <c r="S473" s="6">
        <f t="shared" si="23"/>
        <v>0</v>
      </c>
    </row>
    <row r="474" spans="16:19" x14ac:dyDescent="0.2">
      <c r="P474" s="93">
        <v>2340</v>
      </c>
      <c r="Q474" s="6">
        <f t="shared" si="21"/>
        <v>0</v>
      </c>
      <c r="R474" s="6">
        <f t="shared" si="22"/>
        <v>22224671152.646404</v>
      </c>
      <c r="S474" s="6">
        <f t="shared" si="23"/>
        <v>0</v>
      </c>
    </row>
    <row r="475" spans="16:19" x14ac:dyDescent="0.2">
      <c r="P475" s="93">
        <v>2345</v>
      </c>
      <c r="Q475" s="6">
        <f t="shared" si="21"/>
        <v>0</v>
      </c>
      <c r="R475" s="6">
        <f t="shared" si="22"/>
        <v>22282120692.304562</v>
      </c>
      <c r="S475" s="6">
        <f t="shared" si="23"/>
        <v>0</v>
      </c>
    </row>
    <row r="476" spans="16:19" x14ac:dyDescent="0.2">
      <c r="P476" s="93">
        <v>2350</v>
      </c>
      <c r="Q476" s="6">
        <f t="shared" si="21"/>
        <v>0</v>
      </c>
      <c r="R476" s="6">
        <f t="shared" si="22"/>
        <v>22339534577.61924</v>
      </c>
      <c r="S476" s="6">
        <f t="shared" si="23"/>
        <v>0</v>
      </c>
    </row>
    <row r="477" spans="16:19" x14ac:dyDescent="0.2">
      <c r="P477" s="93">
        <v>2355</v>
      </c>
      <c r="Q477" s="6">
        <f t="shared" si="21"/>
        <v>0</v>
      </c>
      <c r="R477" s="6">
        <f t="shared" si="22"/>
        <v>22396912749.427395</v>
      </c>
      <c r="S477" s="6">
        <f t="shared" si="23"/>
        <v>0</v>
      </c>
    </row>
    <row r="478" spans="16:19" x14ac:dyDescent="0.2">
      <c r="P478" s="93">
        <v>2360</v>
      </c>
      <c r="Q478" s="6">
        <f t="shared" si="21"/>
        <v>0</v>
      </c>
      <c r="R478" s="6">
        <f t="shared" si="22"/>
        <v>22454255149.548126</v>
      </c>
      <c r="S478" s="6">
        <f t="shared" si="23"/>
        <v>0</v>
      </c>
    </row>
    <row r="479" spans="16:19" x14ac:dyDescent="0.2">
      <c r="P479" s="93">
        <v>2365</v>
      </c>
      <c r="Q479" s="6">
        <f t="shared" si="21"/>
        <v>0</v>
      </c>
      <c r="R479" s="6">
        <f t="shared" si="22"/>
        <v>22511561720.772606</v>
      </c>
      <c r="S479" s="6">
        <f t="shared" si="23"/>
        <v>0</v>
      </c>
    </row>
    <row r="480" spans="16:19" x14ac:dyDescent="0.2">
      <c r="P480" s="93">
        <v>2370</v>
      </c>
      <c r="Q480" s="6">
        <f t="shared" si="21"/>
        <v>0</v>
      </c>
      <c r="R480" s="6">
        <f t="shared" si="22"/>
        <v>22568832406.854351</v>
      </c>
      <c r="S480" s="6">
        <f t="shared" si="23"/>
        <v>0</v>
      </c>
    </row>
    <row r="481" spans="16:19" x14ac:dyDescent="0.2">
      <c r="P481" s="93">
        <v>2375</v>
      </c>
      <c r="Q481" s="6">
        <f t="shared" si="21"/>
        <v>0</v>
      </c>
      <c r="R481" s="6">
        <f t="shared" si="22"/>
        <v>22626067152.499416</v>
      </c>
      <c r="S481" s="6">
        <f t="shared" si="23"/>
        <v>0</v>
      </c>
    </row>
    <row r="482" spans="16:19" x14ac:dyDescent="0.2">
      <c r="P482" s="93">
        <v>2380</v>
      </c>
      <c r="Q482" s="6">
        <f t="shared" si="21"/>
        <v>0</v>
      </c>
      <c r="R482" s="6">
        <f t="shared" si="22"/>
        <v>22683265903.356781</v>
      </c>
      <c r="S482" s="6">
        <f t="shared" si="23"/>
        <v>0</v>
      </c>
    </row>
    <row r="483" spans="16:19" x14ac:dyDescent="0.2">
      <c r="P483" s="93">
        <v>2385</v>
      </c>
      <c r="Q483" s="6">
        <f t="shared" si="21"/>
        <v>0</v>
      </c>
      <c r="R483" s="6">
        <f t="shared" si="22"/>
        <v>22740428606.008804</v>
      </c>
      <c r="S483" s="6">
        <f t="shared" si="23"/>
        <v>0</v>
      </c>
    </row>
    <row r="484" spans="16:19" x14ac:dyDescent="0.2">
      <c r="P484" s="93">
        <v>2390</v>
      </c>
      <c r="Q484" s="6">
        <f t="shared" si="21"/>
        <v>0</v>
      </c>
      <c r="R484" s="6">
        <f t="shared" si="22"/>
        <v>22797555207.961739</v>
      </c>
      <c r="S484" s="6">
        <f t="shared" si="23"/>
        <v>0</v>
      </c>
    </row>
    <row r="485" spans="16:19" x14ac:dyDescent="0.2">
      <c r="P485" s="93">
        <v>2395</v>
      </c>
      <c r="Q485" s="6">
        <f t="shared" si="21"/>
        <v>0</v>
      </c>
      <c r="R485" s="6">
        <f t="shared" si="22"/>
        <v>22854645657.63649</v>
      </c>
      <c r="S485" s="6">
        <f t="shared" si="23"/>
        <v>0</v>
      </c>
    </row>
    <row r="486" spans="16:19" x14ac:dyDescent="0.2">
      <c r="P486" s="93">
        <v>2400</v>
      </c>
      <c r="Q486" s="6">
        <f t="shared" si="21"/>
        <v>0</v>
      </c>
      <c r="R486" s="6">
        <f t="shared" si="22"/>
        <v>22911699904.359268</v>
      </c>
      <c r="S486" s="6">
        <f t="shared" si="23"/>
        <v>0</v>
      </c>
    </row>
    <row r="487" spans="16:19" x14ac:dyDescent="0.2">
      <c r="P487" s="93">
        <v>2405</v>
      </c>
      <c r="Q487" s="6">
        <f t="shared" si="21"/>
        <v>0</v>
      </c>
      <c r="R487" s="6">
        <f t="shared" si="22"/>
        <v>22968717898.352463</v>
      </c>
      <c r="S487" s="6">
        <f t="shared" si="23"/>
        <v>0</v>
      </c>
    </row>
    <row r="488" spans="16:19" x14ac:dyDescent="0.2">
      <c r="P488" s="93">
        <v>2410</v>
      </c>
      <c r="Q488" s="6">
        <f t="shared" si="21"/>
        <v>0</v>
      </c>
      <c r="R488" s="6">
        <f t="shared" si="22"/>
        <v>23025699590.725609</v>
      </c>
      <c r="S488" s="6">
        <f t="shared" si="23"/>
        <v>0</v>
      </c>
    </row>
    <row r="489" spans="16:19" x14ac:dyDescent="0.2">
      <c r="P489" s="93">
        <v>2415</v>
      </c>
      <c r="Q489" s="6">
        <f t="shared" si="21"/>
        <v>0</v>
      </c>
      <c r="R489" s="6">
        <f t="shared" si="22"/>
        <v>23082644933.466419</v>
      </c>
      <c r="S489" s="6">
        <f t="shared" si="23"/>
        <v>0</v>
      </c>
    </row>
    <row r="490" spans="16:19" x14ac:dyDescent="0.2">
      <c r="P490" s="93">
        <v>2420</v>
      </c>
      <c r="Q490" s="6">
        <f t="shared" si="21"/>
        <v>0</v>
      </c>
      <c r="R490" s="6">
        <f t="shared" si="22"/>
        <v>23139553879.43182</v>
      </c>
      <c r="S490" s="6">
        <f t="shared" si="23"/>
        <v>0</v>
      </c>
    </row>
    <row r="491" spans="16:19" x14ac:dyDescent="0.2">
      <c r="P491" s="93">
        <v>2425</v>
      </c>
      <c r="Q491" s="6">
        <f t="shared" si="21"/>
        <v>0</v>
      </c>
      <c r="R491" s="6">
        <f t="shared" si="22"/>
        <v>23196426382.339317</v>
      </c>
      <c r="S491" s="6">
        <f t="shared" si="23"/>
        <v>0</v>
      </c>
    </row>
    <row r="492" spans="16:19" x14ac:dyDescent="0.2">
      <c r="P492" s="93">
        <v>2430</v>
      </c>
      <c r="Q492" s="6">
        <f t="shared" si="21"/>
        <v>0</v>
      </c>
      <c r="R492" s="6">
        <f t="shared" si="22"/>
        <v>23253262396.758186</v>
      </c>
      <c r="S492" s="6">
        <f t="shared" si="23"/>
        <v>0</v>
      </c>
    </row>
    <row r="493" spans="16:19" x14ac:dyDescent="0.2">
      <c r="P493" s="93">
        <v>2435</v>
      </c>
      <c r="Q493" s="6">
        <f t="shared" si="21"/>
        <v>0</v>
      </c>
      <c r="R493" s="6">
        <f t="shared" si="22"/>
        <v>23310061878.100903</v>
      </c>
      <c r="S493" s="6">
        <f t="shared" si="23"/>
        <v>0</v>
      </c>
    </row>
    <row r="494" spans="16:19" x14ac:dyDescent="0.2">
      <c r="P494" s="93">
        <v>2440</v>
      </c>
      <c r="Q494" s="6">
        <f t="shared" si="21"/>
        <v>0</v>
      </c>
      <c r="R494" s="6">
        <f t="shared" si="22"/>
        <v>23366824782.614624</v>
      </c>
      <c r="S494" s="6">
        <f t="shared" si="23"/>
        <v>0</v>
      </c>
    </row>
    <row r="495" spans="16:19" x14ac:dyDescent="0.2">
      <c r="P495" s="93">
        <v>2445</v>
      </c>
      <c r="Q495" s="6">
        <f t="shared" si="21"/>
        <v>0</v>
      </c>
      <c r="R495" s="6">
        <f t="shared" si="22"/>
        <v>23423551067.37278</v>
      </c>
      <c r="S495" s="6">
        <f t="shared" si="23"/>
        <v>0</v>
      </c>
    </row>
    <row r="496" spans="16:19" x14ac:dyDescent="0.2">
      <c r="P496" s="93">
        <v>2450</v>
      </c>
      <c r="Q496" s="6">
        <f t="shared" si="21"/>
        <v>0</v>
      </c>
      <c r="R496" s="6">
        <f t="shared" si="22"/>
        <v>23480240690.266685</v>
      </c>
      <c r="S496" s="6">
        <f t="shared" si="23"/>
        <v>0</v>
      </c>
    </row>
    <row r="497" spans="16:19" x14ac:dyDescent="0.2">
      <c r="P497" s="93">
        <v>2455</v>
      </c>
      <c r="Q497" s="6">
        <f t="shared" si="21"/>
        <v>0</v>
      </c>
      <c r="R497" s="6">
        <f t="shared" si="22"/>
        <v>23536893609.997292</v>
      </c>
      <c r="S497" s="6">
        <f t="shared" si="23"/>
        <v>0</v>
      </c>
    </row>
    <row r="498" spans="16:19" x14ac:dyDescent="0.2">
      <c r="P498" s="93">
        <v>2460</v>
      </c>
      <c r="Q498" s="6">
        <f t="shared" si="21"/>
        <v>0</v>
      </c>
      <c r="R498" s="6">
        <f t="shared" si="22"/>
        <v>23593509786.067081</v>
      </c>
      <c r="S498" s="6">
        <f t="shared" si="23"/>
        <v>0</v>
      </c>
    </row>
    <row r="499" spans="16:19" x14ac:dyDescent="0.2">
      <c r="P499" s="93">
        <v>2465</v>
      </c>
      <c r="Q499" s="6">
        <f t="shared" si="21"/>
        <v>0</v>
      </c>
      <c r="R499" s="6">
        <f t="shared" si="22"/>
        <v>23650089178.771843</v>
      </c>
      <c r="S499" s="6">
        <f t="shared" si="23"/>
        <v>0</v>
      </c>
    </row>
    <row r="500" spans="16:19" x14ac:dyDescent="0.2">
      <c r="P500" s="93">
        <v>2470</v>
      </c>
      <c r="Q500" s="6">
        <f t="shared" si="21"/>
        <v>0</v>
      </c>
      <c r="R500" s="6">
        <f t="shared" si="22"/>
        <v>23706631749.192764</v>
      </c>
      <c r="S500" s="6">
        <f t="shared" si="23"/>
        <v>0</v>
      </c>
    </row>
    <row r="501" spans="16:19" x14ac:dyDescent="0.2">
      <c r="P501" s="93">
        <v>2475</v>
      </c>
      <c r="Q501" s="6">
        <f t="shared" si="21"/>
        <v>0</v>
      </c>
      <c r="R501" s="6">
        <f t="shared" si="22"/>
        <v>23763137459.188499</v>
      </c>
      <c r="S501" s="6">
        <f t="shared" si="23"/>
        <v>0</v>
      </c>
    </row>
    <row r="502" spans="16:19" x14ac:dyDescent="0.2">
      <c r="P502" s="93">
        <v>2480</v>
      </c>
      <c r="Q502" s="6">
        <f t="shared" si="21"/>
        <v>0</v>
      </c>
      <c r="R502" s="6">
        <f t="shared" si="22"/>
        <v>23819606271.387268</v>
      </c>
      <c r="S502" s="6">
        <f t="shared" si="23"/>
        <v>0</v>
      </c>
    </row>
    <row r="503" spans="16:19" x14ac:dyDescent="0.2">
      <c r="P503" s="93">
        <v>2485</v>
      </c>
      <c r="Q503" s="6">
        <f t="shared" si="21"/>
        <v>0</v>
      </c>
      <c r="R503" s="6">
        <f t="shared" si="22"/>
        <v>23876038149.179077</v>
      </c>
      <c r="S503" s="6">
        <f t="shared" si="23"/>
        <v>0</v>
      </c>
    </row>
    <row r="504" spans="16:19" x14ac:dyDescent="0.2">
      <c r="P504" s="93">
        <v>2490</v>
      </c>
      <c r="Q504" s="6">
        <f t="shared" si="21"/>
        <v>0</v>
      </c>
      <c r="R504" s="6">
        <f t="shared" si="22"/>
        <v>23932433056.708149</v>
      </c>
      <c r="S504" s="6">
        <f t="shared" si="23"/>
        <v>0</v>
      </c>
    </row>
    <row r="505" spans="16:19" x14ac:dyDescent="0.2">
      <c r="P505" s="93">
        <v>2495</v>
      </c>
      <c r="Q505" s="6">
        <f t="shared" si="21"/>
        <v>0</v>
      </c>
      <c r="R505" s="6">
        <f t="shared" si="22"/>
        <v>23988790958.86515</v>
      </c>
      <c r="S505" s="6">
        <f t="shared" si="23"/>
        <v>0</v>
      </c>
    </row>
    <row r="506" spans="16:19" x14ac:dyDescent="0.2">
      <c r="P506" s="93">
        <v>2500</v>
      </c>
      <c r="Q506" s="6">
        <f t="shared" si="21"/>
        <v>0</v>
      </c>
      <c r="R506" s="6">
        <f t="shared" si="22"/>
        <v>24045111821.279751</v>
      </c>
      <c r="S506" s="6">
        <f t="shared" si="23"/>
        <v>0</v>
      </c>
    </row>
    <row r="507" spans="16:19" x14ac:dyDescent="0.2">
      <c r="P507" s="93">
        <v>2505</v>
      </c>
      <c r="Q507" s="6">
        <f t="shared" si="21"/>
        <v>0</v>
      </c>
      <c r="R507" s="6">
        <f t="shared" si="22"/>
        <v>24101395610.313175</v>
      </c>
      <c r="S507" s="6">
        <f t="shared" si="23"/>
        <v>0</v>
      </c>
    </row>
    <row r="508" spans="16:19" x14ac:dyDescent="0.2">
      <c r="P508" s="93">
        <v>2510</v>
      </c>
      <c r="Q508" s="6">
        <f t="shared" si="21"/>
        <v>0</v>
      </c>
      <c r="R508" s="6">
        <f t="shared" si="22"/>
        <v>24157642293.050762</v>
      </c>
      <c r="S508" s="6">
        <f t="shared" si="23"/>
        <v>0</v>
      </c>
    </row>
    <row r="509" spans="16:19" x14ac:dyDescent="0.2">
      <c r="P509" s="93">
        <v>2515</v>
      </c>
      <c r="Q509" s="6">
        <f t="shared" si="21"/>
        <v>0</v>
      </c>
      <c r="R509" s="6">
        <f t="shared" si="22"/>
        <v>24213851837.294685</v>
      </c>
      <c r="S509" s="6">
        <f t="shared" si="23"/>
        <v>0</v>
      </c>
    </row>
    <row r="510" spans="16:19" x14ac:dyDescent="0.2">
      <c r="P510" s="93">
        <v>2520</v>
      </c>
      <c r="Q510" s="6">
        <f t="shared" si="21"/>
        <v>0</v>
      </c>
      <c r="R510" s="6">
        <f t="shared" si="22"/>
        <v>24270024211.556705</v>
      </c>
      <c r="S510" s="6">
        <f t="shared" si="23"/>
        <v>0</v>
      </c>
    </row>
    <row r="511" spans="16:19" x14ac:dyDescent="0.2">
      <c r="P511" s="93">
        <v>2525</v>
      </c>
      <c r="Q511" s="6">
        <f t="shared" si="21"/>
        <v>0</v>
      </c>
      <c r="R511" s="6">
        <f t="shared" si="22"/>
        <v>24326159385.051041</v>
      </c>
      <c r="S511" s="6">
        <f t="shared" si="23"/>
        <v>0</v>
      </c>
    </row>
    <row r="512" spans="16:19" x14ac:dyDescent="0.2">
      <c r="P512" s="93">
        <v>2530</v>
      </c>
      <c r="Q512" s="6">
        <f t="shared" si="21"/>
        <v>0</v>
      </c>
      <c r="R512" s="6">
        <f t="shared" si="22"/>
        <v>24382257327.687199</v>
      </c>
      <c r="S512" s="6">
        <f t="shared" si="23"/>
        <v>0</v>
      </c>
    </row>
    <row r="513" spans="16:19" x14ac:dyDescent="0.2">
      <c r="P513" s="93">
        <v>2535</v>
      </c>
      <c r="Q513" s="6">
        <f t="shared" si="21"/>
        <v>0</v>
      </c>
      <c r="R513" s="6">
        <f t="shared" si="22"/>
        <v>24438318010.063072</v>
      </c>
      <c r="S513" s="6">
        <f t="shared" si="23"/>
        <v>0</v>
      </c>
    </row>
    <row r="514" spans="16:19" x14ac:dyDescent="0.2">
      <c r="P514" s="93">
        <v>2540</v>
      </c>
      <c r="Q514" s="6">
        <f t="shared" si="21"/>
        <v>0</v>
      </c>
      <c r="R514" s="6">
        <f t="shared" si="22"/>
        <v>24494341403.45789</v>
      </c>
      <c r="S514" s="6">
        <f t="shared" si="23"/>
        <v>0</v>
      </c>
    </row>
    <row r="515" spans="16:19" x14ac:dyDescent="0.2">
      <c r="P515" s="93">
        <v>2545</v>
      </c>
      <c r="Q515" s="6">
        <f t="shared" si="21"/>
        <v>0</v>
      </c>
      <c r="R515" s="6">
        <f t="shared" si="22"/>
        <v>24550327479.825352</v>
      </c>
      <c r="S515" s="6">
        <f t="shared" si="23"/>
        <v>0</v>
      </c>
    </row>
    <row r="516" spans="16:19" x14ac:dyDescent="0.2">
      <c r="P516" s="93">
        <v>2550</v>
      </c>
      <c r="Q516" s="6">
        <f t="shared" si="21"/>
        <v>0</v>
      </c>
      <c r="R516" s="6">
        <f t="shared" si="22"/>
        <v>24606276211.786884</v>
      </c>
      <c r="S516" s="6">
        <f t="shared" si="23"/>
        <v>0</v>
      </c>
    </row>
    <row r="517" spans="16:19" x14ac:dyDescent="0.2">
      <c r="P517" s="93">
        <v>2555</v>
      </c>
      <c r="Q517" s="6">
        <f t="shared" si="21"/>
        <v>0</v>
      </c>
      <c r="R517" s="6">
        <f t="shared" si="22"/>
        <v>24662187572.62484</v>
      </c>
      <c r="S517" s="6">
        <f t="shared" si="23"/>
        <v>0</v>
      </c>
    </row>
    <row r="518" spans="16:19" x14ac:dyDescent="0.2">
      <c r="P518" s="93">
        <v>2560</v>
      </c>
      <c r="Q518" s="6">
        <f t="shared" ref="Q518:Q581" si="24">2*SQRT(P518/(PI()*($G$4)^3))*EXP((-P518)/(2*$G$4))</f>
        <v>0</v>
      </c>
      <c r="R518" s="6">
        <f t="shared" ref="R518:R581" si="25">(EXP(-(31.29*$B$9*$C$9*(SQRT($B$11/P518)))))*$R$4</f>
        <v>24718061536.275814</v>
      </c>
      <c r="S518" s="6">
        <f t="shared" ref="S518:S581" si="26">$S$4*(2*SQRT(P518/(PI()*($G$4)^3))*EXP((-(P518)/($G$4))-SQRT(($Q$4*1000)/P518)))</f>
        <v>0</v>
      </c>
    </row>
    <row r="519" spans="16:19" x14ac:dyDescent="0.2">
      <c r="P519" s="93">
        <v>2565</v>
      </c>
      <c r="Q519" s="6">
        <f t="shared" si="24"/>
        <v>0</v>
      </c>
      <c r="R519" s="6">
        <f t="shared" si="25"/>
        <v>24773898077.32407</v>
      </c>
      <c r="S519" s="6">
        <f t="shared" si="26"/>
        <v>0</v>
      </c>
    </row>
    <row r="520" spans="16:19" x14ac:dyDescent="0.2">
      <c r="P520" s="93">
        <v>2570</v>
      </c>
      <c r="Q520" s="6">
        <f t="shared" si="24"/>
        <v>0</v>
      </c>
      <c r="R520" s="6">
        <f t="shared" si="25"/>
        <v>24829697170.99501</v>
      </c>
      <c r="S520" s="6">
        <f t="shared" si="26"/>
        <v>0</v>
      </c>
    </row>
    <row r="521" spans="16:19" x14ac:dyDescent="0.2">
      <c r="P521" s="93">
        <v>2575</v>
      </c>
      <c r="Q521" s="6">
        <f t="shared" si="24"/>
        <v>0</v>
      </c>
      <c r="R521" s="6">
        <f t="shared" si="25"/>
        <v>24885458793.14864</v>
      </c>
      <c r="S521" s="6">
        <f t="shared" si="26"/>
        <v>0</v>
      </c>
    </row>
    <row r="522" spans="16:19" x14ac:dyDescent="0.2">
      <c r="P522" s="93">
        <v>2580</v>
      </c>
      <c r="Q522" s="6">
        <f t="shared" si="24"/>
        <v>0</v>
      </c>
      <c r="R522" s="6">
        <f t="shared" si="25"/>
        <v>24941182920.273197</v>
      </c>
      <c r="S522" s="6">
        <f t="shared" si="26"/>
        <v>0</v>
      </c>
    </row>
    <row r="523" spans="16:19" x14ac:dyDescent="0.2">
      <c r="P523" s="93">
        <v>2585</v>
      </c>
      <c r="Q523" s="6">
        <f t="shared" si="24"/>
        <v>0</v>
      </c>
      <c r="R523" s="6">
        <f t="shared" si="25"/>
        <v>24996869529.478836</v>
      </c>
      <c r="S523" s="6">
        <f t="shared" si="26"/>
        <v>0</v>
      </c>
    </row>
    <row r="524" spans="16:19" x14ac:dyDescent="0.2">
      <c r="P524" s="93">
        <v>2590</v>
      </c>
      <c r="Q524" s="6">
        <f t="shared" si="24"/>
        <v>0</v>
      </c>
      <c r="R524" s="6">
        <f t="shared" si="25"/>
        <v>25052518598.491253</v>
      </c>
      <c r="S524" s="6">
        <f t="shared" si="26"/>
        <v>0</v>
      </c>
    </row>
    <row r="525" spans="16:19" x14ac:dyDescent="0.2">
      <c r="P525" s="93">
        <v>2595</v>
      </c>
      <c r="Q525" s="6">
        <f t="shared" si="24"/>
        <v>0</v>
      </c>
      <c r="R525" s="6">
        <f t="shared" si="25"/>
        <v>25108130105.645542</v>
      </c>
      <c r="S525" s="6">
        <f t="shared" si="26"/>
        <v>0</v>
      </c>
    </row>
    <row r="526" spans="16:19" x14ac:dyDescent="0.2">
      <c r="P526" s="93">
        <v>2600</v>
      </c>
      <c r="Q526" s="6">
        <f t="shared" si="24"/>
        <v>0</v>
      </c>
      <c r="R526" s="6">
        <f t="shared" si="25"/>
        <v>25163704029.880032</v>
      </c>
      <c r="S526" s="6">
        <f t="shared" si="26"/>
        <v>0</v>
      </c>
    </row>
    <row r="527" spans="16:19" x14ac:dyDescent="0.2">
      <c r="P527" s="93">
        <v>2605</v>
      </c>
      <c r="Q527" s="6">
        <f t="shared" si="24"/>
        <v>0</v>
      </c>
      <c r="R527" s="6">
        <f t="shared" si="25"/>
        <v>25219240350.730103</v>
      </c>
      <c r="S527" s="6">
        <f t="shared" si="26"/>
        <v>0</v>
      </c>
    </row>
    <row r="528" spans="16:19" x14ac:dyDescent="0.2">
      <c r="P528" s="93">
        <v>2610</v>
      </c>
      <c r="Q528" s="6">
        <f t="shared" si="24"/>
        <v>0</v>
      </c>
      <c r="R528" s="6">
        <f t="shared" si="25"/>
        <v>25274739048.322285</v>
      </c>
      <c r="S528" s="6">
        <f t="shared" si="26"/>
        <v>0</v>
      </c>
    </row>
    <row r="529" spans="16:19" x14ac:dyDescent="0.2">
      <c r="P529" s="93">
        <v>2615</v>
      </c>
      <c r="Q529" s="6">
        <f t="shared" si="24"/>
        <v>0</v>
      </c>
      <c r="R529" s="6">
        <f t="shared" si="25"/>
        <v>25330200103.368137</v>
      </c>
      <c r="S529" s="6">
        <f t="shared" si="26"/>
        <v>0</v>
      </c>
    </row>
    <row r="530" spans="16:19" x14ac:dyDescent="0.2">
      <c r="P530" s="93">
        <v>2620</v>
      </c>
      <c r="Q530" s="6">
        <f t="shared" si="24"/>
        <v>0</v>
      </c>
      <c r="R530" s="6">
        <f t="shared" si="25"/>
        <v>25385623497.158428</v>
      </c>
      <c r="S530" s="6">
        <f t="shared" si="26"/>
        <v>0</v>
      </c>
    </row>
    <row r="531" spans="16:19" x14ac:dyDescent="0.2">
      <c r="P531" s="93">
        <v>2625</v>
      </c>
      <c r="Q531" s="6">
        <f t="shared" si="24"/>
        <v>0</v>
      </c>
      <c r="R531" s="6">
        <f t="shared" si="25"/>
        <v>25441009211.557274</v>
      </c>
      <c r="S531" s="6">
        <f t="shared" si="26"/>
        <v>0</v>
      </c>
    </row>
    <row r="532" spans="16:19" x14ac:dyDescent="0.2">
      <c r="P532" s="93">
        <v>2630</v>
      </c>
      <c r="Q532" s="6">
        <f t="shared" si="24"/>
        <v>0</v>
      </c>
      <c r="R532" s="6">
        <f t="shared" si="25"/>
        <v>25496357228.996258</v>
      </c>
      <c r="S532" s="6">
        <f t="shared" si="26"/>
        <v>0</v>
      </c>
    </row>
    <row r="533" spans="16:19" x14ac:dyDescent="0.2">
      <c r="P533" s="93">
        <v>2635</v>
      </c>
      <c r="Q533" s="6">
        <f t="shared" si="24"/>
        <v>0</v>
      </c>
      <c r="R533" s="6">
        <f t="shared" si="25"/>
        <v>25551667532.468761</v>
      </c>
      <c r="S533" s="6">
        <f t="shared" si="26"/>
        <v>0</v>
      </c>
    </row>
    <row r="534" spans="16:19" x14ac:dyDescent="0.2">
      <c r="P534" s="93">
        <v>2640</v>
      </c>
      <c r="Q534" s="6">
        <f t="shared" si="24"/>
        <v>0</v>
      </c>
      <c r="R534" s="6">
        <f t="shared" si="25"/>
        <v>25606940105.524235</v>
      </c>
      <c r="S534" s="6">
        <f t="shared" si="26"/>
        <v>0</v>
      </c>
    </row>
    <row r="535" spans="16:19" x14ac:dyDescent="0.2">
      <c r="P535" s="93">
        <v>2645</v>
      </c>
      <c r="Q535" s="6">
        <f t="shared" si="24"/>
        <v>0</v>
      </c>
      <c r="R535" s="6">
        <f t="shared" si="25"/>
        <v>25662174932.262573</v>
      </c>
      <c r="S535" s="6">
        <f t="shared" si="26"/>
        <v>0</v>
      </c>
    </row>
    <row r="536" spans="16:19" x14ac:dyDescent="0.2">
      <c r="P536" s="93">
        <v>2650</v>
      </c>
      <c r="Q536" s="6">
        <f t="shared" si="24"/>
        <v>0</v>
      </c>
      <c r="R536" s="6">
        <f t="shared" si="25"/>
        <v>25717371997.328579</v>
      </c>
      <c r="S536" s="6">
        <f t="shared" si="26"/>
        <v>0</v>
      </c>
    </row>
    <row r="537" spans="16:19" x14ac:dyDescent="0.2">
      <c r="P537" s="93">
        <v>2655</v>
      </c>
      <c r="Q537" s="6">
        <f t="shared" si="24"/>
        <v>0</v>
      </c>
      <c r="R537" s="6">
        <f t="shared" si="25"/>
        <v>25772531285.906399</v>
      </c>
      <c r="S537" s="6">
        <f t="shared" si="26"/>
        <v>0</v>
      </c>
    </row>
    <row r="538" spans="16:19" x14ac:dyDescent="0.2">
      <c r="P538" s="93">
        <v>2660</v>
      </c>
      <c r="Q538" s="6">
        <f t="shared" si="24"/>
        <v>0</v>
      </c>
      <c r="R538" s="6">
        <f t="shared" si="25"/>
        <v>25827652783.714046</v>
      </c>
      <c r="S538" s="6">
        <f t="shared" si="26"/>
        <v>0</v>
      </c>
    </row>
    <row r="539" spans="16:19" x14ac:dyDescent="0.2">
      <c r="P539" s="93">
        <v>2665</v>
      </c>
      <c r="Q539" s="6">
        <f t="shared" si="24"/>
        <v>0</v>
      </c>
      <c r="R539" s="6">
        <f t="shared" si="25"/>
        <v>25882736476.997997</v>
      </c>
      <c r="S539" s="6">
        <f t="shared" si="26"/>
        <v>0</v>
      </c>
    </row>
    <row r="540" spans="16:19" x14ac:dyDescent="0.2">
      <c r="P540" s="93">
        <v>2670</v>
      </c>
      <c r="Q540" s="6">
        <f t="shared" si="24"/>
        <v>0</v>
      </c>
      <c r="R540" s="6">
        <f t="shared" si="25"/>
        <v>25937782352.527916</v>
      </c>
      <c r="S540" s="6">
        <f t="shared" si="26"/>
        <v>0</v>
      </c>
    </row>
    <row r="541" spans="16:19" x14ac:dyDescent="0.2">
      <c r="P541" s="93">
        <v>2675</v>
      </c>
      <c r="Q541" s="6">
        <f t="shared" si="24"/>
        <v>0</v>
      </c>
      <c r="R541" s="6">
        <f t="shared" si="25"/>
        <v>25992790397.59119</v>
      </c>
      <c r="S541" s="6">
        <f t="shared" si="26"/>
        <v>0</v>
      </c>
    </row>
    <row r="542" spans="16:19" x14ac:dyDescent="0.2">
      <c r="P542" s="93">
        <v>2680</v>
      </c>
      <c r="Q542" s="6">
        <f t="shared" si="24"/>
        <v>0</v>
      </c>
      <c r="R542" s="6">
        <f t="shared" si="25"/>
        <v>26047760599.987843</v>
      </c>
      <c r="S542" s="6">
        <f t="shared" si="26"/>
        <v>0</v>
      </c>
    </row>
    <row r="543" spans="16:19" x14ac:dyDescent="0.2">
      <c r="P543" s="93">
        <v>2685</v>
      </c>
      <c r="Q543" s="6">
        <f t="shared" si="24"/>
        <v>0</v>
      </c>
      <c r="R543" s="6">
        <f t="shared" si="25"/>
        <v>26102692948.025169</v>
      </c>
      <c r="S543" s="6">
        <f t="shared" si="26"/>
        <v>0</v>
      </c>
    </row>
    <row r="544" spans="16:19" x14ac:dyDescent="0.2">
      <c r="P544" s="93">
        <v>2690</v>
      </c>
      <c r="Q544" s="6">
        <f t="shared" si="24"/>
        <v>0</v>
      </c>
      <c r="R544" s="6">
        <f t="shared" si="25"/>
        <v>26157587430.512745</v>
      </c>
      <c r="S544" s="6">
        <f t="shared" si="26"/>
        <v>0</v>
      </c>
    </row>
    <row r="545" spans="16:19" x14ac:dyDescent="0.2">
      <c r="P545" s="93">
        <v>2695</v>
      </c>
      <c r="Q545" s="6">
        <f t="shared" si="24"/>
        <v>0</v>
      </c>
      <c r="R545" s="6">
        <f t="shared" si="25"/>
        <v>26212444036.757168</v>
      </c>
      <c r="S545" s="6">
        <f t="shared" si="26"/>
        <v>0</v>
      </c>
    </row>
    <row r="546" spans="16:19" x14ac:dyDescent="0.2">
      <c r="P546" s="93">
        <v>2700</v>
      </c>
      <c r="Q546" s="6">
        <f t="shared" si="24"/>
        <v>0</v>
      </c>
      <c r="R546" s="6">
        <f t="shared" si="25"/>
        <v>26267262756.557148</v>
      </c>
      <c r="S546" s="6">
        <f t="shared" si="26"/>
        <v>0</v>
      </c>
    </row>
    <row r="547" spans="16:19" x14ac:dyDescent="0.2">
      <c r="P547" s="93">
        <v>2705</v>
      </c>
      <c r="Q547" s="6">
        <f t="shared" si="24"/>
        <v>0</v>
      </c>
      <c r="R547" s="6">
        <f t="shared" si="25"/>
        <v>26322043580.19841</v>
      </c>
      <c r="S547" s="6">
        <f t="shared" si="26"/>
        <v>0</v>
      </c>
    </row>
    <row r="548" spans="16:19" x14ac:dyDescent="0.2">
      <c r="P548" s="93">
        <v>2710</v>
      </c>
      <c r="Q548" s="6">
        <f t="shared" si="24"/>
        <v>0</v>
      </c>
      <c r="R548" s="6">
        <f t="shared" si="25"/>
        <v>26376786498.448795</v>
      </c>
      <c r="S548" s="6">
        <f t="shared" si="26"/>
        <v>0</v>
      </c>
    </row>
    <row r="549" spans="16:19" x14ac:dyDescent="0.2">
      <c r="P549" s="93">
        <v>2715</v>
      </c>
      <c r="Q549" s="6">
        <f t="shared" si="24"/>
        <v>0</v>
      </c>
      <c r="R549" s="6">
        <f t="shared" si="25"/>
        <v>26431491502.553299</v>
      </c>
      <c r="S549" s="6">
        <f t="shared" si="26"/>
        <v>0</v>
      </c>
    </row>
    <row r="550" spans="16:19" x14ac:dyDescent="0.2">
      <c r="P550" s="93">
        <v>2720</v>
      </c>
      <c r="Q550" s="6">
        <f t="shared" si="24"/>
        <v>0</v>
      </c>
      <c r="R550" s="6">
        <f t="shared" si="25"/>
        <v>26486158584.229301</v>
      </c>
      <c r="S550" s="6">
        <f t="shared" si="26"/>
        <v>0</v>
      </c>
    </row>
    <row r="551" spans="16:19" x14ac:dyDescent="0.2">
      <c r="P551" s="93">
        <v>2725</v>
      </c>
      <c r="Q551" s="6">
        <f t="shared" si="24"/>
        <v>0</v>
      </c>
      <c r="R551" s="6">
        <f t="shared" si="25"/>
        <v>26540787735.661659</v>
      </c>
      <c r="S551" s="6">
        <f t="shared" si="26"/>
        <v>0</v>
      </c>
    </row>
    <row r="552" spans="16:19" x14ac:dyDescent="0.2">
      <c r="P552" s="93">
        <v>2730</v>
      </c>
      <c r="Q552" s="6">
        <f t="shared" si="24"/>
        <v>0</v>
      </c>
      <c r="R552" s="6">
        <f t="shared" si="25"/>
        <v>26595378949.498016</v>
      </c>
      <c r="S552" s="6">
        <f t="shared" si="26"/>
        <v>0</v>
      </c>
    </row>
    <row r="553" spans="16:19" x14ac:dyDescent="0.2">
      <c r="P553" s="93">
        <v>2735</v>
      </c>
      <c r="Q553" s="6">
        <f t="shared" si="24"/>
        <v>0</v>
      </c>
      <c r="R553" s="6">
        <f t="shared" si="25"/>
        <v>26649932218.844082</v>
      </c>
      <c r="S553" s="6">
        <f t="shared" si="26"/>
        <v>0</v>
      </c>
    </row>
    <row r="554" spans="16:19" x14ac:dyDescent="0.2">
      <c r="P554" s="93">
        <v>2740</v>
      </c>
      <c r="Q554" s="6">
        <f t="shared" si="24"/>
        <v>0</v>
      </c>
      <c r="R554" s="6">
        <f t="shared" si="25"/>
        <v>26704447537.258926</v>
      </c>
      <c r="S554" s="6">
        <f t="shared" si="26"/>
        <v>0</v>
      </c>
    </row>
    <row r="555" spans="16:19" x14ac:dyDescent="0.2">
      <c r="P555" s="93">
        <v>2745</v>
      </c>
      <c r="Q555" s="6">
        <f t="shared" si="24"/>
        <v>0</v>
      </c>
      <c r="R555" s="6">
        <f t="shared" si="25"/>
        <v>26758924898.750366</v>
      </c>
      <c r="S555" s="6">
        <f t="shared" si="26"/>
        <v>0</v>
      </c>
    </row>
    <row r="556" spans="16:19" x14ac:dyDescent="0.2">
      <c r="P556" s="93">
        <v>2750</v>
      </c>
      <c r="Q556" s="6">
        <f t="shared" si="24"/>
        <v>0</v>
      </c>
      <c r="R556" s="6">
        <f t="shared" si="25"/>
        <v>26813364297.770432</v>
      </c>
      <c r="S556" s="6">
        <f t="shared" si="26"/>
        <v>0</v>
      </c>
    </row>
    <row r="557" spans="16:19" x14ac:dyDescent="0.2">
      <c r="P557" s="93">
        <v>2755</v>
      </c>
      <c r="Q557" s="6">
        <f t="shared" si="24"/>
        <v>0</v>
      </c>
      <c r="R557" s="6">
        <f t="shared" si="25"/>
        <v>26867765729.210758</v>
      </c>
      <c r="S557" s="6">
        <f t="shared" si="26"/>
        <v>0</v>
      </c>
    </row>
    <row r="558" spans="16:19" x14ac:dyDescent="0.2">
      <c r="P558" s="93">
        <v>2760</v>
      </c>
      <c r="Q558" s="6">
        <f t="shared" si="24"/>
        <v>0</v>
      </c>
      <c r="R558" s="6">
        <f t="shared" si="25"/>
        <v>26922129188.398144</v>
      </c>
      <c r="S558" s="6">
        <f t="shared" si="26"/>
        <v>0</v>
      </c>
    </row>
    <row r="559" spans="16:19" x14ac:dyDescent="0.2">
      <c r="P559" s="93">
        <v>2765</v>
      </c>
      <c r="Q559" s="6">
        <f t="shared" si="24"/>
        <v>0</v>
      </c>
      <c r="R559" s="6">
        <f t="shared" si="25"/>
        <v>26976454671.090137</v>
      </c>
      <c r="S559" s="6">
        <f t="shared" si="26"/>
        <v>0</v>
      </c>
    </row>
    <row r="560" spans="16:19" x14ac:dyDescent="0.2">
      <c r="P560" s="93">
        <v>2770</v>
      </c>
      <c r="Q560" s="6">
        <f t="shared" si="24"/>
        <v>0</v>
      </c>
      <c r="R560" s="6">
        <f t="shared" si="25"/>
        <v>27030742173.470516</v>
      </c>
      <c r="S560" s="6">
        <f t="shared" si="26"/>
        <v>0</v>
      </c>
    </row>
    <row r="561" spans="16:19" x14ac:dyDescent="0.2">
      <c r="P561" s="93">
        <v>2775</v>
      </c>
      <c r="Q561" s="6">
        <f t="shared" si="24"/>
        <v>0</v>
      </c>
      <c r="R561" s="6">
        <f t="shared" si="25"/>
        <v>27084991692.145054</v>
      </c>
      <c r="S561" s="6">
        <f t="shared" si="26"/>
        <v>0</v>
      </c>
    </row>
    <row r="562" spans="16:19" x14ac:dyDescent="0.2">
      <c r="P562" s="93">
        <v>2780</v>
      </c>
      <c r="Q562" s="6">
        <f t="shared" si="24"/>
        <v>0</v>
      </c>
      <c r="R562" s="6">
        <f t="shared" si="25"/>
        <v>27139203224.137146</v>
      </c>
      <c r="S562" s="6">
        <f t="shared" si="26"/>
        <v>0</v>
      </c>
    </row>
    <row r="563" spans="16:19" x14ac:dyDescent="0.2">
      <c r="P563" s="93">
        <v>2785</v>
      </c>
      <c r="Q563" s="6">
        <f t="shared" si="24"/>
        <v>0</v>
      </c>
      <c r="R563" s="6">
        <f t="shared" si="25"/>
        <v>27193376766.883533</v>
      </c>
      <c r="S563" s="6">
        <f t="shared" si="26"/>
        <v>0</v>
      </c>
    </row>
    <row r="564" spans="16:19" x14ac:dyDescent="0.2">
      <c r="P564" s="93">
        <v>2790</v>
      </c>
      <c r="Q564" s="6">
        <f t="shared" si="24"/>
        <v>0</v>
      </c>
      <c r="R564" s="6">
        <f t="shared" si="25"/>
        <v>27247512318.230053</v>
      </c>
      <c r="S564" s="6">
        <f t="shared" si="26"/>
        <v>0</v>
      </c>
    </row>
    <row r="565" spans="16:19" x14ac:dyDescent="0.2">
      <c r="P565" s="93">
        <v>2795</v>
      </c>
      <c r="Q565" s="6">
        <f t="shared" si="24"/>
        <v>0</v>
      </c>
      <c r="R565" s="6">
        <f t="shared" si="25"/>
        <v>27301609876.427475</v>
      </c>
      <c r="S565" s="6">
        <f t="shared" si="26"/>
        <v>0</v>
      </c>
    </row>
    <row r="566" spans="16:19" x14ac:dyDescent="0.2">
      <c r="P566" s="93">
        <v>2800</v>
      </c>
      <c r="Q566" s="6">
        <f t="shared" si="24"/>
        <v>0</v>
      </c>
      <c r="R566" s="6">
        <f t="shared" si="25"/>
        <v>27355669440.127377</v>
      </c>
      <c r="S566" s="6">
        <f t="shared" si="26"/>
        <v>0</v>
      </c>
    </row>
    <row r="567" spans="16:19" x14ac:dyDescent="0.2">
      <c r="P567" s="93">
        <v>2805</v>
      </c>
      <c r="Q567" s="6">
        <f t="shared" si="24"/>
        <v>0</v>
      </c>
      <c r="R567" s="6">
        <f t="shared" si="25"/>
        <v>27409691008.377914</v>
      </c>
      <c r="S567" s="6">
        <f t="shared" si="26"/>
        <v>0</v>
      </c>
    </row>
    <row r="568" spans="16:19" x14ac:dyDescent="0.2">
      <c r="P568" s="93">
        <v>2810</v>
      </c>
      <c r="Q568" s="6">
        <f t="shared" si="24"/>
        <v>0</v>
      </c>
      <c r="R568" s="6">
        <f t="shared" si="25"/>
        <v>27463674580.619896</v>
      </c>
      <c r="S568" s="6">
        <f t="shared" si="26"/>
        <v>0</v>
      </c>
    </row>
    <row r="569" spans="16:19" x14ac:dyDescent="0.2">
      <c r="P569" s="93">
        <v>2815</v>
      </c>
      <c r="Q569" s="6">
        <f t="shared" si="24"/>
        <v>0</v>
      </c>
      <c r="R569" s="6">
        <f t="shared" si="25"/>
        <v>27517620156.682625</v>
      </c>
      <c r="S569" s="6">
        <f t="shared" si="26"/>
        <v>0</v>
      </c>
    </row>
    <row r="570" spans="16:19" x14ac:dyDescent="0.2">
      <c r="P570" s="93">
        <v>2820</v>
      </c>
      <c r="Q570" s="6">
        <f t="shared" si="24"/>
        <v>0</v>
      </c>
      <c r="R570" s="6">
        <f t="shared" si="25"/>
        <v>27571527736.780003</v>
      </c>
      <c r="S570" s="6">
        <f t="shared" si="26"/>
        <v>0</v>
      </c>
    </row>
    <row r="571" spans="16:19" x14ac:dyDescent="0.2">
      <c r="P571" s="93">
        <v>2825</v>
      </c>
      <c r="Q571" s="6">
        <f t="shared" si="24"/>
        <v>0</v>
      </c>
      <c r="R571" s="6">
        <f t="shared" si="25"/>
        <v>27625397321.506493</v>
      </c>
      <c r="S571" s="6">
        <f t="shared" si="26"/>
        <v>0</v>
      </c>
    </row>
    <row r="572" spans="16:19" x14ac:dyDescent="0.2">
      <c r="P572" s="93">
        <v>2830</v>
      </c>
      <c r="Q572" s="6">
        <f t="shared" si="24"/>
        <v>0</v>
      </c>
      <c r="R572" s="6">
        <f t="shared" si="25"/>
        <v>27679228911.833263</v>
      </c>
      <c r="S572" s="6">
        <f t="shared" si="26"/>
        <v>0</v>
      </c>
    </row>
    <row r="573" spans="16:19" x14ac:dyDescent="0.2">
      <c r="P573" s="93">
        <v>2835</v>
      </c>
      <c r="Q573" s="6">
        <f t="shared" si="24"/>
        <v>0</v>
      </c>
      <c r="R573" s="6">
        <f t="shared" si="25"/>
        <v>27733022509.10424</v>
      </c>
      <c r="S573" s="6">
        <f t="shared" si="26"/>
        <v>0</v>
      </c>
    </row>
    <row r="574" spans="16:19" x14ac:dyDescent="0.2">
      <c r="P574" s="93">
        <v>2840</v>
      </c>
      <c r="Q574" s="6">
        <f t="shared" si="24"/>
        <v>0</v>
      </c>
      <c r="R574" s="6">
        <f t="shared" si="25"/>
        <v>27786778115.03236</v>
      </c>
      <c r="S574" s="6">
        <f t="shared" si="26"/>
        <v>0</v>
      </c>
    </row>
    <row r="575" spans="16:19" x14ac:dyDescent="0.2">
      <c r="P575" s="93">
        <v>2845</v>
      </c>
      <c r="Q575" s="6">
        <f t="shared" si="24"/>
        <v>0</v>
      </c>
      <c r="R575" s="6">
        <f t="shared" si="25"/>
        <v>27840495731.695667</v>
      </c>
      <c r="S575" s="6">
        <f t="shared" si="26"/>
        <v>0</v>
      </c>
    </row>
    <row r="576" spans="16:19" x14ac:dyDescent="0.2">
      <c r="P576" s="93">
        <v>2850</v>
      </c>
      <c r="Q576" s="6">
        <f t="shared" si="24"/>
        <v>0</v>
      </c>
      <c r="R576" s="6">
        <f t="shared" si="25"/>
        <v>27894175361.533596</v>
      </c>
      <c r="S576" s="6">
        <f t="shared" si="26"/>
        <v>0</v>
      </c>
    </row>
    <row r="577" spans="16:19" x14ac:dyDescent="0.2">
      <c r="P577" s="93">
        <v>2855</v>
      </c>
      <c r="Q577" s="6">
        <f t="shared" si="24"/>
        <v>0</v>
      </c>
      <c r="R577" s="6">
        <f t="shared" si="25"/>
        <v>27947817007.343235</v>
      </c>
      <c r="S577" s="6">
        <f t="shared" si="26"/>
        <v>0</v>
      </c>
    </row>
    <row r="578" spans="16:19" x14ac:dyDescent="0.2">
      <c r="P578" s="93">
        <v>2860</v>
      </c>
      <c r="Q578" s="6">
        <f t="shared" si="24"/>
        <v>0</v>
      </c>
      <c r="R578" s="6">
        <f t="shared" si="25"/>
        <v>28001420672.275581</v>
      </c>
      <c r="S578" s="6">
        <f t="shared" si="26"/>
        <v>0</v>
      </c>
    </row>
    <row r="579" spans="16:19" x14ac:dyDescent="0.2">
      <c r="P579" s="93">
        <v>2865</v>
      </c>
      <c r="Q579" s="6">
        <f t="shared" si="24"/>
        <v>0</v>
      </c>
      <c r="R579" s="6">
        <f t="shared" si="25"/>
        <v>28054986359.831993</v>
      </c>
      <c r="S579" s="6">
        <f t="shared" si="26"/>
        <v>0</v>
      </c>
    </row>
    <row r="580" spans="16:19" x14ac:dyDescent="0.2">
      <c r="P580" s="93">
        <v>2870</v>
      </c>
      <c r="Q580" s="6">
        <f t="shared" si="24"/>
        <v>0</v>
      </c>
      <c r="R580" s="6">
        <f t="shared" si="25"/>
        <v>28108514073.86042</v>
      </c>
      <c r="S580" s="6">
        <f t="shared" si="26"/>
        <v>0</v>
      </c>
    </row>
    <row r="581" spans="16:19" x14ac:dyDescent="0.2">
      <c r="P581" s="93">
        <v>2875</v>
      </c>
      <c r="Q581" s="6">
        <f t="shared" si="24"/>
        <v>0</v>
      </c>
      <c r="R581" s="6">
        <f t="shared" si="25"/>
        <v>28162003818.551895</v>
      </c>
      <c r="S581" s="6">
        <f t="shared" si="26"/>
        <v>0</v>
      </c>
    </row>
    <row r="582" spans="16:19" x14ac:dyDescent="0.2">
      <c r="P582" s="93">
        <v>2880</v>
      </c>
      <c r="Q582" s="6">
        <f t="shared" ref="Q582:Q645" si="27">2*SQRT(P582/(PI()*($G$4)^3))*EXP((-P582)/(2*$G$4))</f>
        <v>0</v>
      </c>
      <c r="R582" s="6">
        <f t="shared" ref="R582:R645" si="28">(EXP(-(31.29*$B$9*$C$9*(SQRT($B$11/P582)))))*$R$4</f>
        <v>28215455598.436974</v>
      </c>
      <c r="S582" s="6">
        <f t="shared" ref="S582:S645" si="29">$S$4*(2*SQRT(P582/(PI()*($G$4)^3))*EXP((-(P582)/($G$4))-SQRT(($Q$4*1000)/P582)))</f>
        <v>0</v>
      </c>
    </row>
    <row r="583" spans="16:19" x14ac:dyDescent="0.2">
      <c r="P583" s="93">
        <v>2885</v>
      </c>
      <c r="Q583" s="6">
        <f t="shared" si="27"/>
        <v>0</v>
      </c>
      <c r="R583" s="6">
        <f t="shared" si="28"/>
        <v>28268869418.382221</v>
      </c>
      <c r="S583" s="6">
        <f t="shared" si="29"/>
        <v>0</v>
      </c>
    </row>
    <row r="584" spans="16:19" x14ac:dyDescent="0.2">
      <c r="P584" s="93">
        <v>2890</v>
      </c>
      <c r="Q584" s="6">
        <f t="shared" si="27"/>
        <v>0</v>
      </c>
      <c r="R584" s="6">
        <f t="shared" si="28"/>
        <v>28322245283.586624</v>
      </c>
      <c r="S584" s="6">
        <f t="shared" si="29"/>
        <v>0</v>
      </c>
    </row>
    <row r="585" spans="16:19" x14ac:dyDescent="0.2">
      <c r="P585" s="93">
        <v>2895</v>
      </c>
      <c r="Q585" s="6">
        <f t="shared" si="27"/>
        <v>0</v>
      </c>
      <c r="R585" s="6">
        <f t="shared" si="28"/>
        <v>28375583199.578274</v>
      </c>
      <c r="S585" s="6">
        <f t="shared" si="29"/>
        <v>0</v>
      </c>
    </row>
    <row r="586" spans="16:19" x14ac:dyDescent="0.2">
      <c r="P586" s="93">
        <v>2900</v>
      </c>
      <c r="Q586" s="6">
        <f t="shared" si="27"/>
        <v>0</v>
      </c>
      <c r="R586" s="6">
        <f t="shared" si="28"/>
        <v>28428883172.21085</v>
      </c>
      <c r="S586" s="6">
        <f t="shared" si="29"/>
        <v>0</v>
      </c>
    </row>
    <row r="587" spans="16:19" x14ac:dyDescent="0.2">
      <c r="P587" s="93">
        <v>2905</v>
      </c>
      <c r="Q587" s="6">
        <f t="shared" si="27"/>
        <v>0</v>
      </c>
      <c r="R587" s="6">
        <f t="shared" si="28"/>
        <v>28482145207.660282</v>
      </c>
      <c r="S587" s="6">
        <f t="shared" si="29"/>
        <v>0</v>
      </c>
    </row>
    <row r="588" spans="16:19" x14ac:dyDescent="0.2">
      <c r="P588" s="93">
        <v>2910</v>
      </c>
      <c r="Q588" s="6">
        <f t="shared" si="27"/>
        <v>0</v>
      </c>
      <c r="R588" s="6">
        <f t="shared" si="28"/>
        <v>28535369312.421329</v>
      </c>
      <c r="S588" s="6">
        <f t="shared" si="29"/>
        <v>0</v>
      </c>
    </row>
    <row r="589" spans="16:19" x14ac:dyDescent="0.2">
      <c r="P589" s="93">
        <v>2915</v>
      </c>
      <c r="Q589" s="6">
        <f t="shared" si="27"/>
        <v>0</v>
      </c>
      <c r="R589" s="6">
        <f t="shared" si="28"/>
        <v>28588555493.304333</v>
      </c>
      <c r="S589" s="6">
        <f t="shared" si="29"/>
        <v>0</v>
      </c>
    </row>
    <row r="590" spans="16:19" x14ac:dyDescent="0.2">
      <c r="P590" s="93">
        <v>2920</v>
      </c>
      <c r="Q590" s="6">
        <f t="shared" si="27"/>
        <v>0</v>
      </c>
      <c r="R590" s="6">
        <f t="shared" si="28"/>
        <v>28641703757.43185</v>
      </c>
      <c r="S590" s="6">
        <f t="shared" si="29"/>
        <v>0</v>
      </c>
    </row>
    <row r="591" spans="16:19" x14ac:dyDescent="0.2">
      <c r="P591" s="93">
        <v>2925</v>
      </c>
      <c r="Q591" s="6">
        <f t="shared" si="27"/>
        <v>0</v>
      </c>
      <c r="R591" s="6">
        <f t="shared" si="28"/>
        <v>28694814112.235401</v>
      </c>
      <c r="S591" s="6">
        <f t="shared" si="29"/>
        <v>0</v>
      </c>
    </row>
    <row r="592" spans="16:19" x14ac:dyDescent="0.2">
      <c r="P592" s="93">
        <v>2930</v>
      </c>
      <c r="Q592" s="6">
        <f t="shared" si="27"/>
        <v>0</v>
      </c>
      <c r="R592" s="6">
        <f t="shared" si="28"/>
        <v>28747886565.452328</v>
      </c>
      <c r="S592" s="6">
        <f t="shared" si="29"/>
        <v>0</v>
      </c>
    </row>
    <row r="593" spans="16:19" x14ac:dyDescent="0.2">
      <c r="P593" s="93">
        <v>2935</v>
      </c>
      <c r="Q593" s="6">
        <f t="shared" si="27"/>
        <v>0</v>
      </c>
      <c r="R593" s="6">
        <f t="shared" si="28"/>
        <v>28800921125.122444</v>
      </c>
      <c r="S593" s="6">
        <f t="shared" si="29"/>
        <v>0</v>
      </c>
    </row>
    <row r="594" spans="16:19" x14ac:dyDescent="0.2">
      <c r="P594" s="93">
        <v>2940</v>
      </c>
      <c r="Q594" s="6">
        <f t="shared" si="27"/>
        <v>0</v>
      </c>
      <c r="R594" s="6">
        <f t="shared" si="28"/>
        <v>28853917799.584991</v>
      </c>
      <c r="S594" s="6">
        <f t="shared" si="29"/>
        <v>0</v>
      </c>
    </row>
    <row r="595" spans="16:19" x14ac:dyDescent="0.2">
      <c r="P595" s="93">
        <v>2945</v>
      </c>
      <c r="Q595" s="6">
        <f t="shared" si="27"/>
        <v>0</v>
      </c>
      <c r="R595" s="6">
        <f t="shared" si="28"/>
        <v>28906876597.475445</v>
      </c>
      <c r="S595" s="6">
        <f t="shared" si="29"/>
        <v>0</v>
      </c>
    </row>
    <row r="596" spans="16:19" x14ac:dyDescent="0.2">
      <c r="P596" s="93">
        <v>2950</v>
      </c>
      <c r="Q596" s="6">
        <f t="shared" si="27"/>
        <v>0</v>
      </c>
      <c r="R596" s="6">
        <f t="shared" si="28"/>
        <v>28959797527.722389</v>
      </c>
      <c r="S596" s="6">
        <f t="shared" si="29"/>
        <v>0</v>
      </c>
    </row>
    <row r="597" spans="16:19" x14ac:dyDescent="0.2">
      <c r="P597" s="93">
        <v>2955</v>
      </c>
      <c r="Q597" s="6">
        <f t="shared" si="27"/>
        <v>0</v>
      </c>
      <c r="R597" s="6">
        <f t="shared" si="28"/>
        <v>29012680599.54446</v>
      </c>
      <c r="S597" s="6">
        <f t="shared" si="29"/>
        <v>0</v>
      </c>
    </row>
    <row r="598" spans="16:19" x14ac:dyDescent="0.2">
      <c r="P598" s="93">
        <v>2960</v>
      </c>
      <c r="Q598" s="6">
        <f t="shared" si="27"/>
        <v>0</v>
      </c>
      <c r="R598" s="6">
        <f t="shared" si="28"/>
        <v>29065525822.447285</v>
      </c>
      <c r="S598" s="6">
        <f t="shared" si="29"/>
        <v>0</v>
      </c>
    </row>
    <row r="599" spans="16:19" x14ac:dyDescent="0.2">
      <c r="P599" s="93">
        <v>2965</v>
      </c>
      <c r="Q599" s="6">
        <f t="shared" si="27"/>
        <v>0</v>
      </c>
      <c r="R599" s="6">
        <f t="shared" si="28"/>
        <v>29118333206.220478</v>
      </c>
      <c r="S599" s="6">
        <f t="shared" si="29"/>
        <v>0</v>
      </c>
    </row>
    <row r="600" spans="16:19" x14ac:dyDescent="0.2">
      <c r="P600" s="93">
        <v>2970</v>
      </c>
      <c r="Q600" s="6">
        <f t="shared" si="27"/>
        <v>0</v>
      </c>
      <c r="R600" s="6">
        <f t="shared" si="28"/>
        <v>29171102760.93462</v>
      </c>
      <c r="S600" s="6">
        <f t="shared" si="29"/>
        <v>0</v>
      </c>
    </row>
    <row r="601" spans="16:19" x14ac:dyDescent="0.2">
      <c r="P601" s="93">
        <v>2975</v>
      </c>
      <c r="Q601" s="6">
        <f t="shared" si="27"/>
        <v>0</v>
      </c>
      <c r="R601" s="6">
        <f t="shared" si="28"/>
        <v>29223834496.938309</v>
      </c>
      <c r="S601" s="6">
        <f t="shared" si="29"/>
        <v>0</v>
      </c>
    </row>
    <row r="602" spans="16:19" x14ac:dyDescent="0.2">
      <c r="P602" s="93">
        <v>2980</v>
      </c>
      <c r="Q602" s="6">
        <f t="shared" si="27"/>
        <v>0</v>
      </c>
      <c r="R602" s="6">
        <f t="shared" si="28"/>
        <v>29276528424.855164</v>
      </c>
      <c r="S602" s="6">
        <f t="shared" si="29"/>
        <v>0</v>
      </c>
    </row>
    <row r="603" spans="16:19" x14ac:dyDescent="0.2">
      <c r="P603" s="93">
        <v>2985</v>
      </c>
      <c r="Q603" s="6">
        <f t="shared" si="27"/>
        <v>0</v>
      </c>
      <c r="R603" s="6">
        <f t="shared" si="28"/>
        <v>29329184555.581074</v>
      </c>
      <c r="S603" s="6">
        <f t="shared" si="29"/>
        <v>0</v>
      </c>
    </row>
    <row r="604" spans="16:19" x14ac:dyDescent="0.2">
      <c r="P604" s="93">
        <v>2990</v>
      </c>
      <c r="Q604" s="6">
        <f t="shared" si="27"/>
        <v>0</v>
      </c>
      <c r="R604" s="6">
        <f t="shared" si="28"/>
        <v>29381802900.281105</v>
      </c>
      <c r="S604" s="6">
        <f t="shared" si="29"/>
        <v>0</v>
      </c>
    </row>
    <row r="605" spans="16:19" x14ac:dyDescent="0.2">
      <c r="P605" s="93">
        <v>2995</v>
      </c>
      <c r="Q605" s="6">
        <f t="shared" si="27"/>
        <v>0</v>
      </c>
      <c r="R605" s="6">
        <f t="shared" si="28"/>
        <v>29434383470.386795</v>
      </c>
      <c r="S605" s="6">
        <f t="shared" si="29"/>
        <v>0</v>
      </c>
    </row>
    <row r="606" spans="16:19" x14ac:dyDescent="0.2">
      <c r="P606" s="93">
        <v>3000</v>
      </c>
      <c r="Q606" s="6">
        <f t="shared" si="27"/>
        <v>0</v>
      </c>
      <c r="R606" s="6">
        <f t="shared" si="28"/>
        <v>29486926277.593285</v>
      </c>
      <c r="S606" s="6">
        <f t="shared" si="29"/>
        <v>0</v>
      </c>
    </row>
    <row r="607" spans="16:19" x14ac:dyDescent="0.2">
      <c r="P607" s="93">
        <v>3005</v>
      </c>
      <c r="Q607" s="6">
        <f t="shared" si="27"/>
        <v>0</v>
      </c>
      <c r="R607" s="6">
        <f t="shared" si="28"/>
        <v>29539431333.856518</v>
      </c>
      <c r="S607" s="6">
        <f t="shared" si="29"/>
        <v>0</v>
      </c>
    </row>
    <row r="608" spans="16:19" x14ac:dyDescent="0.2">
      <c r="P608" s="93">
        <v>3010</v>
      </c>
      <c r="Q608" s="6">
        <f t="shared" si="27"/>
        <v>0</v>
      </c>
      <c r="R608" s="6">
        <f t="shared" si="28"/>
        <v>29591898651.3904</v>
      </c>
      <c r="S608" s="6">
        <f t="shared" si="29"/>
        <v>0</v>
      </c>
    </row>
    <row r="609" spans="16:19" x14ac:dyDescent="0.2">
      <c r="P609" s="93">
        <v>3015</v>
      </c>
      <c r="Q609" s="6">
        <f t="shared" si="27"/>
        <v>0</v>
      </c>
      <c r="R609" s="6">
        <f t="shared" si="28"/>
        <v>29644328242.664165</v>
      </c>
      <c r="S609" s="6">
        <f t="shared" si="29"/>
        <v>0</v>
      </c>
    </row>
    <row r="610" spans="16:19" x14ac:dyDescent="0.2">
      <c r="P610" s="93">
        <v>3020</v>
      </c>
      <c r="Q610" s="6">
        <f t="shared" si="27"/>
        <v>0</v>
      </c>
      <c r="R610" s="6">
        <f t="shared" si="28"/>
        <v>29696720120.39957</v>
      </c>
      <c r="S610" s="6">
        <f t="shared" si="29"/>
        <v>0</v>
      </c>
    </row>
    <row r="611" spans="16:19" x14ac:dyDescent="0.2">
      <c r="P611" s="93">
        <v>3025</v>
      </c>
      <c r="Q611" s="6">
        <f t="shared" si="27"/>
        <v>0</v>
      </c>
      <c r="R611" s="6">
        <f t="shared" si="28"/>
        <v>29749074297.568256</v>
      </c>
      <c r="S611" s="6">
        <f t="shared" si="29"/>
        <v>0</v>
      </c>
    </row>
    <row r="612" spans="16:19" x14ac:dyDescent="0.2">
      <c r="P612" s="93">
        <v>3030</v>
      </c>
      <c r="Q612" s="6">
        <f t="shared" si="27"/>
        <v>0</v>
      </c>
      <c r="R612" s="6">
        <f t="shared" si="28"/>
        <v>29801390787.389015</v>
      </c>
      <c r="S612" s="6">
        <f t="shared" si="29"/>
        <v>0</v>
      </c>
    </row>
    <row r="613" spans="16:19" x14ac:dyDescent="0.2">
      <c r="P613" s="93">
        <v>3035</v>
      </c>
      <c r="Q613" s="6">
        <f t="shared" si="27"/>
        <v>0</v>
      </c>
      <c r="R613" s="6">
        <f t="shared" si="28"/>
        <v>29853669603.325176</v>
      </c>
      <c r="S613" s="6">
        <f t="shared" si="29"/>
        <v>0</v>
      </c>
    </row>
    <row r="614" spans="16:19" x14ac:dyDescent="0.2">
      <c r="P614" s="93">
        <v>3040</v>
      </c>
      <c r="Q614" s="6">
        <f t="shared" si="27"/>
        <v>0</v>
      </c>
      <c r="R614" s="6">
        <f t="shared" si="28"/>
        <v>29905910759.081989</v>
      </c>
      <c r="S614" s="6">
        <f t="shared" si="29"/>
        <v>0</v>
      </c>
    </row>
    <row r="615" spans="16:19" x14ac:dyDescent="0.2">
      <c r="P615" s="93">
        <v>3045</v>
      </c>
      <c r="Q615" s="6">
        <f t="shared" si="27"/>
        <v>0</v>
      </c>
      <c r="R615" s="6">
        <f t="shared" si="28"/>
        <v>29958114268.604023</v>
      </c>
      <c r="S615" s="6">
        <f t="shared" si="29"/>
        <v>0</v>
      </c>
    </row>
    <row r="616" spans="16:19" x14ac:dyDescent="0.2">
      <c r="P616" s="93">
        <v>3050</v>
      </c>
      <c r="Q616" s="6">
        <f t="shared" si="27"/>
        <v>0</v>
      </c>
      <c r="R616" s="6">
        <f t="shared" si="28"/>
        <v>30010280146.072552</v>
      </c>
      <c r="S616" s="6">
        <f t="shared" si="29"/>
        <v>0</v>
      </c>
    </row>
    <row r="617" spans="16:19" x14ac:dyDescent="0.2">
      <c r="P617" s="93">
        <v>3055</v>
      </c>
      <c r="Q617" s="6">
        <f t="shared" si="27"/>
        <v>0</v>
      </c>
      <c r="R617" s="6">
        <f t="shared" si="28"/>
        <v>30062408405.903111</v>
      </c>
      <c r="S617" s="6">
        <f t="shared" si="29"/>
        <v>0</v>
      </c>
    </row>
    <row r="618" spans="16:19" x14ac:dyDescent="0.2">
      <c r="P618" s="93">
        <v>3060</v>
      </c>
      <c r="Q618" s="6">
        <f t="shared" si="27"/>
        <v>0</v>
      </c>
      <c r="R618" s="6">
        <f t="shared" si="28"/>
        <v>30114499062.742844</v>
      </c>
      <c r="S618" s="6">
        <f t="shared" si="29"/>
        <v>0</v>
      </c>
    </row>
    <row r="619" spans="16:19" x14ac:dyDescent="0.2">
      <c r="P619" s="93">
        <v>3065</v>
      </c>
      <c r="Q619" s="6">
        <f t="shared" si="27"/>
        <v>0</v>
      </c>
      <c r="R619" s="6">
        <f t="shared" si="28"/>
        <v>30166552131.468113</v>
      </c>
      <c r="S619" s="6">
        <f t="shared" si="29"/>
        <v>0</v>
      </c>
    </row>
    <row r="620" spans="16:19" x14ac:dyDescent="0.2">
      <c r="P620" s="93">
        <v>3070</v>
      </c>
      <c r="Q620" s="6">
        <f t="shared" si="27"/>
        <v>0</v>
      </c>
      <c r="R620" s="6">
        <f t="shared" si="28"/>
        <v>30218567627.181934</v>
      </c>
      <c r="S620" s="6">
        <f t="shared" si="29"/>
        <v>0</v>
      </c>
    </row>
    <row r="621" spans="16:19" x14ac:dyDescent="0.2">
      <c r="P621" s="93">
        <v>3075</v>
      </c>
      <c r="Q621" s="6">
        <f t="shared" si="27"/>
        <v>0</v>
      </c>
      <c r="R621" s="6">
        <f t="shared" si="28"/>
        <v>30270545565.211563</v>
      </c>
      <c r="S621" s="6">
        <f t="shared" si="29"/>
        <v>0</v>
      </c>
    </row>
    <row r="622" spans="16:19" x14ac:dyDescent="0.2">
      <c r="P622" s="93">
        <v>3080</v>
      </c>
      <c r="Q622" s="6">
        <f t="shared" si="27"/>
        <v>0</v>
      </c>
      <c r="R622" s="6">
        <f t="shared" si="28"/>
        <v>30322485961.106121</v>
      </c>
      <c r="S622" s="6">
        <f t="shared" si="29"/>
        <v>0</v>
      </c>
    </row>
    <row r="623" spans="16:19" x14ac:dyDescent="0.2">
      <c r="P623" s="93">
        <v>3085</v>
      </c>
      <c r="Q623" s="6">
        <f t="shared" si="27"/>
        <v>0</v>
      </c>
      <c r="R623" s="6">
        <f t="shared" si="28"/>
        <v>30374388830.634064</v>
      </c>
      <c r="S623" s="6">
        <f t="shared" si="29"/>
        <v>0</v>
      </c>
    </row>
    <row r="624" spans="16:19" x14ac:dyDescent="0.2">
      <c r="P624" s="93">
        <v>3090</v>
      </c>
      <c r="Q624" s="6">
        <f t="shared" si="27"/>
        <v>0</v>
      </c>
      <c r="R624" s="6">
        <f t="shared" si="28"/>
        <v>30426254189.780891</v>
      </c>
      <c r="S624" s="6">
        <f t="shared" si="29"/>
        <v>0</v>
      </c>
    </row>
    <row r="625" spans="16:19" x14ac:dyDescent="0.2">
      <c r="P625" s="93">
        <v>3095</v>
      </c>
      <c r="Q625" s="6">
        <f t="shared" si="27"/>
        <v>0</v>
      </c>
      <c r="R625" s="6">
        <f t="shared" si="28"/>
        <v>30478082054.746761</v>
      </c>
      <c r="S625" s="6">
        <f t="shared" si="29"/>
        <v>0</v>
      </c>
    </row>
    <row r="626" spans="16:19" x14ac:dyDescent="0.2">
      <c r="P626" s="93">
        <v>3100</v>
      </c>
      <c r="Q626" s="6">
        <f t="shared" si="27"/>
        <v>0</v>
      </c>
      <c r="R626" s="6">
        <f t="shared" si="28"/>
        <v>30529872441.944107</v>
      </c>
      <c r="S626" s="6">
        <f t="shared" si="29"/>
        <v>0</v>
      </c>
    </row>
    <row r="627" spans="16:19" x14ac:dyDescent="0.2">
      <c r="P627" s="93">
        <v>3105</v>
      </c>
      <c r="Q627" s="6">
        <f t="shared" si="27"/>
        <v>0</v>
      </c>
      <c r="R627" s="6">
        <f t="shared" si="28"/>
        <v>30581625367.995415</v>
      </c>
      <c r="S627" s="6">
        <f t="shared" si="29"/>
        <v>0</v>
      </c>
    </row>
    <row r="628" spans="16:19" x14ac:dyDescent="0.2">
      <c r="P628" s="93">
        <v>3110</v>
      </c>
      <c r="Q628" s="6">
        <f t="shared" si="27"/>
        <v>0</v>
      </c>
      <c r="R628" s="6">
        <f t="shared" si="28"/>
        <v>30633340849.730793</v>
      </c>
      <c r="S628" s="6">
        <f t="shared" si="29"/>
        <v>0</v>
      </c>
    </row>
    <row r="629" spans="16:19" x14ac:dyDescent="0.2">
      <c r="P629" s="93">
        <v>3115</v>
      </c>
      <c r="Q629" s="6">
        <f t="shared" si="27"/>
        <v>0</v>
      </c>
      <c r="R629" s="6">
        <f t="shared" si="28"/>
        <v>30685018904.185841</v>
      </c>
      <c r="S629" s="6">
        <f t="shared" si="29"/>
        <v>0</v>
      </c>
    </row>
    <row r="630" spans="16:19" x14ac:dyDescent="0.2">
      <c r="P630" s="93">
        <v>3120</v>
      </c>
      <c r="Q630" s="6">
        <f t="shared" si="27"/>
        <v>0</v>
      </c>
      <c r="R630" s="6">
        <f t="shared" si="28"/>
        <v>30736659548.599277</v>
      </c>
      <c r="S630" s="6">
        <f t="shared" si="29"/>
        <v>0</v>
      </c>
    </row>
    <row r="631" spans="16:19" x14ac:dyDescent="0.2">
      <c r="P631" s="93">
        <v>3125</v>
      </c>
      <c r="Q631" s="6">
        <f t="shared" si="27"/>
        <v>0</v>
      </c>
      <c r="R631" s="6">
        <f t="shared" si="28"/>
        <v>30788262800.410751</v>
      </c>
      <c r="S631" s="6">
        <f t="shared" si="29"/>
        <v>0</v>
      </c>
    </row>
    <row r="632" spans="16:19" x14ac:dyDescent="0.2">
      <c r="P632" s="93">
        <v>3130</v>
      </c>
      <c r="Q632" s="6">
        <f t="shared" si="27"/>
        <v>0</v>
      </c>
      <c r="R632" s="6">
        <f t="shared" si="28"/>
        <v>30839828677.258663</v>
      </c>
      <c r="S632" s="6">
        <f t="shared" si="29"/>
        <v>0</v>
      </c>
    </row>
    <row r="633" spans="16:19" x14ac:dyDescent="0.2">
      <c r="P633" s="93">
        <v>3135</v>
      </c>
      <c r="Q633" s="6">
        <f t="shared" si="27"/>
        <v>0</v>
      </c>
      <c r="R633" s="6">
        <f t="shared" si="28"/>
        <v>30891357196.977913</v>
      </c>
      <c r="S633" s="6">
        <f t="shared" si="29"/>
        <v>0</v>
      </c>
    </row>
    <row r="634" spans="16:19" x14ac:dyDescent="0.2">
      <c r="P634" s="93">
        <v>3140</v>
      </c>
      <c r="Q634" s="6">
        <f t="shared" si="27"/>
        <v>0</v>
      </c>
      <c r="R634" s="6">
        <f t="shared" si="28"/>
        <v>30942848377.597771</v>
      </c>
      <c r="S634" s="6">
        <f t="shared" si="29"/>
        <v>0</v>
      </c>
    </row>
    <row r="635" spans="16:19" x14ac:dyDescent="0.2">
      <c r="P635" s="93">
        <v>3145</v>
      </c>
      <c r="Q635" s="6">
        <f t="shared" si="27"/>
        <v>0</v>
      </c>
      <c r="R635" s="6">
        <f t="shared" si="28"/>
        <v>30994302237.339695</v>
      </c>
      <c r="S635" s="6">
        <f t="shared" si="29"/>
        <v>0</v>
      </c>
    </row>
    <row r="636" spans="16:19" x14ac:dyDescent="0.2">
      <c r="P636" s="93">
        <v>3150</v>
      </c>
      <c r="Q636" s="6">
        <f t="shared" si="27"/>
        <v>0</v>
      </c>
      <c r="R636" s="6">
        <f t="shared" si="28"/>
        <v>31045718794.615257</v>
      </c>
      <c r="S636" s="6">
        <f t="shared" si="29"/>
        <v>0</v>
      </c>
    </row>
    <row r="637" spans="16:19" x14ac:dyDescent="0.2">
      <c r="P637" s="93">
        <v>3155</v>
      </c>
      <c r="Q637" s="6">
        <f t="shared" si="27"/>
        <v>0</v>
      </c>
      <c r="R637" s="6">
        <f t="shared" si="28"/>
        <v>31097098068.023926</v>
      </c>
      <c r="S637" s="6">
        <f t="shared" si="29"/>
        <v>0</v>
      </c>
    </row>
    <row r="638" spans="16:19" x14ac:dyDescent="0.2">
      <c r="P638" s="93">
        <v>3160</v>
      </c>
      <c r="Q638" s="6">
        <f t="shared" si="27"/>
        <v>0</v>
      </c>
      <c r="R638" s="6">
        <f t="shared" si="28"/>
        <v>31148440076.351131</v>
      </c>
      <c r="S638" s="6">
        <f t="shared" si="29"/>
        <v>0</v>
      </c>
    </row>
    <row r="639" spans="16:19" x14ac:dyDescent="0.2">
      <c r="P639" s="93">
        <v>3165</v>
      </c>
      <c r="Q639" s="6">
        <f t="shared" si="27"/>
        <v>0</v>
      </c>
      <c r="R639" s="6">
        <f t="shared" si="28"/>
        <v>31199744838.565983</v>
      </c>
      <c r="S639" s="6">
        <f t="shared" si="29"/>
        <v>0</v>
      </c>
    </row>
    <row r="640" spans="16:19" x14ac:dyDescent="0.2">
      <c r="P640" s="93">
        <v>3170</v>
      </c>
      <c r="Q640" s="6">
        <f t="shared" si="27"/>
        <v>0</v>
      </c>
      <c r="R640" s="6">
        <f t="shared" si="28"/>
        <v>31251012373.819485</v>
      </c>
      <c r="S640" s="6">
        <f t="shared" si="29"/>
        <v>0</v>
      </c>
    </row>
    <row r="641" spans="16:19" x14ac:dyDescent="0.2">
      <c r="P641" s="93">
        <v>3175</v>
      </c>
      <c r="Q641" s="6">
        <f t="shared" si="27"/>
        <v>0</v>
      </c>
      <c r="R641" s="6">
        <f t="shared" si="28"/>
        <v>31302242701.442226</v>
      </c>
      <c r="S641" s="6">
        <f t="shared" si="29"/>
        <v>0</v>
      </c>
    </row>
    <row r="642" spans="16:19" x14ac:dyDescent="0.2">
      <c r="P642" s="93">
        <v>3180</v>
      </c>
      <c r="Q642" s="6">
        <f t="shared" si="27"/>
        <v>0</v>
      </c>
      <c r="R642" s="6">
        <f t="shared" si="28"/>
        <v>31353435840.942543</v>
      </c>
      <c r="S642" s="6">
        <f t="shared" si="29"/>
        <v>0</v>
      </c>
    </row>
    <row r="643" spans="16:19" x14ac:dyDescent="0.2">
      <c r="P643" s="93">
        <v>3185</v>
      </c>
      <c r="Q643" s="6">
        <f t="shared" si="27"/>
        <v>0</v>
      </c>
      <c r="R643" s="6">
        <f t="shared" si="28"/>
        <v>31404591812.004494</v>
      </c>
      <c r="S643" s="6">
        <f t="shared" si="29"/>
        <v>0</v>
      </c>
    </row>
    <row r="644" spans="16:19" x14ac:dyDescent="0.2">
      <c r="P644" s="93">
        <v>3190</v>
      </c>
      <c r="Q644" s="6">
        <f t="shared" si="27"/>
        <v>0</v>
      </c>
      <c r="R644" s="6">
        <f t="shared" si="28"/>
        <v>31455710634.485851</v>
      </c>
      <c r="S644" s="6">
        <f t="shared" si="29"/>
        <v>0</v>
      </c>
    </row>
    <row r="645" spans="16:19" x14ac:dyDescent="0.2">
      <c r="P645" s="93">
        <v>3195</v>
      </c>
      <c r="Q645" s="6">
        <f t="shared" si="27"/>
        <v>0</v>
      </c>
      <c r="R645" s="6">
        <f t="shared" si="28"/>
        <v>31506792328.416126</v>
      </c>
      <c r="S645" s="6">
        <f t="shared" si="29"/>
        <v>0</v>
      </c>
    </row>
    <row r="646" spans="16:19" x14ac:dyDescent="0.2">
      <c r="P646" s="93">
        <v>3200</v>
      </c>
      <c r="Q646" s="6">
        <f t="shared" ref="Q646:Q709" si="30">2*SQRT(P646/(PI()*($G$4)^3))*EXP((-P646)/(2*$G$4))</f>
        <v>0</v>
      </c>
      <c r="R646" s="6">
        <f t="shared" ref="R646:R709" si="31">(EXP(-(31.29*$B$9*$C$9*(SQRT($B$11/P646)))))*$R$4</f>
        <v>31557836913.994698</v>
      </c>
      <c r="S646" s="6">
        <f t="shared" ref="S646:S709" si="32">$S$4*(2*SQRT(P646/(PI()*($G$4)^3))*EXP((-(P646)/($G$4))-SQRT(($Q$4*1000)/P646)))</f>
        <v>0</v>
      </c>
    </row>
    <row r="647" spans="16:19" x14ac:dyDescent="0.2">
      <c r="P647" s="93">
        <v>3205</v>
      </c>
      <c r="Q647" s="6">
        <f t="shared" si="30"/>
        <v>0</v>
      </c>
      <c r="R647" s="6">
        <f t="shared" si="31"/>
        <v>31608844411.588844</v>
      </c>
      <c r="S647" s="6">
        <f t="shared" si="32"/>
        <v>0</v>
      </c>
    </row>
    <row r="648" spans="16:19" x14ac:dyDescent="0.2">
      <c r="P648" s="93">
        <v>3210</v>
      </c>
      <c r="Q648" s="6">
        <f t="shared" si="30"/>
        <v>0</v>
      </c>
      <c r="R648" s="6">
        <f t="shared" si="31"/>
        <v>31659814841.731823</v>
      </c>
      <c r="S648" s="6">
        <f t="shared" si="32"/>
        <v>0</v>
      </c>
    </row>
    <row r="649" spans="16:19" x14ac:dyDescent="0.2">
      <c r="P649" s="93">
        <v>3215</v>
      </c>
      <c r="Q649" s="6">
        <f t="shared" si="30"/>
        <v>0</v>
      </c>
      <c r="R649" s="6">
        <f t="shared" si="31"/>
        <v>31710748225.120983</v>
      </c>
      <c r="S649" s="6">
        <f t="shared" si="32"/>
        <v>0</v>
      </c>
    </row>
    <row r="650" spans="16:19" x14ac:dyDescent="0.2">
      <c r="P650" s="93">
        <v>3220</v>
      </c>
      <c r="Q650" s="6">
        <f t="shared" si="30"/>
        <v>0</v>
      </c>
      <c r="R650" s="6">
        <f t="shared" si="31"/>
        <v>31761644582.615974</v>
      </c>
      <c r="S650" s="6">
        <f t="shared" si="32"/>
        <v>0</v>
      </c>
    </row>
    <row r="651" spans="16:19" x14ac:dyDescent="0.2">
      <c r="P651" s="93">
        <v>3225</v>
      </c>
      <c r="Q651" s="6">
        <f t="shared" si="30"/>
        <v>0</v>
      </c>
      <c r="R651" s="6">
        <f t="shared" si="31"/>
        <v>31812503935.236805</v>
      </c>
      <c r="S651" s="6">
        <f t="shared" si="32"/>
        <v>0</v>
      </c>
    </row>
    <row r="652" spans="16:19" x14ac:dyDescent="0.2">
      <c r="P652" s="93">
        <v>3230</v>
      </c>
      <c r="Q652" s="6">
        <f t="shared" si="30"/>
        <v>0</v>
      </c>
      <c r="R652" s="6">
        <f t="shared" si="31"/>
        <v>31863326304.162025</v>
      </c>
      <c r="S652" s="6">
        <f t="shared" si="32"/>
        <v>0</v>
      </c>
    </row>
    <row r="653" spans="16:19" x14ac:dyDescent="0.2">
      <c r="P653" s="93">
        <v>3235</v>
      </c>
      <c r="Q653" s="6">
        <f t="shared" si="30"/>
        <v>0</v>
      </c>
      <c r="R653" s="6">
        <f t="shared" si="31"/>
        <v>31914111710.726967</v>
      </c>
      <c r="S653" s="6">
        <f t="shared" si="32"/>
        <v>0</v>
      </c>
    </row>
    <row r="654" spans="16:19" x14ac:dyDescent="0.2">
      <c r="P654" s="93">
        <v>3240</v>
      </c>
      <c r="Q654" s="6">
        <f t="shared" si="30"/>
        <v>0</v>
      </c>
      <c r="R654" s="6">
        <f t="shared" si="31"/>
        <v>31964860176.421841</v>
      </c>
      <c r="S654" s="6">
        <f t="shared" si="32"/>
        <v>0</v>
      </c>
    </row>
    <row r="655" spans="16:19" x14ac:dyDescent="0.2">
      <c r="P655" s="93">
        <v>3245</v>
      </c>
      <c r="Q655" s="6">
        <f t="shared" si="30"/>
        <v>0</v>
      </c>
      <c r="R655" s="6">
        <f t="shared" si="31"/>
        <v>32015571722.890076</v>
      </c>
      <c r="S655" s="6">
        <f t="shared" si="32"/>
        <v>0</v>
      </c>
    </row>
    <row r="656" spans="16:19" x14ac:dyDescent="0.2">
      <c r="P656" s="93">
        <v>3250</v>
      </c>
      <c r="Q656" s="6">
        <f t="shared" si="30"/>
        <v>0</v>
      </c>
      <c r="R656" s="6">
        <f t="shared" si="31"/>
        <v>32066246371.926426</v>
      </c>
      <c r="S656" s="6">
        <f t="shared" si="32"/>
        <v>0</v>
      </c>
    </row>
    <row r="657" spans="16:19" x14ac:dyDescent="0.2">
      <c r="P657" s="93">
        <v>3255</v>
      </c>
      <c r="Q657" s="6">
        <f t="shared" si="30"/>
        <v>0</v>
      </c>
      <c r="R657" s="6">
        <f t="shared" si="31"/>
        <v>32116884145.475311</v>
      </c>
      <c r="S657" s="6">
        <f t="shared" si="32"/>
        <v>0</v>
      </c>
    </row>
    <row r="658" spans="16:19" x14ac:dyDescent="0.2">
      <c r="P658" s="93">
        <v>3260</v>
      </c>
      <c r="Q658" s="6">
        <f t="shared" si="30"/>
        <v>0</v>
      </c>
      <c r="R658" s="6">
        <f t="shared" si="31"/>
        <v>32167485065.629017</v>
      </c>
      <c r="S658" s="6">
        <f t="shared" si="32"/>
        <v>0</v>
      </c>
    </row>
    <row r="659" spans="16:19" x14ac:dyDescent="0.2">
      <c r="P659" s="93">
        <v>3265</v>
      </c>
      <c r="Q659" s="6">
        <f t="shared" si="30"/>
        <v>0</v>
      </c>
      <c r="R659" s="6">
        <f t="shared" si="31"/>
        <v>32218049154.626095</v>
      </c>
      <c r="S659" s="6">
        <f t="shared" si="32"/>
        <v>0</v>
      </c>
    </row>
    <row r="660" spans="16:19" x14ac:dyDescent="0.2">
      <c r="P660" s="93">
        <v>3270</v>
      </c>
      <c r="Q660" s="6">
        <f t="shared" si="30"/>
        <v>0</v>
      </c>
      <c r="R660" s="6">
        <f t="shared" si="31"/>
        <v>32268576434.849449</v>
      </c>
      <c r="S660" s="6">
        <f t="shared" si="32"/>
        <v>0</v>
      </c>
    </row>
    <row r="661" spans="16:19" x14ac:dyDescent="0.2">
      <c r="P661" s="93">
        <v>3275</v>
      </c>
      <c r="Q661" s="6">
        <f t="shared" si="30"/>
        <v>0</v>
      </c>
      <c r="R661" s="6">
        <f t="shared" si="31"/>
        <v>32319066928.824871</v>
      </c>
      <c r="S661" s="6">
        <f t="shared" si="32"/>
        <v>0</v>
      </c>
    </row>
    <row r="662" spans="16:19" x14ac:dyDescent="0.2">
      <c r="P662" s="93">
        <v>3280</v>
      </c>
      <c r="Q662" s="6">
        <f t="shared" si="30"/>
        <v>0</v>
      </c>
      <c r="R662" s="6">
        <f t="shared" si="31"/>
        <v>32369520659.219219</v>
      </c>
      <c r="S662" s="6">
        <f t="shared" si="32"/>
        <v>0</v>
      </c>
    </row>
    <row r="663" spans="16:19" x14ac:dyDescent="0.2">
      <c r="P663" s="93">
        <v>3285</v>
      </c>
      <c r="Q663" s="6">
        <f t="shared" si="30"/>
        <v>0</v>
      </c>
      <c r="R663" s="6">
        <f t="shared" si="31"/>
        <v>32419937648.838818</v>
      </c>
      <c r="S663" s="6">
        <f t="shared" si="32"/>
        <v>0</v>
      </c>
    </row>
    <row r="664" spans="16:19" x14ac:dyDescent="0.2">
      <c r="P664" s="93">
        <v>3290</v>
      </c>
      <c r="Q664" s="6">
        <f t="shared" si="30"/>
        <v>0</v>
      </c>
      <c r="R664" s="6">
        <f t="shared" si="31"/>
        <v>32470317920.627808</v>
      </c>
      <c r="S664" s="6">
        <f t="shared" si="32"/>
        <v>0</v>
      </c>
    </row>
    <row r="665" spans="16:19" x14ac:dyDescent="0.2">
      <c r="P665" s="93">
        <v>3295</v>
      </c>
      <c r="Q665" s="6">
        <f t="shared" si="30"/>
        <v>0</v>
      </c>
      <c r="R665" s="6">
        <f t="shared" si="31"/>
        <v>32520661497.666569</v>
      </c>
      <c r="S665" s="6">
        <f t="shared" si="32"/>
        <v>0</v>
      </c>
    </row>
    <row r="666" spans="16:19" x14ac:dyDescent="0.2">
      <c r="P666" s="93">
        <v>3300</v>
      </c>
      <c r="Q666" s="6">
        <f t="shared" si="30"/>
        <v>0</v>
      </c>
      <c r="R666" s="6">
        <f t="shared" si="31"/>
        <v>32570968403.169994</v>
      </c>
      <c r="S666" s="6">
        <f t="shared" si="32"/>
        <v>0</v>
      </c>
    </row>
    <row r="667" spans="16:19" x14ac:dyDescent="0.2">
      <c r="P667" s="93">
        <v>3305</v>
      </c>
      <c r="Q667" s="6">
        <f t="shared" si="30"/>
        <v>0</v>
      </c>
      <c r="R667" s="6">
        <f t="shared" si="31"/>
        <v>32621238660.486004</v>
      </c>
      <c r="S667" s="6">
        <f t="shared" si="32"/>
        <v>0</v>
      </c>
    </row>
    <row r="668" spans="16:19" x14ac:dyDescent="0.2">
      <c r="P668" s="93">
        <v>3310</v>
      </c>
      <c r="Q668" s="6">
        <f t="shared" si="30"/>
        <v>0</v>
      </c>
      <c r="R668" s="6">
        <f t="shared" si="31"/>
        <v>32671472293.093918</v>
      </c>
      <c r="S668" s="6">
        <f t="shared" si="32"/>
        <v>0</v>
      </c>
    </row>
    <row r="669" spans="16:19" x14ac:dyDescent="0.2">
      <c r="P669" s="93">
        <v>3315</v>
      </c>
      <c r="Q669" s="6">
        <f t="shared" si="30"/>
        <v>0</v>
      </c>
      <c r="R669" s="6">
        <f t="shared" si="31"/>
        <v>32721669324.602894</v>
      </c>
      <c r="S669" s="6">
        <f t="shared" si="32"/>
        <v>0</v>
      </c>
    </row>
    <row r="670" spans="16:19" x14ac:dyDescent="0.2">
      <c r="P670" s="93">
        <v>3320</v>
      </c>
      <c r="Q670" s="6">
        <f t="shared" si="30"/>
        <v>0</v>
      </c>
      <c r="R670" s="6">
        <f t="shared" si="31"/>
        <v>32771829778.750366</v>
      </c>
      <c r="S670" s="6">
        <f t="shared" si="32"/>
        <v>0</v>
      </c>
    </row>
    <row r="671" spans="16:19" x14ac:dyDescent="0.2">
      <c r="P671" s="93">
        <v>3325</v>
      </c>
      <c r="Q671" s="6">
        <f t="shared" si="30"/>
        <v>0</v>
      </c>
      <c r="R671" s="6">
        <f t="shared" si="31"/>
        <v>32821953679.400501</v>
      </c>
      <c r="S671" s="6">
        <f t="shared" si="32"/>
        <v>0</v>
      </c>
    </row>
    <row r="672" spans="16:19" x14ac:dyDescent="0.2">
      <c r="P672" s="93">
        <v>3330</v>
      </c>
      <c r="Q672" s="6">
        <f t="shared" si="30"/>
        <v>0</v>
      </c>
      <c r="R672" s="6">
        <f t="shared" si="31"/>
        <v>32872041050.542774</v>
      </c>
      <c r="S672" s="6">
        <f t="shared" si="32"/>
        <v>0</v>
      </c>
    </row>
    <row r="673" spans="16:19" x14ac:dyDescent="0.2">
      <c r="P673" s="93">
        <v>3335</v>
      </c>
      <c r="Q673" s="6">
        <f t="shared" si="30"/>
        <v>0</v>
      </c>
      <c r="R673" s="6">
        <f t="shared" si="31"/>
        <v>32922091916.290279</v>
      </c>
      <c r="S673" s="6">
        <f t="shared" si="32"/>
        <v>0</v>
      </c>
    </row>
    <row r="674" spans="16:19" x14ac:dyDescent="0.2">
      <c r="P674" s="93">
        <v>3340</v>
      </c>
      <c r="Q674" s="6">
        <f t="shared" si="30"/>
        <v>0</v>
      </c>
      <c r="R674" s="6">
        <f t="shared" si="31"/>
        <v>32972106300.878365</v>
      </c>
      <c r="S674" s="6">
        <f t="shared" si="32"/>
        <v>0</v>
      </c>
    </row>
    <row r="675" spans="16:19" x14ac:dyDescent="0.2">
      <c r="P675" s="93">
        <v>3345</v>
      </c>
      <c r="Q675" s="6">
        <f t="shared" si="30"/>
        <v>0</v>
      </c>
      <c r="R675" s="6">
        <f t="shared" si="31"/>
        <v>33022084228.663136</v>
      </c>
      <c r="S675" s="6">
        <f t="shared" si="32"/>
        <v>0</v>
      </c>
    </row>
    <row r="676" spans="16:19" x14ac:dyDescent="0.2">
      <c r="P676" s="93">
        <v>3350</v>
      </c>
      <c r="Q676" s="6">
        <f t="shared" si="30"/>
        <v>0</v>
      </c>
      <c r="R676" s="6">
        <f t="shared" si="31"/>
        <v>33072025724.119942</v>
      </c>
      <c r="S676" s="6">
        <f t="shared" si="32"/>
        <v>0</v>
      </c>
    </row>
    <row r="677" spans="16:19" x14ac:dyDescent="0.2">
      <c r="P677" s="93">
        <v>3355</v>
      </c>
      <c r="Q677" s="6">
        <f t="shared" si="30"/>
        <v>0</v>
      </c>
      <c r="R677" s="6">
        <f t="shared" si="31"/>
        <v>33121930811.841949</v>
      </c>
      <c r="S677" s="6">
        <f t="shared" si="32"/>
        <v>0</v>
      </c>
    </row>
    <row r="678" spans="16:19" x14ac:dyDescent="0.2">
      <c r="P678" s="93">
        <v>3360</v>
      </c>
      <c r="Q678" s="6">
        <f t="shared" si="30"/>
        <v>0</v>
      </c>
      <c r="R678" s="6">
        <f t="shared" si="31"/>
        <v>33171799516.538738</v>
      </c>
      <c r="S678" s="6">
        <f t="shared" si="32"/>
        <v>0</v>
      </c>
    </row>
    <row r="679" spans="16:19" x14ac:dyDescent="0.2">
      <c r="P679" s="93">
        <v>3365</v>
      </c>
      <c r="Q679" s="6">
        <f t="shared" si="30"/>
        <v>0</v>
      </c>
      <c r="R679" s="6">
        <f t="shared" si="31"/>
        <v>33221631863.034763</v>
      </c>
      <c r="S679" s="6">
        <f t="shared" si="32"/>
        <v>0</v>
      </c>
    </row>
    <row r="680" spans="16:19" x14ac:dyDescent="0.2">
      <c r="P680" s="93">
        <v>3370</v>
      </c>
      <c r="Q680" s="6">
        <f t="shared" si="30"/>
        <v>0</v>
      </c>
      <c r="R680" s="6">
        <f t="shared" si="31"/>
        <v>33271427876.268085</v>
      </c>
      <c r="S680" s="6">
        <f t="shared" si="32"/>
        <v>0</v>
      </c>
    </row>
    <row r="681" spans="16:19" x14ac:dyDescent="0.2">
      <c r="P681" s="93">
        <v>3375</v>
      </c>
      <c r="Q681" s="6">
        <f t="shared" si="30"/>
        <v>0</v>
      </c>
      <c r="R681" s="6">
        <f t="shared" si="31"/>
        <v>33321187581.28883</v>
      </c>
      <c r="S681" s="6">
        <f t="shared" si="32"/>
        <v>0</v>
      </c>
    </row>
    <row r="682" spans="16:19" x14ac:dyDescent="0.2">
      <c r="P682" s="93">
        <v>3380</v>
      </c>
      <c r="Q682" s="6">
        <f t="shared" si="30"/>
        <v>0</v>
      </c>
      <c r="R682" s="6">
        <f t="shared" si="31"/>
        <v>33370911003.257931</v>
      </c>
      <c r="S682" s="6">
        <f t="shared" si="32"/>
        <v>0</v>
      </c>
    </row>
    <row r="683" spans="16:19" x14ac:dyDescent="0.2">
      <c r="P683" s="93">
        <v>3385</v>
      </c>
      <c r="Q683" s="6">
        <f t="shared" si="30"/>
        <v>0</v>
      </c>
      <c r="R683" s="6">
        <f t="shared" si="31"/>
        <v>33420598167.445614</v>
      </c>
      <c r="S683" s="6">
        <f t="shared" si="32"/>
        <v>0</v>
      </c>
    </row>
    <row r="684" spans="16:19" x14ac:dyDescent="0.2">
      <c r="P684" s="93">
        <v>3390</v>
      </c>
      <c r="Q684" s="6">
        <f t="shared" si="30"/>
        <v>0</v>
      </c>
      <c r="R684" s="6">
        <f t="shared" si="31"/>
        <v>33470249099.230179</v>
      </c>
      <c r="S684" s="6">
        <f t="shared" si="32"/>
        <v>0</v>
      </c>
    </row>
    <row r="685" spans="16:19" x14ac:dyDescent="0.2">
      <c r="P685" s="93">
        <v>3395</v>
      </c>
      <c r="Q685" s="6">
        <f t="shared" si="30"/>
        <v>0</v>
      </c>
      <c r="R685" s="6">
        <f t="shared" si="31"/>
        <v>33519863824.096504</v>
      </c>
      <c r="S685" s="6">
        <f t="shared" si="32"/>
        <v>0</v>
      </c>
    </row>
    <row r="686" spans="16:19" x14ac:dyDescent="0.2">
      <c r="P686" s="93">
        <v>3400</v>
      </c>
      <c r="Q686" s="6">
        <f t="shared" si="30"/>
        <v>0</v>
      </c>
      <c r="R686" s="6">
        <f t="shared" si="31"/>
        <v>33569442367.63483</v>
      </c>
      <c r="S686" s="6">
        <f t="shared" si="32"/>
        <v>0</v>
      </c>
    </row>
    <row r="687" spans="16:19" x14ac:dyDescent="0.2">
      <c r="P687" s="93">
        <v>3405</v>
      </c>
      <c r="Q687" s="6">
        <f t="shared" si="30"/>
        <v>0</v>
      </c>
      <c r="R687" s="6">
        <f t="shared" si="31"/>
        <v>33618984755.539371</v>
      </c>
      <c r="S687" s="6">
        <f t="shared" si="32"/>
        <v>0</v>
      </c>
    </row>
    <row r="688" spans="16:19" x14ac:dyDescent="0.2">
      <c r="P688" s="93">
        <v>3410</v>
      </c>
      <c r="Q688" s="6">
        <f t="shared" si="30"/>
        <v>0</v>
      </c>
      <c r="R688" s="6">
        <f t="shared" si="31"/>
        <v>33668491013.607006</v>
      </c>
      <c r="S688" s="6">
        <f t="shared" si="32"/>
        <v>0</v>
      </c>
    </row>
    <row r="689" spans="16:19" x14ac:dyDescent="0.2">
      <c r="P689" s="93">
        <v>3415</v>
      </c>
      <c r="Q689" s="6">
        <f t="shared" si="30"/>
        <v>0</v>
      </c>
      <c r="R689" s="6">
        <f t="shared" si="31"/>
        <v>33717961167.735996</v>
      </c>
      <c r="S689" s="6">
        <f t="shared" si="32"/>
        <v>0</v>
      </c>
    </row>
    <row r="690" spans="16:19" x14ac:dyDescent="0.2">
      <c r="P690" s="93">
        <v>3420</v>
      </c>
      <c r="Q690" s="6">
        <f t="shared" si="30"/>
        <v>0</v>
      </c>
      <c r="R690" s="6">
        <f t="shared" si="31"/>
        <v>33767395243.924686</v>
      </c>
      <c r="S690" s="6">
        <f t="shared" si="32"/>
        <v>0</v>
      </c>
    </row>
    <row r="691" spans="16:19" x14ac:dyDescent="0.2">
      <c r="P691" s="93">
        <v>3425</v>
      </c>
      <c r="Q691" s="6">
        <f t="shared" si="30"/>
        <v>0</v>
      </c>
      <c r="R691" s="6">
        <f t="shared" si="31"/>
        <v>33816793268.27021</v>
      </c>
      <c r="S691" s="6">
        <f t="shared" si="32"/>
        <v>0</v>
      </c>
    </row>
    <row r="692" spans="16:19" x14ac:dyDescent="0.2">
      <c r="P692" s="93">
        <v>3430</v>
      </c>
      <c r="Q692" s="6">
        <f t="shared" si="30"/>
        <v>0</v>
      </c>
      <c r="R692" s="6">
        <f t="shared" si="31"/>
        <v>33866155266.967247</v>
      </c>
      <c r="S692" s="6">
        <f t="shared" si="32"/>
        <v>0</v>
      </c>
    </row>
    <row r="693" spans="16:19" x14ac:dyDescent="0.2">
      <c r="P693" s="93">
        <v>3435</v>
      </c>
      <c r="Q693" s="6">
        <f t="shared" si="30"/>
        <v>0</v>
      </c>
      <c r="R693" s="6">
        <f t="shared" si="31"/>
        <v>33915481266.306751</v>
      </c>
      <c r="S693" s="6">
        <f t="shared" si="32"/>
        <v>0</v>
      </c>
    </row>
    <row r="694" spans="16:19" x14ac:dyDescent="0.2">
      <c r="P694" s="93">
        <v>3440</v>
      </c>
      <c r="Q694" s="6">
        <f t="shared" si="30"/>
        <v>0</v>
      </c>
      <c r="R694" s="6">
        <f t="shared" si="31"/>
        <v>33964771292.674717</v>
      </c>
      <c r="S694" s="6">
        <f t="shared" si="32"/>
        <v>0</v>
      </c>
    </row>
    <row r="695" spans="16:19" x14ac:dyDescent="0.2">
      <c r="P695" s="93">
        <v>3445</v>
      </c>
      <c r="Q695" s="6">
        <f t="shared" si="30"/>
        <v>0</v>
      </c>
      <c r="R695" s="6">
        <f t="shared" si="31"/>
        <v>34014025372.550961</v>
      </c>
      <c r="S695" s="6">
        <f t="shared" si="32"/>
        <v>0</v>
      </c>
    </row>
    <row r="696" spans="16:19" x14ac:dyDescent="0.2">
      <c r="P696" s="93">
        <v>3450</v>
      </c>
      <c r="Q696" s="6">
        <f t="shared" si="30"/>
        <v>0</v>
      </c>
      <c r="R696" s="6">
        <f t="shared" si="31"/>
        <v>34063243532.507851</v>
      </c>
      <c r="S696" s="6">
        <f t="shared" si="32"/>
        <v>0</v>
      </c>
    </row>
    <row r="697" spans="16:19" x14ac:dyDescent="0.2">
      <c r="P697" s="93">
        <v>3455</v>
      </c>
      <c r="Q697" s="6">
        <f t="shared" si="30"/>
        <v>0</v>
      </c>
      <c r="R697" s="6">
        <f t="shared" si="31"/>
        <v>34112425799.209213</v>
      </c>
      <c r="S697" s="6">
        <f t="shared" si="32"/>
        <v>0</v>
      </c>
    </row>
    <row r="698" spans="16:19" x14ac:dyDescent="0.2">
      <c r="P698" s="93">
        <v>3460</v>
      </c>
      <c r="Q698" s="6">
        <f t="shared" si="30"/>
        <v>0</v>
      </c>
      <c r="R698" s="6">
        <f t="shared" si="31"/>
        <v>34161572199.408943</v>
      </c>
      <c r="S698" s="6">
        <f t="shared" si="32"/>
        <v>0</v>
      </c>
    </row>
    <row r="699" spans="16:19" x14ac:dyDescent="0.2">
      <c r="P699" s="93">
        <v>3465</v>
      </c>
      <c r="Q699" s="6">
        <f t="shared" si="30"/>
        <v>0</v>
      </c>
      <c r="R699" s="6">
        <f t="shared" si="31"/>
        <v>34210682759.950031</v>
      </c>
      <c r="S699" s="6">
        <f t="shared" si="32"/>
        <v>0</v>
      </c>
    </row>
    <row r="700" spans="16:19" x14ac:dyDescent="0.2">
      <c r="P700" s="93">
        <v>3470</v>
      </c>
      <c r="Q700" s="6">
        <f t="shared" si="30"/>
        <v>0</v>
      </c>
      <c r="R700" s="6">
        <f t="shared" si="31"/>
        <v>34259757507.763214</v>
      </c>
      <c r="S700" s="6">
        <f t="shared" si="32"/>
        <v>0</v>
      </c>
    </row>
    <row r="701" spans="16:19" x14ac:dyDescent="0.2">
      <c r="P701" s="93">
        <v>3475</v>
      </c>
      <c r="Q701" s="6">
        <f t="shared" si="30"/>
        <v>0</v>
      </c>
      <c r="R701" s="6">
        <f t="shared" si="31"/>
        <v>34308796469.865925</v>
      </c>
      <c r="S701" s="6">
        <f t="shared" si="32"/>
        <v>0</v>
      </c>
    </row>
    <row r="702" spans="16:19" x14ac:dyDescent="0.2">
      <c r="P702" s="93">
        <v>3480</v>
      </c>
      <c r="Q702" s="6">
        <f t="shared" si="30"/>
        <v>0</v>
      </c>
      <c r="R702" s="6">
        <f t="shared" si="31"/>
        <v>34357799673.361084</v>
      </c>
      <c r="S702" s="6">
        <f t="shared" si="32"/>
        <v>0</v>
      </c>
    </row>
    <row r="703" spans="16:19" x14ac:dyDescent="0.2">
      <c r="P703" s="93">
        <v>3485</v>
      </c>
      <c r="Q703" s="6">
        <f t="shared" si="30"/>
        <v>0</v>
      </c>
      <c r="R703" s="6">
        <f t="shared" si="31"/>
        <v>34406767145.435944</v>
      </c>
      <c r="S703" s="6">
        <f t="shared" si="32"/>
        <v>0</v>
      </c>
    </row>
    <row r="704" spans="16:19" x14ac:dyDescent="0.2">
      <c r="P704" s="93">
        <v>3490</v>
      </c>
      <c r="Q704" s="6">
        <f t="shared" si="30"/>
        <v>0</v>
      </c>
      <c r="R704" s="6">
        <f t="shared" si="31"/>
        <v>34455698913.361023</v>
      </c>
      <c r="S704" s="6">
        <f t="shared" si="32"/>
        <v>0</v>
      </c>
    </row>
    <row r="705" spans="16:19" x14ac:dyDescent="0.2">
      <c r="P705" s="93">
        <v>3495</v>
      </c>
      <c r="Q705" s="6">
        <f t="shared" si="30"/>
        <v>0</v>
      </c>
      <c r="R705" s="6">
        <f t="shared" si="31"/>
        <v>34504595004.488892</v>
      </c>
      <c r="S705" s="6">
        <f t="shared" si="32"/>
        <v>0</v>
      </c>
    </row>
    <row r="706" spans="16:19" x14ac:dyDescent="0.2">
      <c r="P706" s="93">
        <v>3500</v>
      </c>
      <c r="Q706" s="6">
        <f t="shared" si="30"/>
        <v>0</v>
      </c>
      <c r="R706" s="6">
        <f t="shared" si="31"/>
        <v>34553455446.253128</v>
      </c>
      <c r="S706" s="6">
        <f t="shared" si="32"/>
        <v>0</v>
      </c>
    </row>
    <row r="707" spans="16:19" x14ac:dyDescent="0.2">
      <c r="P707" s="93">
        <v>3505</v>
      </c>
      <c r="Q707" s="6">
        <f t="shared" si="30"/>
        <v>0</v>
      </c>
      <c r="R707" s="6">
        <f t="shared" si="31"/>
        <v>34602280266.167183</v>
      </c>
      <c r="S707" s="6">
        <f t="shared" si="32"/>
        <v>0</v>
      </c>
    </row>
    <row r="708" spans="16:19" x14ac:dyDescent="0.2">
      <c r="P708" s="93">
        <v>3510</v>
      </c>
      <c r="Q708" s="6">
        <f t="shared" si="30"/>
        <v>0</v>
      </c>
      <c r="R708" s="6">
        <f t="shared" si="31"/>
        <v>34651069491.823334</v>
      </c>
      <c r="S708" s="6">
        <f t="shared" si="32"/>
        <v>0</v>
      </c>
    </row>
    <row r="709" spans="16:19" x14ac:dyDescent="0.2">
      <c r="P709" s="93">
        <v>3515</v>
      </c>
      <c r="Q709" s="6">
        <f t="shared" si="30"/>
        <v>0</v>
      </c>
      <c r="R709" s="6">
        <f t="shared" si="31"/>
        <v>34699823150.89151</v>
      </c>
      <c r="S709" s="6">
        <f t="shared" si="32"/>
        <v>0</v>
      </c>
    </row>
    <row r="710" spans="16:19" x14ac:dyDescent="0.2">
      <c r="P710" s="93">
        <v>3520</v>
      </c>
      <c r="Q710" s="6">
        <f t="shared" ref="Q710:Q773" si="33">2*SQRT(P710/(PI()*($G$4)^3))*EXP((-P710)/(2*$G$4))</f>
        <v>0</v>
      </c>
      <c r="R710" s="6">
        <f t="shared" ref="R710:R773" si="34">(EXP(-(31.29*$B$9*$C$9*(SQRT($B$11/P710)))))*$R$4</f>
        <v>34748541271.118332</v>
      </c>
      <c r="S710" s="6">
        <f t="shared" ref="S710:S773" si="35">$S$4*(2*SQRT(P710/(PI()*($G$4)^3))*EXP((-(P710)/($G$4))-SQRT(($Q$4*1000)/P710)))</f>
        <v>0</v>
      </c>
    </row>
    <row r="711" spans="16:19" x14ac:dyDescent="0.2">
      <c r="P711" s="93">
        <v>3525</v>
      </c>
      <c r="Q711" s="6">
        <f t="shared" si="33"/>
        <v>0</v>
      </c>
      <c r="R711" s="6">
        <f t="shared" si="34"/>
        <v>34797223880.325943</v>
      </c>
      <c r="S711" s="6">
        <f t="shared" si="35"/>
        <v>0</v>
      </c>
    </row>
    <row r="712" spans="16:19" x14ac:dyDescent="0.2">
      <c r="P712" s="93">
        <v>3530</v>
      </c>
      <c r="Q712" s="6">
        <f t="shared" si="33"/>
        <v>0</v>
      </c>
      <c r="R712" s="6">
        <f t="shared" si="34"/>
        <v>34845871006.411049</v>
      </c>
      <c r="S712" s="6">
        <f t="shared" si="35"/>
        <v>0</v>
      </c>
    </row>
    <row r="713" spans="16:19" x14ac:dyDescent="0.2">
      <c r="P713" s="93">
        <v>3535</v>
      </c>
      <c r="Q713" s="6">
        <f t="shared" si="33"/>
        <v>0</v>
      </c>
      <c r="R713" s="6">
        <f t="shared" si="34"/>
        <v>34894482677.343819</v>
      </c>
      <c r="S713" s="6">
        <f t="shared" si="35"/>
        <v>0</v>
      </c>
    </row>
    <row r="714" spans="16:19" x14ac:dyDescent="0.2">
      <c r="P714" s="93">
        <v>3540</v>
      </c>
      <c r="Q714" s="6">
        <f t="shared" si="33"/>
        <v>0</v>
      </c>
      <c r="R714" s="6">
        <f t="shared" si="34"/>
        <v>34943058921.166878</v>
      </c>
      <c r="S714" s="6">
        <f t="shared" si="35"/>
        <v>0</v>
      </c>
    </row>
    <row r="715" spans="16:19" x14ac:dyDescent="0.2">
      <c r="P715" s="93">
        <v>3545</v>
      </c>
      <c r="Q715" s="6">
        <f t="shared" si="33"/>
        <v>0</v>
      </c>
      <c r="R715" s="6">
        <f t="shared" si="34"/>
        <v>34991599765.994217</v>
      </c>
      <c r="S715" s="6">
        <f t="shared" si="35"/>
        <v>0</v>
      </c>
    </row>
    <row r="716" spans="16:19" x14ac:dyDescent="0.2">
      <c r="P716" s="93">
        <v>3550</v>
      </c>
      <c r="Q716" s="6">
        <f t="shared" si="33"/>
        <v>0</v>
      </c>
      <c r="R716" s="6">
        <f t="shared" si="34"/>
        <v>35040105240.01033</v>
      </c>
      <c r="S716" s="6">
        <f t="shared" si="35"/>
        <v>0</v>
      </c>
    </row>
    <row r="717" spans="16:19" x14ac:dyDescent="0.2">
      <c r="P717" s="93">
        <v>3555</v>
      </c>
      <c r="Q717" s="6">
        <f t="shared" si="33"/>
        <v>0</v>
      </c>
      <c r="R717" s="6">
        <f t="shared" si="34"/>
        <v>35088575371.469017</v>
      </c>
      <c r="S717" s="6">
        <f t="shared" si="35"/>
        <v>0</v>
      </c>
    </row>
    <row r="718" spans="16:19" x14ac:dyDescent="0.2">
      <c r="P718" s="93">
        <v>3560</v>
      </c>
      <c r="Q718" s="6">
        <f t="shared" si="33"/>
        <v>0</v>
      </c>
      <c r="R718" s="6">
        <f t="shared" si="34"/>
        <v>35137010188.692574</v>
      </c>
      <c r="S718" s="6">
        <f t="shared" si="35"/>
        <v>0</v>
      </c>
    </row>
    <row r="719" spans="16:19" x14ac:dyDescent="0.2">
      <c r="P719" s="93">
        <v>3565</v>
      </c>
      <c r="Q719" s="6">
        <f t="shared" si="33"/>
        <v>0</v>
      </c>
      <c r="R719" s="6">
        <f t="shared" si="34"/>
        <v>35185409720.070618</v>
      </c>
      <c r="S719" s="6">
        <f t="shared" si="35"/>
        <v>0</v>
      </c>
    </row>
    <row r="720" spans="16:19" x14ac:dyDescent="0.2">
      <c r="P720" s="93">
        <v>3570</v>
      </c>
      <c r="Q720" s="6">
        <f t="shared" si="33"/>
        <v>0</v>
      </c>
      <c r="R720" s="6">
        <f t="shared" si="34"/>
        <v>35233773994.059265</v>
      </c>
      <c r="S720" s="6">
        <f t="shared" si="35"/>
        <v>0</v>
      </c>
    </row>
    <row r="721" spans="16:19" x14ac:dyDescent="0.2">
      <c r="P721" s="93">
        <v>3575</v>
      </c>
      <c r="Q721" s="6">
        <f t="shared" si="33"/>
        <v>0</v>
      </c>
      <c r="R721" s="6">
        <f t="shared" si="34"/>
        <v>35282103039.18013</v>
      </c>
      <c r="S721" s="6">
        <f t="shared" si="35"/>
        <v>0</v>
      </c>
    </row>
    <row r="722" spans="16:19" x14ac:dyDescent="0.2">
      <c r="P722" s="93">
        <v>3580</v>
      </c>
      <c r="Q722" s="6">
        <f t="shared" si="33"/>
        <v>0</v>
      </c>
      <c r="R722" s="6">
        <f t="shared" si="34"/>
        <v>35330396884.019257</v>
      </c>
      <c r="S722" s="6">
        <f t="shared" si="35"/>
        <v>0</v>
      </c>
    </row>
    <row r="723" spans="16:19" x14ac:dyDescent="0.2">
      <c r="P723" s="93">
        <v>3585</v>
      </c>
      <c r="Q723" s="6">
        <f t="shared" si="33"/>
        <v>0</v>
      </c>
      <c r="R723" s="6">
        <f t="shared" si="34"/>
        <v>35378655557.226318</v>
      </c>
      <c r="S723" s="6">
        <f t="shared" si="35"/>
        <v>0</v>
      </c>
    </row>
    <row r="724" spans="16:19" x14ac:dyDescent="0.2">
      <c r="P724" s="93">
        <v>3590</v>
      </c>
      <c r="Q724" s="6">
        <f t="shared" si="33"/>
        <v>0</v>
      </c>
      <c r="R724" s="6">
        <f t="shared" si="34"/>
        <v>35426879087.513573</v>
      </c>
      <c r="S724" s="6">
        <f t="shared" si="35"/>
        <v>0</v>
      </c>
    </row>
    <row r="725" spans="16:19" x14ac:dyDescent="0.2">
      <c r="P725" s="93">
        <v>3595</v>
      </c>
      <c r="Q725" s="6">
        <f t="shared" si="33"/>
        <v>0</v>
      </c>
      <c r="R725" s="6">
        <f t="shared" si="34"/>
        <v>35475067503.654991</v>
      </c>
      <c r="S725" s="6">
        <f t="shared" si="35"/>
        <v>0</v>
      </c>
    </row>
    <row r="726" spans="16:19" x14ac:dyDescent="0.2">
      <c r="P726" s="93">
        <v>3600</v>
      </c>
      <c r="Q726" s="6">
        <f t="shared" si="33"/>
        <v>0</v>
      </c>
      <c r="R726" s="6">
        <f t="shared" si="34"/>
        <v>35523220834.485291</v>
      </c>
      <c r="S726" s="6">
        <f t="shared" si="35"/>
        <v>0</v>
      </c>
    </row>
    <row r="727" spans="16:19" x14ac:dyDescent="0.2">
      <c r="P727" s="93">
        <v>3605</v>
      </c>
      <c r="Q727" s="6">
        <f t="shared" si="33"/>
        <v>0</v>
      </c>
      <c r="R727" s="6">
        <f t="shared" si="34"/>
        <v>35571339108.89901</v>
      </c>
      <c r="S727" s="6">
        <f t="shared" si="35"/>
        <v>0</v>
      </c>
    </row>
    <row r="728" spans="16:19" x14ac:dyDescent="0.2">
      <c r="P728" s="93">
        <v>3610</v>
      </c>
      <c r="Q728" s="6">
        <f t="shared" si="33"/>
        <v>0</v>
      </c>
      <c r="R728" s="6">
        <f t="shared" si="34"/>
        <v>35619422355.849655</v>
      </c>
      <c r="S728" s="6">
        <f t="shared" si="35"/>
        <v>0</v>
      </c>
    </row>
    <row r="729" spans="16:19" x14ac:dyDescent="0.2">
      <c r="P729" s="93">
        <v>3615</v>
      </c>
      <c r="Q729" s="6">
        <f t="shared" si="33"/>
        <v>0</v>
      </c>
      <c r="R729" s="6">
        <f t="shared" si="34"/>
        <v>35667470604.348747</v>
      </c>
      <c r="S729" s="6">
        <f t="shared" si="35"/>
        <v>0</v>
      </c>
    </row>
    <row r="730" spans="16:19" x14ac:dyDescent="0.2">
      <c r="P730" s="93">
        <v>3620</v>
      </c>
      <c r="Q730" s="6">
        <f t="shared" si="33"/>
        <v>0</v>
      </c>
      <c r="R730" s="6">
        <f t="shared" si="34"/>
        <v>35715483883.464951</v>
      </c>
      <c r="S730" s="6">
        <f t="shared" si="35"/>
        <v>0</v>
      </c>
    </row>
    <row r="731" spans="16:19" x14ac:dyDescent="0.2">
      <c r="P731" s="93">
        <v>3625</v>
      </c>
      <c r="Q731" s="6">
        <f t="shared" si="33"/>
        <v>0</v>
      </c>
      <c r="R731" s="6">
        <f t="shared" si="34"/>
        <v>35763462222.323219</v>
      </c>
      <c r="S731" s="6">
        <f t="shared" si="35"/>
        <v>0</v>
      </c>
    </row>
    <row r="732" spans="16:19" x14ac:dyDescent="0.2">
      <c r="P732" s="93">
        <v>3630</v>
      </c>
      <c r="Q732" s="6">
        <f t="shared" si="33"/>
        <v>0</v>
      </c>
      <c r="R732" s="6">
        <f t="shared" si="34"/>
        <v>35811405650.103851</v>
      </c>
      <c r="S732" s="6">
        <f t="shared" si="35"/>
        <v>0</v>
      </c>
    </row>
    <row r="733" spans="16:19" x14ac:dyDescent="0.2">
      <c r="P733" s="93">
        <v>3635</v>
      </c>
      <c r="Q733" s="6">
        <f t="shared" si="33"/>
        <v>0</v>
      </c>
      <c r="R733" s="6">
        <f t="shared" si="34"/>
        <v>35859314196.041695</v>
      </c>
      <c r="S733" s="6">
        <f t="shared" si="35"/>
        <v>0</v>
      </c>
    </row>
    <row r="734" spans="16:19" x14ac:dyDescent="0.2">
      <c r="P734" s="93">
        <v>3640</v>
      </c>
      <c r="Q734" s="6">
        <f t="shared" si="33"/>
        <v>0</v>
      </c>
      <c r="R734" s="6">
        <f t="shared" si="34"/>
        <v>35907187889.425224</v>
      </c>
      <c r="S734" s="6">
        <f t="shared" si="35"/>
        <v>0</v>
      </c>
    </row>
    <row r="735" spans="16:19" x14ac:dyDescent="0.2">
      <c r="P735" s="93">
        <v>3645</v>
      </c>
      <c r="Q735" s="6">
        <f t="shared" si="33"/>
        <v>0</v>
      </c>
      <c r="R735" s="6">
        <f t="shared" si="34"/>
        <v>35955026759.595757</v>
      </c>
      <c r="S735" s="6">
        <f t="shared" si="35"/>
        <v>0</v>
      </c>
    </row>
    <row r="736" spans="16:19" x14ac:dyDescent="0.2">
      <c r="P736" s="93">
        <v>3650</v>
      </c>
      <c r="Q736" s="6">
        <f t="shared" si="33"/>
        <v>0</v>
      </c>
      <c r="R736" s="6">
        <f t="shared" si="34"/>
        <v>36002830835.946548</v>
      </c>
      <c r="S736" s="6">
        <f t="shared" si="35"/>
        <v>0</v>
      </c>
    </row>
    <row r="737" spans="16:19" x14ac:dyDescent="0.2">
      <c r="P737" s="93">
        <v>3655</v>
      </c>
      <c r="Q737" s="6">
        <f t="shared" si="33"/>
        <v>0</v>
      </c>
      <c r="R737" s="6">
        <f t="shared" si="34"/>
        <v>36050600147.921997</v>
      </c>
      <c r="S737" s="6">
        <f t="shared" si="35"/>
        <v>0</v>
      </c>
    </row>
    <row r="738" spans="16:19" x14ac:dyDescent="0.2">
      <c r="P738" s="93">
        <v>3660</v>
      </c>
      <c r="Q738" s="6">
        <f t="shared" si="33"/>
        <v>0</v>
      </c>
      <c r="R738" s="6">
        <f t="shared" si="34"/>
        <v>36098334725.016792</v>
      </c>
      <c r="S738" s="6">
        <f t="shared" si="35"/>
        <v>0</v>
      </c>
    </row>
    <row r="739" spans="16:19" x14ac:dyDescent="0.2">
      <c r="P739" s="93">
        <v>3665</v>
      </c>
      <c r="Q739" s="6">
        <f t="shared" si="33"/>
        <v>0</v>
      </c>
      <c r="R739" s="6">
        <f t="shared" si="34"/>
        <v>36146034596.775116</v>
      </c>
      <c r="S739" s="6">
        <f t="shared" si="35"/>
        <v>0</v>
      </c>
    </row>
    <row r="740" spans="16:19" x14ac:dyDescent="0.2">
      <c r="P740" s="93">
        <v>3670</v>
      </c>
      <c r="Q740" s="6">
        <f t="shared" si="33"/>
        <v>0</v>
      </c>
      <c r="R740" s="6">
        <f t="shared" si="34"/>
        <v>36193699792.789787</v>
      </c>
      <c r="S740" s="6">
        <f t="shared" si="35"/>
        <v>0</v>
      </c>
    </row>
    <row r="741" spans="16:19" x14ac:dyDescent="0.2">
      <c r="P741" s="93">
        <v>3675</v>
      </c>
      <c r="Q741" s="6">
        <f t="shared" si="33"/>
        <v>0</v>
      </c>
      <c r="R741" s="6">
        <f t="shared" si="34"/>
        <v>36241330342.701515</v>
      </c>
      <c r="S741" s="6">
        <f t="shared" si="35"/>
        <v>0</v>
      </c>
    </row>
    <row r="742" spans="16:19" x14ac:dyDescent="0.2">
      <c r="P742" s="93">
        <v>3680</v>
      </c>
      <c r="Q742" s="6">
        <f t="shared" si="33"/>
        <v>0</v>
      </c>
      <c r="R742" s="6">
        <f t="shared" si="34"/>
        <v>36288926276.198074</v>
      </c>
      <c r="S742" s="6">
        <f t="shared" si="35"/>
        <v>0</v>
      </c>
    </row>
    <row r="743" spans="16:19" x14ac:dyDescent="0.2">
      <c r="P743" s="93">
        <v>3685</v>
      </c>
      <c r="Q743" s="6">
        <f t="shared" si="33"/>
        <v>0</v>
      </c>
      <c r="R743" s="6">
        <f t="shared" si="34"/>
        <v>36336487623.013496</v>
      </c>
      <c r="S743" s="6">
        <f t="shared" si="35"/>
        <v>0</v>
      </c>
    </row>
    <row r="744" spans="16:19" x14ac:dyDescent="0.2">
      <c r="P744" s="93">
        <v>3690</v>
      </c>
      <c r="Q744" s="6">
        <f t="shared" si="33"/>
        <v>0</v>
      </c>
      <c r="R744" s="6">
        <f t="shared" si="34"/>
        <v>36384014412.927299</v>
      </c>
      <c r="S744" s="6">
        <f t="shared" si="35"/>
        <v>0</v>
      </c>
    </row>
    <row r="745" spans="16:19" x14ac:dyDescent="0.2">
      <c r="P745" s="93">
        <v>3695</v>
      </c>
      <c r="Q745" s="6">
        <f t="shared" si="33"/>
        <v>0</v>
      </c>
      <c r="R745" s="6">
        <f t="shared" si="34"/>
        <v>36431506675.763718</v>
      </c>
      <c r="S745" s="6">
        <f t="shared" si="35"/>
        <v>0</v>
      </c>
    </row>
    <row r="746" spans="16:19" x14ac:dyDescent="0.2">
      <c r="P746" s="93">
        <v>3700</v>
      </c>
      <c r="Q746" s="6">
        <f t="shared" si="33"/>
        <v>0</v>
      </c>
      <c r="R746" s="6">
        <f t="shared" si="34"/>
        <v>36478964441.390961</v>
      </c>
      <c r="S746" s="6">
        <f t="shared" si="35"/>
        <v>0</v>
      </c>
    </row>
    <row r="747" spans="16:19" x14ac:dyDescent="0.2">
      <c r="P747" s="93">
        <v>3705</v>
      </c>
      <c r="Q747" s="6">
        <f t="shared" si="33"/>
        <v>0</v>
      </c>
      <c r="R747" s="6">
        <f t="shared" si="34"/>
        <v>36526387739.720367</v>
      </c>
      <c r="S747" s="6">
        <f t="shared" si="35"/>
        <v>0</v>
      </c>
    </row>
    <row r="748" spans="16:19" x14ac:dyDescent="0.2">
      <c r="P748" s="93">
        <v>3710</v>
      </c>
      <c r="Q748" s="6">
        <f t="shared" si="33"/>
        <v>0</v>
      </c>
      <c r="R748" s="6">
        <f t="shared" si="34"/>
        <v>36573776600.70575</v>
      </c>
      <c r="S748" s="6">
        <f t="shared" si="35"/>
        <v>0</v>
      </c>
    </row>
    <row r="749" spans="16:19" x14ac:dyDescent="0.2">
      <c r="P749" s="93">
        <v>3715</v>
      </c>
      <c r="Q749" s="6">
        <f t="shared" si="33"/>
        <v>0</v>
      </c>
      <c r="R749" s="6">
        <f t="shared" si="34"/>
        <v>36621131054.342583</v>
      </c>
      <c r="S749" s="6">
        <f t="shared" si="35"/>
        <v>0</v>
      </c>
    </row>
    <row r="750" spans="16:19" x14ac:dyDescent="0.2">
      <c r="P750" s="93">
        <v>3720</v>
      </c>
      <c r="Q750" s="6">
        <f t="shared" si="33"/>
        <v>0</v>
      </c>
      <c r="R750" s="6">
        <f t="shared" si="34"/>
        <v>36668451130.667259</v>
      </c>
      <c r="S750" s="6">
        <f t="shared" si="35"/>
        <v>0</v>
      </c>
    </row>
    <row r="751" spans="16:19" x14ac:dyDescent="0.2">
      <c r="P751" s="93">
        <v>3725</v>
      </c>
      <c r="Q751" s="6">
        <f t="shared" si="33"/>
        <v>0</v>
      </c>
      <c r="R751" s="6">
        <f t="shared" si="34"/>
        <v>36715736859.756393</v>
      </c>
      <c r="S751" s="6">
        <f t="shared" si="35"/>
        <v>0</v>
      </c>
    </row>
    <row r="752" spans="16:19" x14ac:dyDescent="0.2">
      <c r="P752" s="93">
        <v>3730</v>
      </c>
      <c r="Q752" s="6">
        <f t="shared" si="33"/>
        <v>0</v>
      </c>
      <c r="R752" s="6">
        <f t="shared" si="34"/>
        <v>36762988271.72612</v>
      </c>
      <c r="S752" s="6">
        <f t="shared" si="35"/>
        <v>0</v>
      </c>
    </row>
    <row r="753" spans="16:19" x14ac:dyDescent="0.2">
      <c r="P753" s="93">
        <v>3735</v>
      </c>
      <c r="Q753" s="6">
        <f t="shared" si="33"/>
        <v>0</v>
      </c>
      <c r="R753" s="6">
        <f t="shared" si="34"/>
        <v>36810205396.731247</v>
      </c>
      <c r="S753" s="6">
        <f t="shared" si="35"/>
        <v>0</v>
      </c>
    </row>
    <row r="754" spans="16:19" x14ac:dyDescent="0.2">
      <c r="P754" s="93">
        <v>3740</v>
      </c>
      <c r="Q754" s="6">
        <f t="shared" si="33"/>
        <v>0</v>
      </c>
      <c r="R754" s="6">
        <f t="shared" si="34"/>
        <v>36857388264.964668</v>
      </c>
      <c r="S754" s="6">
        <f t="shared" si="35"/>
        <v>0</v>
      </c>
    </row>
    <row r="755" spans="16:19" x14ac:dyDescent="0.2">
      <c r="P755" s="93">
        <v>3745</v>
      </c>
      <c r="Q755" s="6">
        <f t="shared" si="33"/>
        <v>0</v>
      </c>
      <c r="R755" s="6">
        <f t="shared" si="34"/>
        <v>36904536906.656639</v>
      </c>
      <c r="S755" s="6">
        <f t="shared" si="35"/>
        <v>0</v>
      </c>
    </row>
    <row r="756" spans="16:19" x14ac:dyDescent="0.2">
      <c r="P756" s="93">
        <v>3750</v>
      </c>
      <c r="Q756" s="6">
        <f t="shared" si="33"/>
        <v>0</v>
      </c>
      <c r="R756" s="6">
        <f t="shared" si="34"/>
        <v>36951651352.074005</v>
      </c>
      <c r="S756" s="6">
        <f t="shared" si="35"/>
        <v>0</v>
      </c>
    </row>
    <row r="757" spans="16:19" x14ac:dyDescent="0.2">
      <c r="P757" s="93">
        <v>3755</v>
      </c>
      <c r="Q757" s="6">
        <f t="shared" si="33"/>
        <v>0</v>
      </c>
      <c r="R757" s="6">
        <f t="shared" si="34"/>
        <v>36998731631.519547</v>
      </c>
      <c r="S757" s="6">
        <f t="shared" si="35"/>
        <v>0</v>
      </c>
    </row>
    <row r="758" spans="16:19" x14ac:dyDescent="0.2">
      <c r="P758" s="93">
        <v>3760</v>
      </c>
      <c r="Q758" s="6">
        <f t="shared" si="33"/>
        <v>0</v>
      </c>
      <c r="R758" s="6">
        <f t="shared" si="34"/>
        <v>37045777775.331337</v>
      </c>
      <c r="S758" s="6">
        <f t="shared" si="35"/>
        <v>0</v>
      </c>
    </row>
    <row r="759" spans="16:19" x14ac:dyDescent="0.2">
      <c r="P759" s="93">
        <v>3765</v>
      </c>
      <c r="Q759" s="6">
        <f t="shared" si="33"/>
        <v>0</v>
      </c>
      <c r="R759" s="6">
        <f t="shared" si="34"/>
        <v>37092789813.882004</v>
      </c>
      <c r="S759" s="6">
        <f t="shared" si="35"/>
        <v>0</v>
      </c>
    </row>
    <row r="760" spans="16:19" x14ac:dyDescent="0.2">
      <c r="P760" s="93">
        <v>3770</v>
      </c>
      <c r="Q760" s="6">
        <f t="shared" si="33"/>
        <v>0</v>
      </c>
      <c r="R760" s="6">
        <f t="shared" si="34"/>
        <v>37139767777.578033</v>
      </c>
      <c r="S760" s="6">
        <f t="shared" si="35"/>
        <v>0</v>
      </c>
    </row>
    <row r="761" spans="16:19" x14ac:dyDescent="0.2">
      <c r="P761" s="93">
        <v>3775</v>
      </c>
      <c r="Q761" s="6">
        <f t="shared" si="33"/>
        <v>0</v>
      </c>
      <c r="R761" s="6">
        <f t="shared" si="34"/>
        <v>37186711696.8592</v>
      </c>
      <c r="S761" s="6">
        <f t="shared" si="35"/>
        <v>0</v>
      </c>
    </row>
    <row r="762" spans="16:19" x14ac:dyDescent="0.2">
      <c r="P762" s="93">
        <v>3780</v>
      </c>
      <c r="Q762" s="6">
        <f t="shared" si="33"/>
        <v>0</v>
      </c>
      <c r="R762" s="6">
        <f t="shared" si="34"/>
        <v>37233621602.197769</v>
      </c>
      <c r="S762" s="6">
        <f t="shared" si="35"/>
        <v>0</v>
      </c>
    </row>
    <row r="763" spans="16:19" x14ac:dyDescent="0.2">
      <c r="P763" s="93">
        <v>3785</v>
      </c>
      <c r="Q763" s="6">
        <f t="shared" si="33"/>
        <v>0</v>
      </c>
      <c r="R763" s="6">
        <f t="shared" si="34"/>
        <v>37280497524.097984</v>
      </c>
      <c r="S763" s="6">
        <f t="shared" si="35"/>
        <v>0</v>
      </c>
    </row>
    <row r="764" spans="16:19" x14ac:dyDescent="0.2">
      <c r="P764" s="93">
        <v>3790</v>
      </c>
      <c r="Q764" s="6">
        <f t="shared" si="33"/>
        <v>0</v>
      </c>
      <c r="R764" s="6">
        <f t="shared" si="34"/>
        <v>37327339493.095291</v>
      </c>
      <c r="S764" s="6">
        <f t="shared" si="35"/>
        <v>0</v>
      </c>
    </row>
    <row r="765" spans="16:19" x14ac:dyDescent="0.2">
      <c r="P765" s="93">
        <v>3795</v>
      </c>
      <c r="Q765" s="6">
        <f t="shared" si="33"/>
        <v>0</v>
      </c>
      <c r="R765" s="6">
        <f t="shared" si="34"/>
        <v>37374147539.75576</v>
      </c>
      <c r="S765" s="6">
        <f t="shared" si="35"/>
        <v>0</v>
      </c>
    </row>
    <row r="766" spans="16:19" x14ac:dyDescent="0.2">
      <c r="P766" s="93">
        <v>3800</v>
      </c>
      <c r="Q766" s="6">
        <f t="shared" si="33"/>
        <v>0</v>
      </c>
      <c r="R766" s="6">
        <f t="shared" si="34"/>
        <v>37420921694.67543</v>
      </c>
      <c r="S766" s="6">
        <f t="shared" si="35"/>
        <v>0</v>
      </c>
    </row>
    <row r="767" spans="16:19" x14ac:dyDescent="0.2">
      <c r="P767" s="93">
        <v>3805</v>
      </c>
      <c r="Q767" s="6">
        <f t="shared" si="33"/>
        <v>0</v>
      </c>
      <c r="R767" s="6">
        <f t="shared" si="34"/>
        <v>37467661988.479683</v>
      </c>
      <c r="S767" s="6">
        <f t="shared" si="35"/>
        <v>0</v>
      </c>
    </row>
    <row r="768" spans="16:19" x14ac:dyDescent="0.2">
      <c r="P768" s="93">
        <v>3810</v>
      </c>
      <c r="Q768" s="6">
        <f t="shared" si="33"/>
        <v>0</v>
      </c>
      <c r="R768" s="6">
        <f t="shared" si="34"/>
        <v>37514368451.822639</v>
      </c>
      <c r="S768" s="6">
        <f t="shared" si="35"/>
        <v>0</v>
      </c>
    </row>
    <row r="769" spans="16:19" x14ac:dyDescent="0.2">
      <c r="P769" s="93">
        <v>3815</v>
      </c>
      <c r="Q769" s="6">
        <f t="shared" si="33"/>
        <v>0</v>
      </c>
      <c r="R769" s="6">
        <f t="shared" si="34"/>
        <v>37561041115.386444</v>
      </c>
      <c r="S769" s="6">
        <f t="shared" si="35"/>
        <v>0</v>
      </c>
    </row>
    <row r="770" spans="16:19" x14ac:dyDescent="0.2">
      <c r="P770" s="93">
        <v>3820</v>
      </c>
      <c r="Q770" s="6">
        <f t="shared" si="33"/>
        <v>0</v>
      </c>
      <c r="R770" s="6">
        <f t="shared" si="34"/>
        <v>37607680009.880791</v>
      </c>
      <c r="S770" s="6">
        <f t="shared" si="35"/>
        <v>0</v>
      </c>
    </row>
    <row r="771" spans="16:19" x14ac:dyDescent="0.2">
      <c r="P771" s="93">
        <v>3825</v>
      </c>
      <c r="Q771" s="6">
        <f t="shared" si="33"/>
        <v>0</v>
      </c>
      <c r="R771" s="6">
        <f t="shared" si="34"/>
        <v>37654285166.042175</v>
      </c>
      <c r="S771" s="6">
        <f t="shared" si="35"/>
        <v>0</v>
      </c>
    </row>
    <row r="772" spans="16:19" x14ac:dyDescent="0.2">
      <c r="P772" s="93">
        <v>3830</v>
      </c>
      <c r="Q772" s="6">
        <f t="shared" si="33"/>
        <v>0</v>
      </c>
      <c r="R772" s="6">
        <f t="shared" si="34"/>
        <v>37700856614.633392</v>
      </c>
      <c r="S772" s="6">
        <f t="shared" si="35"/>
        <v>0</v>
      </c>
    </row>
    <row r="773" spans="16:19" x14ac:dyDescent="0.2">
      <c r="P773" s="93">
        <v>3835</v>
      </c>
      <c r="Q773" s="6">
        <f t="shared" si="33"/>
        <v>0</v>
      </c>
      <c r="R773" s="6">
        <f t="shared" si="34"/>
        <v>37747394386.442871</v>
      </c>
      <c r="S773" s="6">
        <f t="shared" si="35"/>
        <v>0</v>
      </c>
    </row>
    <row r="774" spans="16:19" x14ac:dyDescent="0.2">
      <c r="P774" s="93">
        <v>3840</v>
      </c>
      <c r="Q774" s="6">
        <f t="shared" ref="Q774:Q800" si="36">2*SQRT(P774/(PI()*($G$4)^3))*EXP((-P774)/(2*$G$4))</f>
        <v>0</v>
      </c>
      <c r="R774" s="6">
        <f t="shared" ref="R774:R800" si="37">(EXP(-(31.29*$B$9*$C$9*(SQRT($B$11/P774)))))*$R$4</f>
        <v>37793898512.284172</v>
      </c>
      <c r="S774" s="6">
        <f t="shared" ref="S774:S800" si="38">$S$4*(2*SQRT(P774/(PI()*($G$4)^3))*EXP((-(P774)/($G$4))-SQRT(($Q$4*1000)/P774)))</f>
        <v>0</v>
      </c>
    </row>
    <row r="775" spans="16:19" x14ac:dyDescent="0.2">
      <c r="P775" s="93">
        <v>3845</v>
      </c>
      <c r="Q775" s="6">
        <f t="shared" si="36"/>
        <v>0</v>
      </c>
      <c r="R775" s="6">
        <f t="shared" si="37"/>
        <v>37840369022.995247</v>
      </c>
      <c r="S775" s="6">
        <f t="shared" si="38"/>
        <v>0</v>
      </c>
    </row>
    <row r="776" spans="16:19" x14ac:dyDescent="0.2">
      <c r="P776" s="93">
        <v>3850</v>
      </c>
      <c r="Q776" s="6">
        <f t="shared" si="36"/>
        <v>0</v>
      </c>
      <c r="R776" s="6">
        <f t="shared" si="37"/>
        <v>37886805949.438034</v>
      </c>
      <c r="S776" s="6">
        <f t="shared" si="38"/>
        <v>0</v>
      </c>
    </row>
    <row r="777" spans="16:19" x14ac:dyDescent="0.2">
      <c r="P777" s="93">
        <v>3855</v>
      </c>
      <c r="Q777" s="6">
        <f t="shared" si="36"/>
        <v>0</v>
      </c>
      <c r="R777" s="6">
        <f t="shared" si="37"/>
        <v>37933209322.497734</v>
      </c>
      <c r="S777" s="6">
        <f t="shared" si="38"/>
        <v>0</v>
      </c>
    </row>
    <row r="778" spans="16:19" x14ac:dyDescent="0.2">
      <c r="P778" s="93">
        <v>3860</v>
      </c>
      <c r="Q778" s="6">
        <f t="shared" si="36"/>
        <v>0</v>
      </c>
      <c r="R778" s="6">
        <f t="shared" si="37"/>
        <v>37979579173.082329</v>
      </c>
      <c r="S778" s="6">
        <f t="shared" si="38"/>
        <v>0</v>
      </c>
    </row>
    <row r="779" spans="16:19" x14ac:dyDescent="0.2">
      <c r="P779" s="93">
        <v>3865</v>
      </c>
      <c r="Q779" s="6">
        <f t="shared" si="36"/>
        <v>0</v>
      </c>
      <c r="R779" s="6">
        <f t="shared" si="37"/>
        <v>38025915532.121994</v>
      </c>
      <c r="S779" s="6">
        <f t="shared" si="38"/>
        <v>0</v>
      </c>
    </row>
    <row r="780" spans="16:19" x14ac:dyDescent="0.2">
      <c r="P780" s="93">
        <v>3870</v>
      </c>
      <c r="Q780" s="6">
        <f t="shared" si="36"/>
        <v>0</v>
      </c>
      <c r="R780" s="6">
        <f t="shared" si="37"/>
        <v>38072218430.568504</v>
      </c>
      <c r="S780" s="6">
        <f t="shared" si="38"/>
        <v>0</v>
      </c>
    </row>
    <row r="781" spans="16:19" x14ac:dyDescent="0.2">
      <c r="P781" s="93">
        <v>3875</v>
      </c>
      <c r="Q781" s="6">
        <f t="shared" si="36"/>
        <v>0</v>
      </c>
      <c r="R781" s="6">
        <f t="shared" si="37"/>
        <v>38118487899.394722</v>
      </c>
      <c r="S781" s="6">
        <f t="shared" si="38"/>
        <v>0</v>
      </c>
    </row>
    <row r="782" spans="16:19" x14ac:dyDescent="0.2">
      <c r="P782" s="93">
        <v>3880</v>
      </c>
      <c r="Q782" s="6">
        <f t="shared" si="36"/>
        <v>0</v>
      </c>
      <c r="R782" s="6">
        <f t="shared" si="37"/>
        <v>38164723969.594048</v>
      </c>
      <c r="S782" s="6">
        <f t="shared" si="38"/>
        <v>0</v>
      </c>
    </row>
    <row r="783" spans="16:19" x14ac:dyDescent="0.2">
      <c r="P783" s="93">
        <v>3885</v>
      </c>
      <c r="Q783" s="6">
        <f t="shared" si="36"/>
        <v>0</v>
      </c>
      <c r="R783" s="6">
        <f t="shared" si="37"/>
        <v>38210926672.179832</v>
      </c>
      <c r="S783" s="6">
        <f t="shared" si="38"/>
        <v>0</v>
      </c>
    </row>
    <row r="784" spans="16:19" x14ac:dyDescent="0.2">
      <c r="P784" s="93">
        <v>3890</v>
      </c>
      <c r="Q784" s="6">
        <f t="shared" si="36"/>
        <v>0</v>
      </c>
      <c r="R784" s="6">
        <f t="shared" si="37"/>
        <v>38257096038.184868</v>
      </c>
      <c r="S784" s="6">
        <f t="shared" si="38"/>
        <v>0</v>
      </c>
    </row>
    <row r="785" spans="16:19" x14ac:dyDescent="0.2">
      <c r="P785" s="93">
        <v>3895</v>
      </c>
      <c r="Q785" s="6">
        <f t="shared" si="36"/>
        <v>0</v>
      </c>
      <c r="R785" s="6">
        <f t="shared" si="37"/>
        <v>38303232098.660881</v>
      </c>
      <c r="S785" s="6">
        <f t="shared" si="38"/>
        <v>0</v>
      </c>
    </row>
    <row r="786" spans="16:19" x14ac:dyDescent="0.2">
      <c r="P786" s="93">
        <v>3900</v>
      </c>
      <c r="Q786" s="6">
        <f t="shared" si="36"/>
        <v>0</v>
      </c>
      <c r="R786" s="6">
        <f t="shared" si="37"/>
        <v>38349334884.677895</v>
      </c>
      <c r="S786" s="6">
        <f t="shared" si="38"/>
        <v>0</v>
      </c>
    </row>
    <row r="787" spans="16:19" x14ac:dyDescent="0.2">
      <c r="P787" s="93">
        <v>3905</v>
      </c>
      <c r="Q787" s="6">
        <f t="shared" si="36"/>
        <v>0</v>
      </c>
      <c r="R787" s="6">
        <f t="shared" si="37"/>
        <v>38395404427.323853</v>
      </c>
      <c r="S787" s="6">
        <f t="shared" si="38"/>
        <v>0</v>
      </c>
    </row>
    <row r="788" spans="16:19" x14ac:dyDescent="0.2">
      <c r="P788" s="93">
        <v>3910</v>
      </c>
      <c r="Q788" s="6">
        <f t="shared" si="36"/>
        <v>0</v>
      </c>
      <c r="R788" s="6">
        <f t="shared" si="37"/>
        <v>38441440757.703995</v>
      </c>
      <c r="S788" s="6">
        <f t="shared" si="38"/>
        <v>0</v>
      </c>
    </row>
    <row r="789" spans="16:19" x14ac:dyDescent="0.2">
      <c r="P789" s="93">
        <v>3915</v>
      </c>
      <c r="Q789" s="6">
        <f t="shared" si="36"/>
        <v>0</v>
      </c>
      <c r="R789" s="6">
        <f t="shared" si="37"/>
        <v>38487443906.940384</v>
      </c>
      <c r="S789" s="6">
        <f t="shared" si="38"/>
        <v>0</v>
      </c>
    </row>
    <row r="790" spans="16:19" x14ac:dyDescent="0.2">
      <c r="P790" s="93">
        <v>3920</v>
      </c>
      <c r="Q790" s="6">
        <f t="shared" si="36"/>
        <v>0</v>
      </c>
      <c r="R790" s="6">
        <f t="shared" si="37"/>
        <v>38533413906.171364</v>
      </c>
      <c r="S790" s="6">
        <f t="shared" si="38"/>
        <v>0</v>
      </c>
    </row>
    <row r="791" spans="16:19" x14ac:dyDescent="0.2">
      <c r="P791" s="93">
        <v>3925</v>
      </c>
      <c r="Q791" s="6">
        <f t="shared" si="36"/>
        <v>0</v>
      </c>
      <c r="R791" s="6">
        <f t="shared" si="37"/>
        <v>38579350786.551086</v>
      </c>
      <c r="S791" s="6">
        <f t="shared" si="38"/>
        <v>0</v>
      </c>
    </row>
    <row r="792" spans="16:19" x14ac:dyDescent="0.2">
      <c r="P792" s="93">
        <v>3930</v>
      </c>
      <c r="Q792" s="6">
        <f t="shared" si="36"/>
        <v>0</v>
      </c>
      <c r="R792" s="6">
        <f t="shared" si="37"/>
        <v>38625254579.249008</v>
      </c>
      <c r="S792" s="6">
        <f t="shared" si="38"/>
        <v>0</v>
      </c>
    </row>
    <row r="793" spans="16:19" x14ac:dyDescent="0.2">
      <c r="P793" s="93">
        <v>3935</v>
      </c>
      <c r="Q793" s="6">
        <f t="shared" si="36"/>
        <v>0</v>
      </c>
      <c r="R793" s="6">
        <f t="shared" si="37"/>
        <v>38671125315.449364</v>
      </c>
      <c r="S793" s="6">
        <f t="shared" si="38"/>
        <v>0</v>
      </c>
    </row>
    <row r="794" spans="16:19" x14ac:dyDescent="0.2">
      <c r="P794" s="93">
        <v>3940</v>
      </c>
      <c r="Q794" s="6">
        <f t="shared" si="36"/>
        <v>0</v>
      </c>
      <c r="R794" s="6">
        <f t="shared" si="37"/>
        <v>38716963026.350716</v>
      </c>
      <c r="S794" s="6">
        <f t="shared" si="38"/>
        <v>0</v>
      </c>
    </row>
    <row r="795" spans="16:19" x14ac:dyDescent="0.2">
      <c r="P795" s="93">
        <v>3945</v>
      </c>
      <c r="Q795" s="6">
        <f t="shared" si="36"/>
        <v>0</v>
      </c>
      <c r="R795" s="6">
        <f t="shared" si="37"/>
        <v>38762767743.165421</v>
      </c>
      <c r="S795" s="6">
        <f t="shared" si="38"/>
        <v>0</v>
      </c>
    </row>
    <row r="796" spans="16:19" x14ac:dyDescent="0.2">
      <c r="P796" s="93">
        <v>3950</v>
      </c>
      <c r="Q796" s="6">
        <f t="shared" si="36"/>
        <v>0</v>
      </c>
      <c r="R796" s="6">
        <f t="shared" si="37"/>
        <v>38808539497.119202</v>
      </c>
      <c r="S796" s="6">
        <f t="shared" si="38"/>
        <v>0</v>
      </c>
    </row>
    <row r="797" spans="16:19" x14ac:dyDescent="0.2">
      <c r="P797" s="93">
        <v>3955</v>
      </c>
      <c r="Q797" s="6">
        <f t="shared" si="36"/>
        <v>0</v>
      </c>
      <c r="R797" s="6">
        <f t="shared" si="37"/>
        <v>38854278319.450638</v>
      </c>
      <c r="S797" s="6">
        <f t="shared" si="38"/>
        <v>0</v>
      </c>
    </row>
    <row r="798" spans="16:19" x14ac:dyDescent="0.2">
      <c r="P798" s="93">
        <v>3960</v>
      </c>
      <c r="Q798" s="6">
        <f t="shared" si="36"/>
        <v>0</v>
      </c>
      <c r="R798" s="6">
        <f t="shared" si="37"/>
        <v>38899984241.410667</v>
      </c>
      <c r="S798" s="6">
        <f t="shared" si="38"/>
        <v>0</v>
      </c>
    </row>
    <row r="799" spans="16:19" x14ac:dyDescent="0.2">
      <c r="P799" s="93">
        <v>3965</v>
      </c>
      <c r="Q799" s="6">
        <f t="shared" si="36"/>
        <v>0</v>
      </c>
      <c r="R799" s="6">
        <f t="shared" si="37"/>
        <v>38945657294.262184</v>
      </c>
      <c r="S799" s="6">
        <f t="shared" si="38"/>
        <v>0</v>
      </c>
    </row>
    <row r="800" spans="16:19" x14ac:dyDescent="0.2">
      <c r="P800" s="93">
        <v>3970</v>
      </c>
      <c r="Q800" s="6">
        <f t="shared" si="36"/>
        <v>0</v>
      </c>
      <c r="R800" s="6">
        <f t="shared" si="37"/>
        <v>38991297509.279503</v>
      </c>
      <c r="S800" s="6">
        <f t="shared" si="38"/>
        <v>0</v>
      </c>
    </row>
  </sheetData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2105"/>
  <sheetViews>
    <sheetView workbookViewId="0">
      <selection activeCell="R7" sqref="R7"/>
    </sheetView>
  </sheetViews>
  <sheetFormatPr defaultColWidth="8.85546875" defaultRowHeight="12.75" x14ac:dyDescent="0.2"/>
  <cols>
    <col min="4" max="4" width="11.28515625" bestFit="1" customWidth="1"/>
    <col min="14" max="14" width="22.28515625" bestFit="1" customWidth="1"/>
    <col min="15" max="15" width="3" bestFit="1" customWidth="1"/>
    <col min="17" max="17" width="14" bestFit="1" customWidth="1"/>
    <col min="18" max="18" width="12" bestFit="1" customWidth="1"/>
    <col min="20" max="22" width="9.140625" style="77" customWidth="1"/>
    <col min="23" max="23" width="8.28515625" style="77" bestFit="1" customWidth="1"/>
    <col min="24" max="24" width="10.140625" style="77" customWidth="1"/>
    <col min="25" max="26" width="9.140625" style="77" customWidth="1"/>
    <col min="29" max="29" width="9.140625" style="14" customWidth="1"/>
    <col min="30" max="30" width="10.7109375" customWidth="1"/>
    <col min="31" max="31" width="9.42578125" customWidth="1"/>
    <col min="32" max="35" width="12" bestFit="1" customWidth="1"/>
    <col min="37" max="38" width="12" bestFit="1" customWidth="1"/>
  </cols>
  <sheetData>
    <row r="1" spans="1:35" ht="25.5" x14ac:dyDescent="0.2">
      <c r="N1" s="13"/>
      <c r="S1" s="43" t="s">
        <v>537</v>
      </c>
      <c r="T1" s="75" t="s">
        <v>201</v>
      </c>
      <c r="U1" s="75" t="s">
        <v>202</v>
      </c>
      <c r="V1" s="75" t="s">
        <v>1666</v>
      </c>
      <c r="W1" s="265" t="s">
        <v>145</v>
      </c>
      <c r="X1" s="265" t="s">
        <v>1668</v>
      </c>
      <c r="Y1" s="75" t="s">
        <v>1667</v>
      </c>
      <c r="Z1" s="265" t="s">
        <v>146</v>
      </c>
      <c r="AA1" s="44" t="s">
        <v>534</v>
      </c>
      <c r="AB1" s="44" t="s">
        <v>535</v>
      </c>
      <c r="AC1" s="2"/>
      <c r="AI1" s="142"/>
    </row>
    <row r="2" spans="1:35" x14ac:dyDescent="0.2">
      <c r="D2" s="1" t="s">
        <v>316</v>
      </c>
      <c r="E2" s="1" t="str">
        <f>Reaction!C34</f>
        <v>Au</v>
      </c>
      <c r="G2" s="1" t="s">
        <v>317</v>
      </c>
      <c r="H2" s="1" t="str">
        <f>Reaction!C36</f>
        <v>Li</v>
      </c>
      <c r="N2" s="59" t="s">
        <v>300</v>
      </c>
      <c r="S2" s="45">
        <v>1</v>
      </c>
      <c r="T2" s="76">
        <f t="shared" ref="T2:T33" ca="1" si="0">AA2-180*(-1+SIGN(AA2))/2</f>
        <v>0.49999999999999989</v>
      </c>
      <c r="U2" s="76">
        <f t="shared" ref="U2:U33" ca="1" si="1">AB2-180*(-1+SIGN(AB2))/2</f>
        <v>178.96315997696095</v>
      </c>
      <c r="V2" s="78">
        <f t="shared" ref="V2:V33" ca="1" si="2">(($R$10*SIN(RADIANS(S2))/SIN(RADIANS(AA2)))^2)/(2*$O$8)</f>
        <v>0.31808419511195646</v>
      </c>
      <c r="W2" s="78">
        <f ca="1">(Target!$D$10/COS(T2*(2*PI()/360)))</f>
        <v>2.0714371671808545E-2</v>
      </c>
      <c r="X2" s="78">
        <f ca="1">AH2</f>
        <v>0.31643993355927602</v>
      </c>
      <c r="Y2" s="78">
        <f t="shared" ref="Y2:Y33" ca="1" si="3">(($R$10*SIN(RADIANS(S2))/SIN(RADIANS(AB2)))^2)/(2*$O$9)</f>
        <v>2.081915804888042</v>
      </c>
      <c r="Z2" s="78">
        <f ca="1">(Target!$D$10/COS(U2*(2*PI()/360)))</f>
        <v>-2.0716974985836644E-2</v>
      </c>
      <c r="AA2" s="46">
        <f t="shared" ref="AA2:AA33" ca="1" si="4">DEGREES(ATAN(SIN(RADIANS(S2))/($R$11/$R$10+COS(RADIANS(S2)))))</f>
        <v>0.49999999999999989</v>
      </c>
      <c r="AB2" s="46">
        <f t="shared" ref="AB2:AB33" ca="1" si="5">DEGREES(ATAN(SIN(RADIANS(S2))/($R$11/$R$12-COS(RADIANS(S2)))))</f>
        <v>-1.0368400230390575</v>
      </c>
      <c r="AC2" s="2"/>
      <c r="AD2" s="272">
        <f t="shared" ref="AD2:AD10" ca="1" si="6">V2</f>
        <v>0.31808419511195646</v>
      </c>
      <c r="AE2" s="273">
        <f t="shared" ref="AE2:AE10" ca="1" si="7">W2</f>
        <v>2.0714371671808545E-2</v>
      </c>
      <c r="AF2" s="416">
        <f ca="1">MATCH(AD2,'SRIM Data'!$EH$9:$EH$140,1)-9</f>
        <v>31</v>
      </c>
      <c r="AG2" s="279"/>
      <c r="AH2" s="276">
        <f ca="1">AF11-AI2*(AF11-AF10)</f>
        <v>0.31643993355927602</v>
      </c>
      <c r="AI2" s="277">
        <f ca="1">(AG11-AG7)/(AG11-AG10)</f>
        <v>-15.643993355927584</v>
      </c>
    </row>
    <row r="3" spans="1:35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3" t="s">
        <v>200</v>
      </c>
      <c r="S3" s="45">
        <v>2</v>
      </c>
      <c r="T3" s="76">
        <f t="shared" ca="1" si="0"/>
        <v>0.99999999999999978</v>
      </c>
      <c r="U3" s="76">
        <f t="shared" ca="1" si="1"/>
        <v>177.92633244615652</v>
      </c>
      <c r="V3" s="78">
        <f t="shared" ca="1" si="2"/>
        <v>0.31801152831134161</v>
      </c>
      <c r="W3" s="78">
        <f ca="1">(Target!$D$10/COS(T3*(2*PI()/360)))</f>
        <v>2.0716738191578019E-2</v>
      </c>
      <c r="X3" s="78">
        <f t="shared" ref="X3:X12" ca="1" si="8">AF12</f>
        <v>31</v>
      </c>
      <c r="Y3" s="78">
        <f t="shared" ca="1" si="3"/>
        <v>2.0819884716886561</v>
      </c>
      <c r="Z3" s="78">
        <f ca="1">(Target!$D$10/COS(U3*(2*PI()/360)))</f>
        <v>-2.0727156540700186E-2</v>
      </c>
      <c r="AA3" s="46">
        <f t="shared" ca="1" si="4"/>
        <v>0.99999999999999978</v>
      </c>
      <c r="AB3" s="46">
        <f t="shared" ca="1" si="5"/>
        <v>-2.0736675538434723</v>
      </c>
      <c r="AC3" s="2"/>
      <c r="AD3" s="272">
        <f t="shared" ca="1" si="6"/>
        <v>0.31801152831134161</v>
      </c>
      <c r="AE3" s="273">
        <f t="shared" ca="1" si="7"/>
        <v>2.0716738191578019E-2</v>
      </c>
      <c r="AF3" s="267">
        <f ca="1">AF2+1</f>
        <v>32</v>
      </c>
      <c r="AG3" s="268"/>
      <c r="AH3" s="270">
        <f ca="1">AF21-AI3*(AF21-AF20)</f>
        <v>0.31346793481141921</v>
      </c>
      <c r="AI3" s="271">
        <f ca="1">(AG21-AG17)/(AG21-AG20)</f>
        <v>-15.346793481141908</v>
      </c>
    </row>
    <row r="4" spans="1:3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9" t="s">
        <v>301</v>
      </c>
      <c r="S4" s="45">
        <v>3</v>
      </c>
      <c r="T4" s="76">
        <f t="shared" ca="1" si="0"/>
        <v>1.5</v>
      </c>
      <c r="U4" s="76">
        <f t="shared" ca="1" si="1"/>
        <v>176.88952989427256</v>
      </c>
      <c r="V4" s="78">
        <f t="shared" ca="1" si="2"/>
        <v>0.31789044157169044</v>
      </c>
      <c r="W4" s="78">
        <f ca="1">(Target!$D$10/COS(T4*(2*PI()/360)))</f>
        <v>2.072068339269573E-2</v>
      </c>
      <c r="X4" s="78">
        <f t="shared" ca="1" si="8"/>
        <v>32</v>
      </c>
      <c r="Y4" s="78">
        <f t="shared" ca="1" si="3"/>
        <v>2.0821095584283076</v>
      </c>
      <c r="Z4" s="78">
        <f ca="1">(Target!$D$10/COS(U4*(2*PI()/360)))</f>
        <v>-2.0744143797728442E-2</v>
      </c>
      <c r="AA4" s="46">
        <f t="shared" ca="1" si="4"/>
        <v>1.5</v>
      </c>
      <c r="AB4" s="46">
        <f t="shared" ca="1" si="5"/>
        <v>-3.1104701057274426</v>
      </c>
      <c r="AC4" s="2"/>
      <c r="AD4" s="272">
        <f t="shared" ca="1" si="6"/>
        <v>0.31789044157169044</v>
      </c>
      <c r="AE4" s="273">
        <f t="shared" ca="1" si="7"/>
        <v>2.072068339269573E-2</v>
      </c>
      <c r="AF4" s="269">
        <f ca="1">INDEX('SRIM Data'!$EH$9:$EH$140,AF2)</f>
        <v>0.14000000000000001</v>
      </c>
      <c r="AG4" s="268">
        <f ca="1">INDEX('SRIM Data'!$EI$9:$EI$140,AF2)</f>
        <v>0.84030000000000005</v>
      </c>
      <c r="AH4" s="270">
        <f ca="1">AF31-AI4*(AF31-AF30)</f>
        <v>0.30562944366021216</v>
      </c>
      <c r="AI4" s="271">
        <f ca="1">(AG31-AG27)/(AG31-AG30)</f>
        <v>-14.562944366021206</v>
      </c>
    </row>
    <row r="5" spans="1:3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"/>
      <c r="S5" s="45">
        <v>4</v>
      </c>
      <c r="T5" s="76">
        <f t="shared" ca="1" si="0"/>
        <v>2</v>
      </c>
      <c r="U5" s="76">
        <f t="shared" ca="1" si="1"/>
        <v>175.85276479690157</v>
      </c>
      <c r="V5" s="78">
        <f t="shared" ca="1" si="2"/>
        <v>0.31772097177719671</v>
      </c>
      <c r="W5" s="78">
        <f ca="1">(Target!$D$10/COS(T5*(2*PI()/360)))</f>
        <v>2.0726208778392045E-2</v>
      </c>
      <c r="X5" s="78">
        <f t="shared" ca="1" si="8"/>
        <v>0.14000000000000001</v>
      </c>
      <c r="Y5" s="78">
        <f t="shared" ca="1" si="3"/>
        <v>2.0822790282228016</v>
      </c>
      <c r="Z5" s="78">
        <f ca="1">(Target!$D$10/COS(U5*(2*PI()/360)))</f>
        <v>-2.0767963828958493E-2</v>
      </c>
      <c r="AA5" s="46">
        <f t="shared" ca="1" si="4"/>
        <v>2</v>
      </c>
      <c r="AB5" s="46">
        <f t="shared" ca="1" si="5"/>
        <v>-4.147235203098429</v>
      </c>
      <c r="AC5" s="2"/>
      <c r="AD5" s="272">
        <f t="shared" ca="1" si="6"/>
        <v>0.31772097177719671</v>
      </c>
      <c r="AE5" s="273">
        <f t="shared" ca="1" si="7"/>
        <v>2.0726208778392045E-2</v>
      </c>
      <c r="AF5" s="269">
        <f ca="1">INDEX('SRIM Data'!$EH$9:$EH$140,AF3)</f>
        <v>0.15</v>
      </c>
      <c r="AG5" s="268">
        <f ca="1">INDEX('SRIM Data'!$EI$9:$EI$140,AF3)</f>
        <v>0.88530000000000009</v>
      </c>
      <c r="AH5" s="270" t="e">
        <f>AF41-AI5*(AF41-AF40)</f>
        <v>#N/A</v>
      </c>
      <c r="AI5" s="271" t="e">
        <f>(AG41-AG37)/(AG41-AG40)</f>
        <v>#N/A</v>
      </c>
    </row>
    <row r="6" spans="1:35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51" t="s">
        <v>302</v>
      </c>
      <c r="O6">
        <f>Reaction!D31</f>
        <v>7</v>
      </c>
      <c r="P6" s="266" t="str">
        <f>Reaction!C31</f>
        <v>Li</v>
      </c>
      <c r="Q6" s="40" t="s">
        <v>313</v>
      </c>
      <c r="R6">
        <v>2.4</v>
      </c>
      <c r="S6" s="45">
        <v>5</v>
      </c>
      <c r="T6" s="76">
        <f t="shared" ca="1" si="0"/>
        <v>2.4999999999999996</v>
      </c>
      <c r="U6" s="76">
        <f t="shared" ca="1" si="1"/>
        <v>174.81604961300727</v>
      </c>
      <c r="V6" s="78">
        <f t="shared" ca="1" si="2"/>
        <v>0.31750317055000177</v>
      </c>
      <c r="W6" s="78">
        <f ca="1">(Target!$D$10/COS(T6*(2*PI()/360)))</f>
        <v>2.0733316455146186E-2</v>
      </c>
      <c r="X6" s="78">
        <f t="shared" ca="1" si="8"/>
        <v>0.15</v>
      </c>
      <c r="Y6" s="78">
        <f t="shared" ca="1" si="3"/>
        <v>2.0824968294499953</v>
      </c>
      <c r="Z6" s="78">
        <f ca="1">(Target!$D$10/COS(U6*(2*PI()/360)))</f>
        <v>-2.0798654683099591E-2</v>
      </c>
      <c r="AA6" s="46">
        <f t="shared" ca="1" si="4"/>
        <v>2.4999999999999996</v>
      </c>
      <c r="AB6" s="46">
        <f t="shared" ca="1" si="5"/>
        <v>-5.1839503869927341</v>
      </c>
      <c r="AC6" s="2"/>
      <c r="AD6" s="272">
        <f t="shared" ca="1" si="6"/>
        <v>0.31750317055000177</v>
      </c>
      <c r="AE6" s="273">
        <f t="shared" ca="1" si="7"/>
        <v>2.0733316455146186E-2</v>
      </c>
      <c r="AF6" s="269">
        <f ca="1">(AF5-AD2)/(AF5-AF4)</f>
        <v>-16.808419511195677</v>
      </c>
      <c r="AG6" s="268">
        <f ca="1">AG5-AF6*(AG5-AG4)</f>
        <v>1.6416788780038063</v>
      </c>
      <c r="AH6" s="270">
        <f ca="1">AF51-AI6*(AF51-AF50)</f>
        <v>0.30858177792730546</v>
      </c>
      <c r="AI6" s="271">
        <f ca="1">(AG51-AG47)/(AG51-AG50)</f>
        <v>0.6567288829077812</v>
      </c>
    </row>
    <row r="7" spans="1:35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51" t="s">
        <v>303</v>
      </c>
      <c r="O7">
        <f>Reaction!D32</f>
        <v>197</v>
      </c>
      <c r="P7" s="266" t="str">
        <f>Reaction!C32</f>
        <v>Au</v>
      </c>
      <c r="Q7" s="40" t="s">
        <v>314</v>
      </c>
      <c r="R7">
        <f ca="1">Reaction!K31</f>
        <v>-1.7763568394002505E-15</v>
      </c>
      <c r="S7" s="45">
        <v>6</v>
      </c>
      <c r="T7" s="76">
        <f t="shared" ca="1" si="0"/>
        <v>3</v>
      </c>
      <c r="U7" s="76">
        <f t="shared" ca="1" si="1"/>
        <v>173.77939677940216</v>
      </c>
      <c r="V7" s="78">
        <f t="shared" ca="1" si="2"/>
        <v>0.31723710423446899</v>
      </c>
      <c r="W7" s="78">
        <f ca="1">(Target!$D$10/COS(T7*(2*PI()/360)))</f>
        <v>2.0742009134647011E-2</v>
      </c>
      <c r="X7" s="78">
        <f t="shared" ca="1" si="8"/>
        <v>-16.518614601780051</v>
      </c>
      <c r="Y7" s="78">
        <f t="shared" ca="1" si="3"/>
        <v>2.0827628957655282</v>
      </c>
      <c r="Z7" s="78">
        <f ca="1">(Target!$D$10/COS(U7*(2*PI()/360)))</f>
        <v>-2.0836265534680896E-2</v>
      </c>
      <c r="AA7" s="46">
        <f t="shared" ca="1" si="4"/>
        <v>3</v>
      </c>
      <c r="AB7" s="46">
        <f t="shared" ca="1" si="5"/>
        <v>-6.2206032205978445</v>
      </c>
      <c r="AC7" s="2"/>
      <c r="AD7" s="272">
        <f t="shared" ca="1" si="6"/>
        <v>0.31723710423446899</v>
      </c>
      <c r="AE7" s="273">
        <f t="shared" ca="1" si="7"/>
        <v>2.0742009134647011E-2</v>
      </c>
      <c r="AF7" s="267"/>
      <c r="AG7" s="268">
        <f ca="1">AG6-AE2</f>
        <v>1.6209645063319977</v>
      </c>
      <c r="AH7" s="270">
        <f ca="1">AF61-AI7*(AF61-AF60)</f>
        <v>0.30831197121611831</v>
      </c>
      <c r="AI7" s="271">
        <f ca="1">(AG61-AG57)/(AG61-AG60)</f>
        <v>0.66752115135526713</v>
      </c>
    </row>
    <row r="8" spans="1:35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51" t="s">
        <v>304</v>
      </c>
      <c r="O8">
        <f>Reaction!D34</f>
        <v>197</v>
      </c>
      <c r="P8" s="266" t="str">
        <f>Reaction!C34</f>
        <v>Au</v>
      </c>
      <c r="S8" s="45">
        <v>7</v>
      </c>
      <c r="T8" s="76">
        <f t="shared" ca="1" si="0"/>
        <v>3.4999999999999996</v>
      </c>
      <c r="U8" s="76">
        <f t="shared" ca="1" si="1"/>
        <v>172.74281870524285</v>
      </c>
      <c r="V8" s="78">
        <f t="shared" ca="1" si="2"/>
        <v>0.31692285387697594</v>
      </c>
      <c r="W8" s="78">
        <f ca="1">(Target!$D$10/COS(T8*(2*PI()/360)))</f>
        <v>2.0752290136319806E-2</v>
      </c>
      <c r="X8" s="78">
        <f t="shared" si="8"/>
        <v>0</v>
      </c>
      <c r="Y8" s="78">
        <f t="shared" ca="1" si="3"/>
        <v>2.0830771461230224</v>
      </c>
      <c r="Z8" s="78">
        <f ca="1">(Target!$D$10/COS(U8*(2*PI()/360)))</f>
        <v>-2.0880856877673271E-2</v>
      </c>
      <c r="AA8" s="46">
        <f t="shared" ca="1" si="4"/>
        <v>3.4999999999999996</v>
      </c>
      <c r="AB8" s="46">
        <f t="shared" ca="1" si="5"/>
        <v>-7.257181294757145</v>
      </c>
      <c r="AC8" s="2"/>
      <c r="AD8" s="272">
        <f t="shared" ca="1" si="6"/>
        <v>0.31692285387697594</v>
      </c>
      <c r="AE8" s="273">
        <f t="shared" ca="1" si="7"/>
        <v>2.0752290136319806E-2</v>
      </c>
      <c r="AF8" s="267"/>
      <c r="AG8" s="268">
        <f ca="1">MATCH(AG7,'SRIM Data'!$EI$9:$EI$140)-9</f>
        <v>32</v>
      </c>
      <c r="AH8" s="270">
        <f ca="1">AF71-AI8*(AF71-AF70)</f>
        <v>0.30799329701969541</v>
      </c>
      <c r="AI8" s="271">
        <f ca="1">(AG71-AG67)/(AG71-AG70)</f>
        <v>0.68026811921218255</v>
      </c>
    </row>
    <row r="9" spans="1:35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51" t="s">
        <v>305</v>
      </c>
      <c r="O9">
        <f>Reaction!D36</f>
        <v>7</v>
      </c>
      <c r="P9" s="266" t="str">
        <f>Reaction!C36</f>
        <v>Li</v>
      </c>
      <c r="S9" s="45">
        <v>8</v>
      </c>
      <c r="T9" s="76">
        <f t="shared" ca="1" si="0"/>
        <v>3.9999999999999991</v>
      </c>
      <c r="U9" s="76">
        <f t="shared" ca="1" si="1"/>
        <v>171.70632776654733</v>
      </c>
      <c r="V9" s="78">
        <f t="shared" ca="1" si="2"/>
        <v>0.31656051520122541</v>
      </c>
      <c r="W9" s="78">
        <f ca="1">(Target!$D$10/COS(T9*(2*PI()/360)))</f>
        <v>2.0764163390423536E-2</v>
      </c>
      <c r="X9" s="78">
        <f t="shared" si="8"/>
        <v>0</v>
      </c>
      <c r="Y9" s="78">
        <f t="shared" ca="1" si="3"/>
        <v>2.0834394847987738</v>
      </c>
      <c r="Z9" s="78">
        <f ca="1">(Target!$D$10/COS(U9*(2*PI()/360)))</f>
        <v>-2.0932500765010416E-2</v>
      </c>
      <c r="AA9" s="46">
        <f t="shared" ca="1" si="4"/>
        <v>3.9999999999999991</v>
      </c>
      <c r="AB9" s="46">
        <f t="shared" ca="1" si="5"/>
        <v>-8.2936722334526589</v>
      </c>
      <c r="AC9" s="2"/>
      <c r="AD9" s="272">
        <f t="shared" ca="1" si="6"/>
        <v>0.31656051520122541</v>
      </c>
      <c r="AE9" s="273">
        <f t="shared" ca="1" si="7"/>
        <v>2.0764163390423536E-2</v>
      </c>
      <c r="AF9" s="267"/>
      <c r="AG9" s="268">
        <f ca="1">AG8+1</f>
        <v>33</v>
      </c>
      <c r="AH9" s="270">
        <f ca="1">AF81-AI9*(AF81-AF80)</f>
        <v>0.30762584937057846</v>
      </c>
      <c r="AI9" s="271">
        <f ca="1">(AG81-AG77)/(AG81-AG80)</f>
        <v>0.69496602517686135</v>
      </c>
    </row>
    <row r="10" spans="1:35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51"/>
      <c r="Q10" t="s">
        <v>529</v>
      </c>
      <c r="R10">
        <f ca="1">SQRT((R6*O7/(O6+O7)+R7)*2*O8*O9/(O8+O9))</f>
        <v>5.5976494490182711</v>
      </c>
      <c r="S10" s="45">
        <v>9</v>
      </c>
      <c r="T10" s="76">
        <f t="shared" ca="1" si="0"/>
        <v>4.5</v>
      </c>
      <c r="U10" s="76">
        <f t="shared" ca="1" si="1"/>
        <v>170.6699363007385</v>
      </c>
      <c r="V10" s="78">
        <f t="shared" ca="1" si="2"/>
        <v>0.31615019857908799</v>
      </c>
      <c r="W10" s="78">
        <f ca="1">(Target!$D$10/COS(T10*(2*PI()/360)))</f>
        <v>2.0777633441723901E-2</v>
      </c>
      <c r="X10" s="78">
        <f t="shared" si="8"/>
        <v>0</v>
      </c>
      <c r="Y10" s="78">
        <f t="shared" ca="1" si="3"/>
        <v>2.0838498014209113</v>
      </c>
      <c r="Z10" s="78">
        <f ca="1">(Target!$D$10/COS(U10*(2*PI()/360)))</f>
        <v>-2.0991281095785325E-2</v>
      </c>
      <c r="AA10" s="46">
        <f t="shared" ca="1" si="4"/>
        <v>4.5</v>
      </c>
      <c r="AB10" s="46">
        <f t="shared" ca="1" si="5"/>
        <v>-9.3300636992614923</v>
      </c>
      <c r="AC10" s="2"/>
      <c r="AD10" s="272">
        <f t="shared" ca="1" si="6"/>
        <v>0.31615019857908799</v>
      </c>
      <c r="AE10" s="273">
        <f t="shared" ca="1" si="7"/>
        <v>2.0777633441723901E-2</v>
      </c>
      <c r="AF10" s="269">
        <f ca="1">INDEX('SRIM Data'!$EH$9:$EH$140,AG8)</f>
        <v>0.15</v>
      </c>
      <c r="AG10" s="268">
        <f ca="1">INDEX('SRIM Data'!$EI$9:$EI$140,AG8)</f>
        <v>0.88530000000000009</v>
      </c>
      <c r="AH10" s="270">
        <f ca="1">AF91-AI10*(AF91-AF90)</f>
        <v>0.3072097366850588</v>
      </c>
      <c r="AI10" s="271">
        <f ca="1">(AG91-AG87)/(AG91-AG90)</f>
        <v>0.71161053259764806</v>
      </c>
    </row>
    <row r="11" spans="1:35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51" t="s">
        <v>306</v>
      </c>
      <c r="O11">
        <f>Reaction!E31</f>
        <v>3</v>
      </c>
      <c r="Q11" t="s">
        <v>530</v>
      </c>
      <c r="R11">
        <f>SQRT(2*O6*R6)*O8/(O6+O7)</f>
        <v>5.5976494490182729</v>
      </c>
      <c r="S11" s="45">
        <v>10</v>
      </c>
      <c r="T11" s="76">
        <f t="shared" ca="1" si="0"/>
        <v>4.9999999999999991</v>
      </c>
      <c r="U11" s="76">
        <f t="shared" ca="1" si="1"/>
        <v>169.63365660121832</v>
      </c>
      <c r="V11" s="78">
        <f t="shared" ca="1" si="2"/>
        <v>0.3156920289969819</v>
      </c>
      <c r="W11" s="78">
        <f ca="1">(Target!$D$10/COS(T11*(2*PI()/360)))</f>
        <v>2.0792705453748589E-2</v>
      </c>
      <c r="X11" s="78">
        <f t="shared" ca="1" si="8"/>
        <v>0.15</v>
      </c>
      <c r="Y11" s="78">
        <f t="shared" ca="1" si="3"/>
        <v>2.0843079710030161</v>
      </c>
      <c r="Z11" s="78">
        <f ca="1">(Target!$D$10/COS(U11*(2*PI()/360)))</f>
        <v>-2.1057293952270007E-2</v>
      </c>
      <c r="AA11" s="46">
        <f t="shared" ca="1" si="4"/>
        <v>4.9999999999999991</v>
      </c>
      <c r="AB11" s="46">
        <f t="shared" ca="1" si="5"/>
        <v>-10.366343398781677</v>
      </c>
      <c r="AC11" s="2"/>
      <c r="AD11" s="272">
        <f t="shared" ref="AD11:AD23" ca="1" si="9">V11</f>
        <v>0.3156920289969819</v>
      </c>
      <c r="AE11" s="273">
        <f t="shared" ref="AE11:AE23" ca="1" si="10">W11</f>
        <v>2.0792705453748589E-2</v>
      </c>
      <c r="AF11" s="280">
        <f ca="1">INDEX('SRIM Data'!$EH$9:$EH$140,AG9)</f>
        <v>0.16</v>
      </c>
      <c r="AG11" s="271">
        <f ca="1">INDEX('SRIM Data'!$EI$9:$EI$140,AG9)</f>
        <v>0.92949999999999999</v>
      </c>
      <c r="AH11" s="270">
        <f ca="1">AF101-AI11*(AF101-AF100)</f>
        <v>0.30674508172772696</v>
      </c>
      <c r="AI11" s="271">
        <f ca="1">(AG101-AG97)/(AG101-AG100)</f>
        <v>0.73019673089092196</v>
      </c>
    </row>
    <row r="12" spans="1:35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51" t="s">
        <v>307</v>
      </c>
      <c r="O12">
        <f>Reaction!E32</f>
        <v>79</v>
      </c>
      <c r="Q12" t="s">
        <v>531</v>
      </c>
      <c r="R12">
        <f ca="1">R10*O8/O9</f>
        <v>157.53384877951422</v>
      </c>
      <c r="S12" s="45">
        <v>11</v>
      </c>
      <c r="T12" s="76">
        <f t="shared" ca="1" si="0"/>
        <v>5.4999999999999991</v>
      </c>
      <c r="U12" s="76">
        <f t="shared" ca="1" si="1"/>
        <v>168.59750091197679</v>
      </c>
      <c r="V12" s="78">
        <f t="shared" ca="1" si="2"/>
        <v>0.31518614601780021</v>
      </c>
      <c r="W12" s="78">
        <f ca="1">(Target!$D$10/COS(T12*(2*PI()/360)))</f>
        <v>2.0809385213632191E-2</v>
      </c>
      <c r="X12" s="78">
        <f t="shared" ca="1" si="8"/>
        <v>0.16</v>
      </c>
      <c r="Y12" s="78">
        <f t="shared" ca="1" si="3"/>
        <v>2.0848138539821988</v>
      </c>
      <c r="Z12" s="78">
        <f ca="1">(Target!$D$10/COS(U12*(2*PI()/360)))</f>
        <v>-2.113064798930445E-2</v>
      </c>
      <c r="AA12" s="46">
        <f t="shared" ca="1" si="4"/>
        <v>5.4999999999999991</v>
      </c>
      <c r="AB12" s="46">
        <f t="shared" ca="1" si="5"/>
        <v>-11.402499088023212</v>
      </c>
      <c r="AC12" s="2"/>
      <c r="AD12" s="272">
        <f t="shared" ca="1" si="9"/>
        <v>0.31518614601780021</v>
      </c>
      <c r="AE12" s="273">
        <f t="shared" ca="1" si="10"/>
        <v>2.0809385213632191E-2</v>
      </c>
      <c r="AF12" s="416">
        <f ca="1">MATCH(AD3,'SRIM Data'!$EH$9:$EH$140,1)-9</f>
        <v>31</v>
      </c>
      <c r="AG12" s="279"/>
      <c r="AH12" s="270">
        <f ca="1">AF111-AI12*(AF111-AF110)</f>
        <v>0.30623202157131474</v>
      </c>
      <c r="AI12" s="271">
        <f ca="1">(AG111-AG107)/(AG111-AG110)</f>
        <v>0.75071913714741023</v>
      </c>
    </row>
    <row r="13" spans="1:35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51" t="s">
        <v>308</v>
      </c>
      <c r="O13">
        <f>Reaction!E34</f>
        <v>79</v>
      </c>
      <c r="Q13" t="s">
        <v>532</v>
      </c>
      <c r="R13">
        <f ca="1">R11/R10</f>
        <v>1.0000000000000002</v>
      </c>
      <c r="S13" s="45">
        <v>12</v>
      </c>
      <c r="T13" s="76">
        <f t="shared" ca="1" si="0"/>
        <v>6</v>
      </c>
      <c r="U13" s="76">
        <f t="shared" ca="1" si="1"/>
        <v>167.56148142223989</v>
      </c>
      <c r="V13" s="78">
        <f t="shared" ca="1" si="2"/>
        <v>0.31463270373839863</v>
      </c>
      <c r="W13" s="78">
        <f ca="1">(Target!$D$10/COS(T13*(2*PI()/360)))</f>
        <v>2.0827679137559247E-2</v>
      </c>
      <c r="X13" s="78">
        <f ca="1">AH3</f>
        <v>0.31346793481141921</v>
      </c>
      <c r="Y13" s="78">
        <f t="shared" ca="1" si="3"/>
        <v>2.0853672962616003</v>
      </c>
      <c r="Z13" s="78">
        <f ca="1">(Target!$D$10/COS(U13*(2*PI()/360)))</f>
        <v>-2.1211464879030004E-2</v>
      </c>
      <c r="AA13" s="46">
        <f t="shared" ca="1" si="4"/>
        <v>6</v>
      </c>
      <c r="AB13" s="46">
        <f t="shared" ca="1" si="5"/>
        <v>-12.438518577760107</v>
      </c>
      <c r="AD13" s="272">
        <f t="shared" ca="1" si="9"/>
        <v>0.31463270373839863</v>
      </c>
      <c r="AE13" s="273">
        <f t="shared" ca="1" si="10"/>
        <v>2.0827679137559247E-2</v>
      </c>
      <c r="AF13" s="267">
        <f ca="1">AF12+1</f>
        <v>32</v>
      </c>
      <c r="AG13" s="268"/>
      <c r="AH13" s="270">
        <f ca="1">AF121-AI13*(AF121-AF120)</f>
        <v>0.30567070755184128</v>
      </c>
      <c r="AI13" s="271">
        <f ca="1">(AG121-AG117)/(AG121-AG120)</f>
        <v>0.77317169792634821</v>
      </c>
    </row>
    <row r="14" spans="1:35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51" t="s">
        <v>309</v>
      </c>
      <c r="O14">
        <f>Reaction!E36</f>
        <v>3</v>
      </c>
      <c r="Q14" t="s">
        <v>533</v>
      </c>
      <c r="R14">
        <f ca="1">R11/R12</f>
        <v>3.5532994923857877E-2</v>
      </c>
      <c r="S14" s="45">
        <v>13</v>
      </c>
      <c r="T14" s="76">
        <f t="shared" ca="1" si="0"/>
        <v>6.5</v>
      </c>
      <c r="U14" s="76">
        <f t="shared" ca="1" si="1"/>
        <v>166.52561026116072</v>
      </c>
      <c r="V14" s="78">
        <f t="shared" ca="1" si="2"/>
        <v>0.3140318707426572</v>
      </c>
      <c r="W14" s="78">
        <f ca="1">(Target!$D$10/COS(T14*(2*PI()/360)))</f>
        <v>2.0847594276814981E-2</v>
      </c>
      <c r="X14" s="78">
        <f t="shared" ref="X14:X23" ca="1" si="11">AF22</f>
        <v>31</v>
      </c>
      <c r="Y14" s="78">
        <f t="shared" ca="1" si="3"/>
        <v>2.0859681292573415</v>
      </c>
      <c r="Z14" s="78">
        <f ca="1">(Target!$D$10/COS(U14*(2*PI()/360)))</f>
        <v>-2.1299879814408507E-2</v>
      </c>
      <c r="AA14" s="46">
        <f t="shared" ca="1" si="4"/>
        <v>6.5</v>
      </c>
      <c r="AB14" s="46">
        <f t="shared" ca="1" si="5"/>
        <v>-13.474389738839276</v>
      </c>
      <c r="AD14" s="272">
        <f t="shared" ca="1" si="9"/>
        <v>0.3140318707426572</v>
      </c>
      <c r="AE14" s="273">
        <f t="shared" ca="1" si="10"/>
        <v>2.0847594276814981E-2</v>
      </c>
      <c r="AF14" s="269">
        <f ca="1">INDEX('SRIM Data'!$EH$9:$EH$140,AF12)</f>
        <v>0.14000000000000001</v>
      </c>
      <c r="AG14" s="268">
        <f ca="1">INDEX('SRIM Data'!$EI$9:$EI$140,AF12)</f>
        <v>0.84030000000000005</v>
      </c>
      <c r="AH14" s="270">
        <f ca="1">AF131-AI14*(AF131-AF130)</f>
        <v>0.30506130521907071</v>
      </c>
      <c r="AI14" s="271">
        <f ca="1">(AG131-AG127)/(AG131-AG130)</f>
        <v>0.79754779123717068</v>
      </c>
    </row>
    <row r="15" spans="1:35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3"/>
      <c r="Q15" t="s">
        <v>536</v>
      </c>
      <c r="R15">
        <f ca="1">R10/R12</f>
        <v>3.5532994923857864E-2</v>
      </c>
      <c r="S15" s="45">
        <v>14</v>
      </c>
      <c r="T15" s="76">
        <f t="shared" ca="1" si="0"/>
        <v>6.9999999999999991</v>
      </c>
      <c r="U15" s="76">
        <f t="shared" ca="1" si="1"/>
        <v>165.48989949255773</v>
      </c>
      <c r="V15" s="78">
        <f t="shared" ca="1" si="2"/>
        <v>0.3133838300501266</v>
      </c>
      <c r="W15" s="78">
        <f ca="1">(Target!$D$10/COS(T15*(2*PI()/360)))</f>
        <v>2.0869138324454427E-2</v>
      </c>
      <c r="X15" s="78">
        <f t="shared" ca="1" si="11"/>
        <v>32</v>
      </c>
      <c r="Y15" s="78">
        <f t="shared" ca="1" si="3"/>
        <v>2.0866161699498709</v>
      </c>
      <c r="Z15" s="78">
        <f ca="1">(Target!$D$10/COS(U15*(2*PI()/360)))</f>
        <v>-2.1396042075478204E-2</v>
      </c>
      <c r="AA15" s="46">
        <f t="shared" ca="1" si="4"/>
        <v>6.9999999999999991</v>
      </c>
      <c r="AB15" s="46">
        <f t="shared" ca="1" si="5"/>
        <v>-14.510100507442269</v>
      </c>
      <c r="AD15" s="272">
        <f t="shared" ca="1" si="9"/>
        <v>0.3133838300501266</v>
      </c>
      <c r="AE15" s="273">
        <f t="shared" ca="1" si="10"/>
        <v>2.0869138324454427E-2</v>
      </c>
      <c r="AF15" s="269">
        <f ca="1">INDEX('SRIM Data'!$EH$9:$EH$140,AF13)</f>
        <v>0.15</v>
      </c>
      <c r="AG15" s="268">
        <f ca="1">INDEX('SRIM Data'!$EI$9:$EI$140,AF13)</f>
        <v>0.88530000000000009</v>
      </c>
      <c r="AH15" s="270">
        <f ca="1">AF141-AI15*(AF141-AF140)</f>
        <v>0.30440399428228904</v>
      </c>
      <c r="AI15" s="271">
        <f ca="1">(AG141-AG137)/(AG141-AG140)</f>
        <v>0.82384022870843798</v>
      </c>
    </row>
    <row r="16" spans="1:35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3"/>
      <c r="S16" s="45">
        <v>15</v>
      </c>
      <c r="T16" s="76">
        <f t="shared" ca="1" si="0"/>
        <v>7.4999999999999982</v>
      </c>
      <c r="U16" s="76">
        <f t="shared" ca="1" si="1"/>
        <v>164.45436110970419</v>
      </c>
      <c r="V16" s="78">
        <f t="shared" ca="1" si="2"/>
        <v>0.31268877906027964</v>
      </c>
      <c r="W16" s="78">
        <f ca="1">(Target!$D$10/COS(T16*(2*PI()/360)))</f>
        <v>2.0892319622601685E-2</v>
      </c>
      <c r="X16" s="78">
        <f t="shared" ca="1" si="11"/>
        <v>0.14000000000000001</v>
      </c>
      <c r="Y16" s="78">
        <f t="shared" ca="1" si="3"/>
        <v>2.0873112209397191</v>
      </c>
      <c r="Z16" s="78">
        <f ca="1">(Target!$D$10/COS(U16*(2*PI()/360)))</f>
        <v>-2.1500115662857727E-2</v>
      </c>
      <c r="AA16" s="46">
        <f t="shared" ca="1" si="4"/>
        <v>7.4999999999999982</v>
      </c>
      <c r="AB16" s="46">
        <f t="shared" ca="1" si="5"/>
        <v>-15.545638890295795</v>
      </c>
      <c r="AD16" s="272">
        <f t="shared" ca="1" si="9"/>
        <v>0.31268877906027964</v>
      </c>
      <c r="AE16" s="273">
        <f t="shared" ca="1" si="10"/>
        <v>2.0892319622601685E-2</v>
      </c>
      <c r="AF16" s="269">
        <f ca="1">(AF15-AD12)/(AF15-AF14)</f>
        <v>-16.518614601780051</v>
      </c>
      <c r="AG16" s="268">
        <f ca="1">AG15-AF16*(AG15-AG14)</f>
        <v>1.6286376570801031</v>
      </c>
      <c r="AH16" s="270">
        <f ca="1">AF151-AI16*(AF151-AF150)</f>
        <v>0.30369896855141493</v>
      </c>
      <c r="AI16" s="271">
        <f ca="1">(AG151-AG147)/(AG151-AG150)</f>
        <v>0.85204125794340302</v>
      </c>
    </row>
    <row r="17" spans="1:35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3"/>
      <c r="S17" s="45">
        <v>16</v>
      </c>
      <c r="T17" s="76">
        <f t="shared" ca="1" si="0"/>
        <v>7.9999999999999982</v>
      </c>
      <c r="U17" s="76">
        <f t="shared" ca="1" si="1"/>
        <v>163.41900703017279</v>
      </c>
      <c r="V17" s="78">
        <f t="shared" ca="1" si="2"/>
        <v>0.31194692949238068</v>
      </c>
      <c r="W17" s="78">
        <f ca="1">(Target!$D$10/COS(T17*(2*PI()/360)))</f>
        <v>2.0917147170392381E-2</v>
      </c>
      <c r="X17" s="78">
        <f t="shared" ca="1" si="11"/>
        <v>0.15</v>
      </c>
      <c r="Y17" s="78">
        <f t="shared" ca="1" si="3"/>
        <v>2.0880530705076183</v>
      </c>
      <c r="Z17" s="78">
        <f ca="1">(Target!$D$10/COS(U17*(2*PI()/360)))</f>
        <v>-2.1612280003628626E-2</v>
      </c>
      <c r="AA17" s="46">
        <f t="shared" ca="1" si="4"/>
        <v>7.9999999999999982</v>
      </c>
      <c r="AB17" s="46">
        <f t="shared" ca="1" si="5"/>
        <v>-16.580992969827211</v>
      </c>
      <c r="AD17" s="272">
        <f t="shared" ca="1" si="9"/>
        <v>0.31194692949238068</v>
      </c>
      <c r="AE17" s="273">
        <f t="shared" ca="1" si="10"/>
        <v>2.0917147170392381E-2</v>
      </c>
      <c r="AF17" s="267"/>
      <c r="AG17" s="268">
        <f ca="1">AG16-AE12</f>
        <v>1.6078282718664709</v>
      </c>
      <c r="AH17" s="270">
        <f ca="1">AF161-AI17*(AF161-AF160)</f>
        <v>0.30294643587345105</v>
      </c>
      <c r="AI17" s="271">
        <f ca="1">(AG161-AG157)/(AG161-AG160)</f>
        <v>0.88214256506195754</v>
      </c>
    </row>
    <row r="18" spans="1:35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3"/>
      <c r="S18" s="45">
        <v>17</v>
      </c>
      <c r="T18" s="76">
        <f t="shared" ca="1" si="0"/>
        <v>8.5</v>
      </c>
      <c r="U18" s="76">
        <f t="shared" ca="1" si="1"/>
        <v>162.38384909073898</v>
      </c>
      <c r="V18" s="78">
        <f t="shared" ca="1" si="2"/>
        <v>0.31115850732099476</v>
      </c>
      <c r="W18" s="78">
        <f ca="1">(Target!$D$10/COS(T18*(2*PI()/360)))</f>
        <v>2.0943630632573398E-2</v>
      </c>
      <c r="X18" s="78">
        <f t="shared" ca="1" si="11"/>
        <v>-15.754410705186189</v>
      </c>
      <c r="Y18" s="78">
        <f t="shared" ca="1" si="3"/>
        <v>2.0888414926790029</v>
      </c>
      <c r="Z18" s="78">
        <f ca="1">(Target!$D$10/COS(U18*(2*PI()/360)))</f>
        <v>-2.173273073541462E-2</v>
      </c>
      <c r="AA18" s="46">
        <f t="shared" ca="1" si="4"/>
        <v>8.5</v>
      </c>
      <c r="AB18" s="46">
        <f t="shared" ca="1" si="5"/>
        <v>-17.616150909261027</v>
      </c>
      <c r="AD18" s="272">
        <f t="shared" ca="1" si="9"/>
        <v>0.31115850732099476</v>
      </c>
      <c r="AE18" s="273">
        <f t="shared" ca="1" si="10"/>
        <v>2.0943630632573398E-2</v>
      </c>
      <c r="AF18" s="267"/>
      <c r="AG18" s="268">
        <f ca="1">MATCH(AG17,'SRIM Data'!$EI$9:$EI$140)-9</f>
        <v>32</v>
      </c>
      <c r="AH18" s="270">
        <f ca="1">AF171-AI18*(AF171-AF170)</f>
        <v>0.3021466180642936</v>
      </c>
      <c r="AI18" s="271">
        <f ca="1">(AG171-AG167)/(AG171-AG170)</f>
        <v>0.91413527742825496</v>
      </c>
    </row>
    <row r="19" spans="1:35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3"/>
      <c r="P19" s="45"/>
      <c r="Q19" s="100"/>
      <c r="R19" s="100"/>
      <c r="S19" s="45">
        <v>18</v>
      </c>
      <c r="T19" s="76">
        <f t="shared" ca="1" si="0"/>
        <v>9</v>
      </c>
      <c r="U19" s="76">
        <f t="shared" ca="1" si="1"/>
        <v>161.34889904234726</v>
      </c>
      <c r="V19" s="78">
        <f t="shared" ca="1" si="2"/>
        <v>0.31032375270715279</v>
      </c>
      <c r="W19" s="78">
        <f ca="1">(Target!$D$10/COS(T19*(2*PI()/360)))</f>
        <v>2.0971780348775372E-2</v>
      </c>
      <c r="X19" s="78">
        <f t="shared" si="11"/>
        <v>0</v>
      </c>
      <c r="Y19" s="78">
        <f t="shared" ca="1" si="3"/>
        <v>2.0896762472928452</v>
      </c>
      <c r="Z19" s="78">
        <f ca="1">(Target!$D$10/COS(U19*(2*PI()/360)))</f>
        <v>-2.1861680575242046E-2</v>
      </c>
      <c r="AA19" s="46">
        <f t="shared" ca="1" si="4"/>
        <v>9</v>
      </c>
      <c r="AB19" s="46">
        <f t="shared" ca="1" si="5"/>
        <v>-18.651100957652755</v>
      </c>
      <c r="AD19" s="272">
        <f t="shared" ca="1" si="9"/>
        <v>0.31032375270715279</v>
      </c>
      <c r="AE19" s="273">
        <f t="shared" ca="1" si="10"/>
        <v>2.0971780348775372E-2</v>
      </c>
      <c r="AF19" s="267"/>
      <c r="AG19" s="268">
        <f ca="1">AG18+1</f>
        <v>33</v>
      </c>
      <c r="AH19" s="270">
        <f ca="1">AF181-AI19*(AF181-AF180)</f>
        <v>0.30129975083590693</v>
      </c>
      <c r="AI19" s="271">
        <f ca="1">(AG181-AG177)/(AG181-AG180)</f>
        <v>0.94800996656372183</v>
      </c>
    </row>
    <row r="20" spans="1:35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3"/>
      <c r="P20" s="45"/>
      <c r="Q20" s="100"/>
      <c r="R20" s="100"/>
      <c r="S20" s="45">
        <v>19</v>
      </c>
      <c r="T20" s="76">
        <f t="shared" ca="1" si="0"/>
        <v>9.5</v>
      </c>
      <c r="U20" s="76">
        <f t="shared" ca="1" si="1"/>
        <v>160.3141685451435</v>
      </c>
      <c r="V20" s="78">
        <f t="shared" ca="1" si="2"/>
        <v>0.30944291992519674</v>
      </c>
      <c r="W20" s="78">
        <f ca="1">(Target!$D$10/COS(T20*(2*PI()/360)))</f>
        <v>2.1001607343474685E-2</v>
      </c>
      <c r="X20" s="78">
        <f t="shared" si="11"/>
        <v>0</v>
      </c>
      <c r="Y20" s="78">
        <f t="shared" ca="1" si="3"/>
        <v>2.0905570800748019</v>
      </c>
      <c r="Z20" s="78">
        <f ca="1">(Target!$D$10/COS(U20*(2*PI()/360)))</f>
        <v>-2.1999360280624256E-2</v>
      </c>
      <c r="AA20" s="46">
        <f t="shared" ca="1" si="4"/>
        <v>9.5</v>
      </c>
      <c r="AB20" s="46">
        <f t="shared" ca="1" si="5"/>
        <v>-19.685831454856512</v>
      </c>
      <c r="AD20" s="272">
        <f t="shared" ca="1" si="9"/>
        <v>0.30944291992519674</v>
      </c>
      <c r="AE20" s="273">
        <f t="shared" ca="1" si="10"/>
        <v>2.1001607343474685E-2</v>
      </c>
      <c r="AF20" s="269">
        <f ca="1">INDEX('SRIM Data'!$EH$9:$EH$140,AG18)</f>
        <v>0.15</v>
      </c>
      <c r="AG20" s="268">
        <f ca="1">INDEX('SRIM Data'!$EI$9:$EI$140,AG18)</f>
        <v>0.88530000000000009</v>
      </c>
      <c r="AH20" s="270">
        <f ca="1">AF191-AI20*(AF191-AF190)</f>
        <v>0.30040608371888233</v>
      </c>
      <c r="AI20" s="271">
        <f ca="1">(AG191-AG187)/(AG191-AG190)</f>
        <v>0.98375665124470579</v>
      </c>
    </row>
    <row r="21" spans="1:35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3"/>
      <c r="P21" s="45"/>
      <c r="Q21" s="101"/>
      <c r="R21" s="102"/>
      <c r="S21" s="45">
        <v>20</v>
      </c>
      <c r="T21" s="76">
        <f t="shared" ca="1" si="0"/>
        <v>9.9999999999999982</v>
      </c>
      <c r="U21" s="76">
        <f t="shared" ca="1" si="1"/>
        <v>159.27966916357735</v>
      </c>
      <c r="V21" s="78">
        <f t="shared" ca="1" si="2"/>
        <v>0.30851627728532488</v>
      </c>
      <c r="W21" s="78">
        <f ca="1">(Target!$D$10/COS(T21*(2*PI()/360)))</f>
        <v>2.1033123336662941E-2</v>
      </c>
      <c r="X21" s="78">
        <f t="shared" si="11"/>
        <v>0</v>
      </c>
      <c r="Y21" s="78">
        <f t="shared" ca="1" si="3"/>
        <v>2.0914837227146732</v>
      </c>
      <c r="Z21" s="78">
        <f ca="1">(Target!$D$10/COS(U21*(2*PI()/360)))</f>
        <v>-2.2146019711276027E-2</v>
      </c>
      <c r="AA21" s="46">
        <f t="shared" ca="1" si="4"/>
        <v>9.9999999999999982</v>
      </c>
      <c r="AB21" s="46">
        <f t="shared" ca="1" si="5"/>
        <v>-20.72033083642264</v>
      </c>
      <c r="AD21" s="272">
        <f t="shared" ca="1" si="9"/>
        <v>0.30851627728532488</v>
      </c>
      <c r="AE21" s="273">
        <f t="shared" ca="1" si="10"/>
        <v>2.1033123336662941E-2</v>
      </c>
      <c r="AF21" s="280">
        <f ca="1">INDEX('SRIM Data'!$EH$9:$EH$140,AG19)</f>
        <v>0.16</v>
      </c>
      <c r="AG21" s="271">
        <f ca="1">INDEX('SRIM Data'!$EI$9:$EI$140,AG19)</f>
        <v>0.92949999999999999</v>
      </c>
      <c r="AH21" s="270">
        <f ca="1">AF201-AI21*(AF201-AF200)</f>
        <v>0.29948193033156595</v>
      </c>
      <c r="AI21" s="271">
        <f ca="1">(AG201-AG197)/(AG201-AG200)</f>
        <v>2.0722786737360683E-2</v>
      </c>
    </row>
    <row r="22" spans="1:35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3"/>
      <c r="P22" s="45"/>
      <c r="Q22" s="103"/>
      <c r="R22" s="103"/>
      <c r="S22" s="45">
        <v>21</v>
      </c>
      <c r="T22" s="76">
        <f t="shared" ca="1" si="0"/>
        <v>10.499999999999996</v>
      </c>
      <c r="U22" s="76">
        <f t="shared" ca="1" si="1"/>
        <v>158.24541236157793</v>
      </c>
      <c r="V22" s="78">
        <f t="shared" ca="1" si="2"/>
        <v>0.30754410705186158</v>
      </c>
      <c r="W22" s="78">
        <f ca="1">(Target!$D$10/COS(T22*(2*PI()/360)))</f>
        <v>2.1066340755243447E-2</v>
      </c>
      <c r="X22" s="78">
        <f t="shared" ca="1" si="11"/>
        <v>0.15</v>
      </c>
      <c r="Y22" s="78">
        <f t="shared" ca="1" si="3"/>
        <v>2.0924558929481365</v>
      </c>
      <c r="Z22" s="78">
        <f ca="1">(Target!$D$10/COS(U22*(2*PI()/360)))</f>
        <v>-2.230192900095013E-2</v>
      </c>
      <c r="AA22" s="46">
        <f t="shared" ca="1" si="4"/>
        <v>10.499999999999996</v>
      </c>
      <c r="AB22" s="46">
        <f t="shared" ca="1" si="5"/>
        <v>-21.75458763842207</v>
      </c>
      <c r="AD22" s="272">
        <f t="shared" ca="1" si="9"/>
        <v>0.30754410705186158</v>
      </c>
      <c r="AE22" s="273">
        <f t="shared" ca="1" si="10"/>
        <v>2.1066340755243447E-2</v>
      </c>
      <c r="AF22" s="416">
        <f ca="1">MATCH(AD22,'SRIM Data'!$EH$9:$EH$140,1)-9</f>
        <v>31</v>
      </c>
      <c r="AG22" s="279"/>
      <c r="AI22" s="45"/>
    </row>
    <row r="23" spans="1:35" x14ac:dyDescent="0.2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3"/>
      <c r="P23" s="45"/>
      <c r="Q23" s="101"/>
      <c r="R23" s="101"/>
      <c r="S23" s="45">
        <v>22</v>
      </c>
      <c r="T23" s="76">
        <f t="shared" ca="1" si="0"/>
        <v>10.999999999999998</v>
      </c>
      <c r="U23" s="76">
        <f t="shared" ca="1" si="1"/>
        <v>157.21140949780602</v>
      </c>
      <c r="V23" s="78">
        <f t="shared" ca="1" si="2"/>
        <v>0.30652670535727783</v>
      </c>
      <c r="W23" s="78">
        <f ca="1">(Target!$D$10/COS(T23*(2*PI()/360)))</f>
        <v>2.1101272745175585E-2</v>
      </c>
      <c r="X23" s="78">
        <f t="shared" ca="1" si="11"/>
        <v>0.16</v>
      </c>
      <c r="Y23" s="78">
        <f t="shared" ca="1" si="3"/>
        <v>2.0934732946427204</v>
      </c>
      <c r="Z23" s="78">
        <f ca="1">(Target!$D$10/COS(U23*(2*PI()/360)))</f>
        <v>-2.2467379850115158E-2</v>
      </c>
      <c r="AA23" s="46">
        <f t="shared" ca="1" si="4"/>
        <v>10.999999999999998</v>
      </c>
      <c r="AB23" s="46">
        <f t="shared" ca="1" si="5"/>
        <v>-22.788590502193994</v>
      </c>
      <c r="AD23" s="272">
        <f t="shared" ca="1" si="9"/>
        <v>0.30652670535727783</v>
      </c>
      <c r="AE23" s="273">
        <f t="shared" ca="1" si="10"/>
        <v>2.1101272745175585E-2</v>
      </c>
      <c r="AF23" s="267">
        <f ca="1">AF22+1</f>
        <v>32</v>
      </c>
      <c r="AG23" s="268"/>
      <c r="AI23" s="45"/>
    </row>
    <row r="24" spans="1:35" x14ac:dyDescent="0.2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3"/>
      <c r="P24" s="45"/>
      <c r="Q24" s="100"/>
      <c r="R24" s="100"/>
      <c r="S24" s="45">
        <v>23</v>
      </c>
      <c r="T24" s="76">
        <f t="shared" ca="1" si="0"/>
        <v>11.5</v>
      </c>
      <c r="U24" s="76">
        <f t="shared" ca="1" si="1"/>
        <v>156.17767182098638</v>
      </c>
      <c r="V24" s="78">
        <f t="shared" ca="1" si="2"/>
        <v>0.30546438211198529</v>
      </c>
      <c r="W24" s="78">
        <f ca="1">(Target!$D$10/COS(T24*(2*PI()/360)))</f>
        <v>2.1137933184389453E-2</v>
      </c>
      <c r="X24" s="78"/>
      <c r="Y24" s="78">
        <f t="shared" ca="1" si="3"/>
        <v>2.0945356178880128</v>
      </c>
      <c r="Z24" s="78">
        <f ca="1">(Target!$D$10/COS(U24*(2*PI()/360)))</f>
        <v>-2.2642686951584709E-2</v>
      </c>
      <c r="AA24" s="46">
        <f t="shared" ca="1" si="4"/>
        <v>11.5</v>
      </c>
      <c r="AB24" s="46">
        <f t="shared" ca="1" si="5"/>
        <v>-23.822328179013628</v>
      </c>
      <c r="AF24" s="269">
        <f ca="1">INDEX('SRIM Data'!$EH$9:$EH$140,AF22)</f>
        <v>0.14000000000000001</v>
      </c>
      <c r="AG24" s="268">
        <f ca="1">INDEX('SRIM Data'!$EI$9:$EI$140,AF22)</f>
        <v>0.84030000000000005</v>
      </c>
      <c r="AI24" s="45"/>
    </row>
    <row r="25" spans="1:35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3"/>
      <c r="P25" s="45"/>
      <c r="Q25" s="100"/>
      <c r="R25" s="100"/>
      <c r="S25" s="45">
        <v>24</v>
      </c>
      <c r="T25" s="76">
        <f t="shared" ca="1" si="0"/>
        <v>12</v>
      </c>
      <c r="U25" s="76">
        <f t="shared" ca="1" si="1"/>
        <v>155.14421046532308</v>
      </c>
      <c r="V25" s="78">
        <f t="shared" ca="1" si="2"/>
        <v>0.30435746090993587</v>
      </c>
      <c r="W25" s="78">
        <f ca="1">(Target!$D$10/COS(T25*(2*PI()/360)))</f>
        <v>2.1176336696494834E-2</v>
      </c>
      <c r="X25" s="78"/>
      <c r="Y25" s="78">
        <f t="shared" ca="1" si="3"/>
        <v>2.0956425390900617</v>
      </c>
      <c r="Z25" s="78">
        <f ca="1">(Target!$D$10/COS(U25*(2*PI()/360)))</f>
        <v>-2.2828189562788967E-2</v>
      </c>
      <c r="AA25" s="46">
        <f t="shared" ca="1" si="4"/>
        <v>12</v>
      </c>
      <c r="AB25" s="46">
        <f t="shared" ca="1" si="5"/>
        <v>-24.855789534676909</v>
      </c>
      <c r="AF25" s="269">
        <f ca="1">INDEX('SRIM Data'!$EH$9:$EH$140,AF23)</f>
        <v>0.15</v>
      </c>
      <c r="AG25" s="268">
        <f ca="1">INDEX('SRIM Data'!$EI$9:$EI$140,AF23)</f>
        <v>0.88530000000000009</v>
      </c>
      <c r="AI25" s="45"/>
    </row>
    <row r="26" spans="1:35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3"/>
      <c r="P26" s="45"/>
      <c r="Q26" s="101"/>
      <c r="R26" s="102"/>
      <c r="S26" s="45">
        <v>25</v>
      </c>
      <c r="T26" s="76">
        <f t="shared" ca="1" si="0"/>
        <v>12.5</v>
      </c>
      <c r="U26" s="76">
        <f t="shared" ca="1" si="1"/>
        <v>154.11103644600081</v>
      </c>
      <c r="V26" s="78">
        <f t="shared" ca="1" si="2"/>
        <v>0.30320627893005048</v>
      </c>
      <c r="W26" s="78">
        <f ca="1">(Target!$D$10/COS(T26*(2*PI()/360)))</f>
        <v>2.121649866531012E-2</v>
      </c>
      <c r="X26" s="78"/>
      <c r="Y26" s="78">
        <f t="shared" ca="1" si="3"/>
        <v>2.0967937210699468</v>
      </c>
      <c r="Z26" s="78">
        <f ca="1">(Target!$D$10/COS(U26*(2*PI()/360)))</f>
        <v>-2.3024253240180953E-2</v>
      </c>
      <c r="AA26" s="46">
        <f t="shared" ca="1" si="4"/>
        <v>12.5</v>
      </c>
      <c r="AB26" s="46">
        <f t="shared" ca="1" si="5"/>
        <v>-25.888963553999194</v>
      </c>
      <c r="AF26" s="269">
        <f ca="1">(AF25-AD22)/(AF25-AF24)</f>
        <v>-15.754410705186189</v>
      </c>
      <c r="AG26" s="268">
        <f ca="1">AG25-AF26*(AG25-AG24)</f>
        <v>1.5942484817333793</v>
      </c>
      <c r="AI26" s="45"/>
    </row>
    <row r="27" spans="1:35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3"/>
      <c r="P27" s="45"/>
      <c r="Q27" s="103"/>
      <c r="R27" s="103"/>
      <c r="S27" s="45">
        <v>26</v>
      </c>
      <c r="T27" s="76">
        <f t="shared" ca="1" si="0"/>
        <v>12.999999999999998</v>
      </c>
      <c r="U27" s="76">
        <f t="shared" ca="1" si="1"/>
        <v>153.07816065477499</v>
      </c>
      <c r="V27" s="78">
        <f t="shared" ca="1" si="2"/>
        <v>0.30201118683351208</v>
      </c>
      <c r="W27" s="78">
        <f ca="1">(Target!$D$10/COS(T27*(2*PI()/360)))</f>
        <v>2.1258435250238551E-2</v>
      </c>
      <c r="X27" s="78"/>
      <c r="Y27" s="78">
        <f t="shared" ca="1" si="3"/>
        <v>2.0979888131664866</v>
      </c>
      <c r="Z27" s="78">
        <f ca="1">(Target!$D$10/COS(U27*(2*PI()/360)))</f>
        <v>-2.3231271753328186E-2</v>
      </c>
      <c r="AA27" s="46">
        <f t="shared" ca="1" si="4"/>
        <v>12.999999999999998</v>
      </c>
      <c r="AB27" s="46">
        <f t="shared" ca="1" si="5"/>
        <v>-26.921839345225006</v>
      </c>
      <c r="AF27" s="267"/>
      <c r="AG27" s="268">
        <f ca="1">AG26-AE22</f>
        <v>1.5731821409781359</v>
      </c>
    </row>
    <row r="28" spans="1:35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3"/>
      <c r="P28" s="45"/>
      <c r="Q28" s="101"/>
      <c r="R28" s="101"/>
      <c r="S28" s="45">
        <v>27</v>
      </c>
      <c r="T28" s="76">
        <f t="shared" ca="1" si="0"/>
        <v>13.499999999999996</v>
      </c>
      <c r="U28" s="76">
        <f t="shared" ca="1" si="1"/>
        <v>152.04559385565389</v>
      </c>
      <c r="V28" s="78">
        <f t="shared" ca="1" si="2"/>
        <v>0.30077254865695019</v>
      </c>
      <c r="W28" s="78">
        <f ca="1">(Target!$D$10/COS(T28*(2*PI()/360)))</f>
        <v>2.1302163402521022E-2</v>
      </c>
      <c r="X28" s="78"/>
      <c r="Y28" s="78">
        <f t="shared" ca="1" si="3"/>
        <v>2.0992274513430482</v>
      </c>
      <c r="Z28" s="78">
        <f ca="1">(Target!$D$10/COS(U28*(2*PI()/360)))</f>
        <v>-2.3449669198597482E-2</v>
      </c>
      <c r="AA28" s="46">
        <f t="shared" ca="1" si="4"/>
        <v>13.499999999999996</v>
      </c>
      <c r="AB28" s="46">
        <f t="shared" ca="1" si="5"/>
        <v>-27.954406144346116</v>
      </c>
      <c r="AF28" s="267"/>
      <c r="AG28" s="268">
        <f ca="1">MATCH(AG27,'SRIM Data'!$EI$9:$EI$140)-9</f>
        <v>32</v>
      </c>
      <c r="AI28" s="45"/>
    </row>
    <row r="29" spans="1:35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"/>
      <c r="P29" s="45"/>
      <c r="Q29" s="101"/>
      <c r="R29" s="101"/>
      <c r="S29" s="45">
        <v>28</v>
      </c>
      <c r="T29" s="76">
        <f t="shared" ca="1" si="0"/>
        <v>14</v>
      </c>
      <c r="U29" s="76">
        <f t="shared" ca="1" si="1"/>
        <v>151.01334668067472</v>
      </c>
      <c r="V29" s="78">
        <f t="shared" ca="1" si="2"/>
        <v>0.29949074170155221</v>
      </c>
      <c r="W29" s="78">
        <f ca="1">(Target!$D$10/COS(T29*(2*PI()/360)))</f>
        <v>2.1347700882396525E-2</v>
      </c>
      <c r="X29" s="78"/>
      <c r="Y29" s="78">
        <f t="shared" ca="1" si="3"/>
        <v>2.1005092582984455</v>
      </c>
      <c r="Z29" s="78">
        <f ca="1">(Target!$D$10/COS(U29*(2*PI()/360)))</f>
        <v>-2.3679902335048009E-2</v>
      </c>
      <c r="AA29" s="46">
        <f t="shared" ca="1" si="4"/>
        <v>14</v>
      </c>
      <c r="AB29" s="46">
        <f t="shared" ca="1" si="5"/>
        <v>-28.986653319325278</v>
      </c>
      <c r="AF29" s="267"/>
      <c r="AG29" s="268">
        <f ca="1">AG28+1</f>
        <v>33</v>
      </c>
      <c r="AI29" s="45"/>
    </row>
    <row r="30" spans="1:35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3"/>
      <c r="P30" s="45"/>
      <c r="Q30" s="103"/>
      <c r="R30" s="103"/>
      <c r="S30" s="45">
        <v>29</v>
      </c>
      <c r="T30" s="76">
        <f t="shared" ca="1" si="0"/>
        <v>14.500000000000002</v>
      </c>
      <c r="U30" s="76">
        <f t="shared" ca="1" si="1"/>
        <v>149.98142962577685</v>
      </c>
      <c r="V30" s="78">
        <f t="shared" ca="1" si="2"/>
        <v>0.29816615641813432</v>
      </c>
      <c r="W30" s="78">
        <f ca="1">(Target!$D$10/COS(T30*(2*PI()/360)))</f>
        <v>2.1395066277203369E-2</v>
      </c>
      <c r="X30" s="78"/>
      <c r="Y30" s="78">
        <f t="shared" ca="1" si="3"/>
        <v>2.101833843581864</v>
      </c>
      <c r="Z30" s="78">
        <f ca="1">(Target!$D$10/COS(U30*(2*PI()/360)))</f>
        <v>-2.3922463168263283E-2</v>
      </c>
      <c r="AA30" s="46">
        <f t="shared" ca="1" si="4"/>
        <v>14.500000000000002</v>
      </c>
      <c r="AB30" s="46">
        <f t="shared" ca="1" si="5"/>
        <v>-30.018570374223131</v>
      </c>
      <c r="AF30" s="269">
        <f ca="1">INDEX('SRIM Data'!$EH$9:$EH$140,AG28)</f>
        <v>0.15</v>
      </c>
      <c r="AG30" s="268">
        <f ca="1">INDEX('SRIM Data'!$EI$9:$EI$140,AG28)</f>
        <v>0.88530000000000009</v>
      </c>
      <c r="AI30" s="45"/>
    </row>
    <row r="31" spans="1:35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3"/>
      <c r="P31" s="100"/>
      <c r="Q31" s="103"/>
      <c r="R31" s="103"/>
      <c r="S31" s="45">
        <v>30</v>
      </c>
      <c r="T31" s="76">
        <f t="shared" ca="1" si="0"/>
        <v>14.999999999999996</v>
      </c>
      <c r="U31" s="76">
        <f t="shared" ca="1" si="1"/>
        <v>148.94985304677402</v>
      </c>
      <c r="V31" s="78">
        <f t="shared" ca="1" si="2"/>
        <v>0.29679919628820528</v>
      </c>
      <c r="W31" s="78">
        <f ca="1">(Target!$D$10/COS(T31*(2*PI()/360)))</f>
        <v>2.1444279020456387E-2</v>
      </c>
      <c r="X31" s="78"/>
      <c r="Y31" s="78">
        <f t="shared" ca="1" si="3"/>
        <v>2.1032008037117937</v>
      </c>
      <c r="Z31" s="78">
        <f ca="1">(Target!$D$10/COS(U31*(2*PI()/360)))</f>
        <v>-2.4177881811449649E-2</v>
      </c>
      <c r="AA31" s="46">
        <f t="shared" ca="1" si="4"/>
        <v>14.999999999999996</v>
      </c>
      <c r="AB31" s="46">
        <f t="shared" ca="1" si="5"/>
        <v>-31.05014695322599</v>
      </c>
      <c r="AF31" s="280">
        <f ca="1">INDEX('SRIM Data'!$EH$9:$EH$140,AG29)</f>
        <v>0.16</v>
      </c>
      <c r="AG31" s="271">
        <f ca="1">INDEX('SRIM Data'!$EI$9:$EI$140,AG29)</f>
        <v>0.92949999999999999</v>
      </c>
      <c r="AI31" s="45"/>
    </row>
    <row r="32" spans="1:35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3"/>
      <c r="P32" s="100"/>
      <c r="Q32" s="101"/>
      <c r="R32" s="101"/>
      <c r="S32" s="45">
        <v>31</v>
      </c>
      <c r="T32" s="76">
        <f t="shared" ca="1" si="0"/>
        <v>15.5</v>
      </c>
      <c r="U32" s="76">
        <f t="shared" ca="1" si="1"/>
        <v>147.91862715542786</v>
      </c>
      <c r="V32" s="78">
        <f t="shared" ca="1" si="2"/>
        <v>0.29539027770106235</v>
      </c>
      <c r="W32" s="78">
        <f ca="1">(Target!$D$10/COS(T32*(2*PI()/360)))</f>
        <v>2.1495359411937597E-2</v>
      </c>
      <c r="X32" s="78"/>
      <c r="Y32" s="78">
        <f t="shared" ca="1" si="3"/>
        <v>2.1046097222989353</v>
      </c>
      <c r="Z32" s="78">
        <f ca="1">(Target!$D$10/COS(U32*(2*PI()/360)))</f>
        <v>-2.4446729657289275E-2</v>
      </c>
      <c r="AA32" s="46">
        <f t="shared" ca="1" si="4"/>
        <v>15.5</v>
      </c>
      <c r="AB32" s="46">
        <f t="shared" ca="1" si="5"/>
        <v>-32.081372844572151</v>
      </c>
      <c r="AF32" s="416" t="e">
        <f>MATCH(AD32,'SRIM Data'!$EH$9:$EH$140,1)-9</f>
        <v>#N/A</v>
      </c>
      <c r="AG32" s="279"/>
      <c r="AI32" s="45"/>
    </row>
    <row r="33" spans="1:35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3"/>
      <c r="S33" s="45">
        <v>32</v>
      </c>
      <c r="T33" s="76">
        <f t="shared" ca="1" si="0"/>
        <v>15.999999999999996</v>
      </c>
      <c r="U33" s="76">
        <f t="shared" ca="1" si="1"/>
        <v>146.88776201562541</v>
      </c>
      <c r="V33" s="78">
        <f t="shared" ca="1" si="2"/>
        <v>0.29393982982695621</v>
      </c>
      <c r="W33" s="78">
        <f ca="1">(Target!$D$10/COS(T33*(2*PI()/360)))</f>
        <v>2.1548328638840084E-2</v>
      </c>
      <c r="X33" s="78"/>
      <c r="Y33" s="78">
        <f t="shared" ca="1" si="3"/>
        <v>2.1060601701730408</v>
      </c>
      <c r="Z33" s="78">
        <f ca="1">(Target!$D$10/COS(U33*(2*PI()/360)))</f>
        <v>-2.4729622898862776E-2</v>
      </c>
      <c r="AA33" s="46">
        <f t="shared" ca="1" si="4"/>
        <v>15.999999999999996</v>
      </c>
      <c r="AB33" s="46">
        <f t="shared" ca="1" si="5"/>
        <v>-33.112237984374602</v>
      </c>
      <c r="AF33" s="267" t="e">
        <f>AF32+1</f>
        <v>#N/A</v>
      </c>
      <c r="AG33" s="268"/>
      <c r="AI33" s="45"/>
    </row>
    <row r="34" spans="1:35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3"/>
      <c r="S34" s="45">
        <v>33</v>
      </c>
      <c r="T34" s="76">
        <f t="shared" ref="T34:T65" ca="1" si="12">AA34-180*(-1+SIGN(AA34))/2</f>
        <v>16.499999999999996</v>
      </c>
      <c r="U34" s="76">
        <f t="shared" ref="U34:U65" ca="1" si="13">AB34-180*(-1+SIGN(AB34))/2</f>
        <v>145.85726753966162</v>
      </c>
      <c r="V34" s="78">
        <f t="shared" ref="V34:V65" ca="1" si="14">(($R$10*SIN(RADIANS(S34))/SIN(RADIANS(AA34)))^2)/(2*$O$8)</f>
        <v>0.29244829448635967</v>
      </c>
      <c r="W34" s="78">
        <f ca="1">(Target!$D$10/COS(T34*(2*PI()/360)))</f>
        <v>2.1603208798007395E-2</v>
      </c>
      <c r="X34" s="78"/>
      <c r="Y34" s="78">
        <f t="shared" ref="Y34:Y65" ca="1" si="15">(($R$10*SIN(RADIANS(S34))/SIN(RADIANS(AB34)))^2)/(2*$O$9)</f>
        <v>2.1075517055136386</v>
      </c>
      <c r="Z34" s="78">
        <f ca="1">(Target!$D$10/COS(U34*(2*PI()/360)))</f>
        <v>-2.5027226443571138E-2</v>
      </c>
      <c r="AA34" s="46">
        <f t="shared" ref="AA34:AA65" ca="1" si="16">DEGREES(ATAN(SIN(RADIANS(S34))/($R$11/$R$10+COS(RADIANS(S34)))))</f>
        <v>16.499999999999996</v>
      </c>
      <c r="AB34" s="46">
        <f t="shared" ref="AB34:AB65" ca="1" si="17">DEGREES(ATAN(SIN(RADIANS(S34))/($R$11/$R$12-COS(RADIANS(S34)))))</f>
        <v>-34.142732460338365</v>
      </c>
      <c r="AF34" s="269" t="e">
        <f>INDEX('SRIM Data'!$EH$9:$EH$140,AF32)</f>
        <v>#N/A</v>
      </c>
      <c r="AG34" s="268" t="e">
        <f>INDEX('SRIM Data'!$EI$9:$EI$140,AF32)</f>
        <v>#N/A</v>
      </c>
      <c r="AI34" s="45"/>
    </row>
    <row r="35" spans="1:35" x14ac:dyDescent="0.2">
      <c r="B35" s="1" t="s">
        <v>315</v>
      </c>
      <c r="N35" s="13"/>
      <c r="S35" s="45">
        <v>34</v>
      </c>
      <c r="T35" s="76">
        <f t="shared" ca="1" si="12"/>
        <v>17</v>
      </c>
      <c r="U35" s="76">
        <f t="shared" ca="1" si="13"/>
        <v>144.82715348462952</v>
      </c>
      <c r="V35" s="78">
        <f t="shared" ca="1" si="14"/>
        <v>0.29091612601538647</v>
      </c>
      <c r="W35" s="78">
        <f ca="1">(Target!$D$10/COS(T35*(2*PI()/360)))</f>
        <v>2.1660022919313307E-2</v>
      </c>
      <c r="X35" s="78"/>
      <c r="Y35" s="78">
        <f t="shared" ca="1" si="15"/>
        <v>2.1090838739846118</v>
      </c>
      <c r="Z35" s="78">
        <f ca="1">(Target!$D$10/COS(U35*(2*PI()/360)))</f>
        <v>-2.5340258270534016E-2</v>
      </c>
      <c r="AA35" s="46">
        <f t="shared" ca="1" si="16"/>
        <v>17</v>
      </c>
      <c r="AB35" s="46">
        <f t="shared" ca="1" si="17"/>
        <v>-35.17284651537048</v>
      </c>
      <c r="AF35" s="269" t="e">
        <f>INDEX('SRIM Data'!$EH$9:$EH$140,AF33)</f>
        <v>#N/A</v>
      </c>
      <c r="AG35" s="268" t="e">
        <f>INDEX('SRIM Data'!$EI$9:$EI$140,AF33)</f>
        <v>#N/A</v>
      </c>
      <c r="AI35" s="45"/>
    </row>
    <row r="36" spans="1:35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3"/>
      <c r="S36" s="45">
        <v>35</v>
      </c>
      <c r="T36" s="76">
        <f t="shared" ca="1" si="12"/>
        <v>17.5</v>
      </c>
      <c r="U36" s="76">
        <f t="shared" ca="1" si="13"/>
        <v>143.7974294489191</v>
      </c>
      <c r="V36" s="78">
        <f t="shared" ca="1" si="14"/>
        <v>0.28934379112739528</v>
      </c>
      <c r="W36" s="78">
        <f ca="1">(Target!$D$10/COS(T36*(2*PI()/360)))</f>
        <v>2.1718794990229627E-2</v>
      </c>
      <c r="X36" s="78"/>
      <c r="Y36" s="78">
        <f t="shared" ca="1" si="15"/>
        <v>2.1106562088726024</v>
      </c>
      <c r="Z36" s="78">
        <f ca="1">(Target!$D$10/COS(U36*(2*PI()/360)))</f>
        <v>-2.5669494289599682E-2</v>
      </c>
      <c r="AA36" s="46">
        <f t="shared" ca="1" si="16"/>
        <v>17.5</v>
      </c>
      <c r="AB36" s="46">
        <f t="shared" ca="1" si="17"/>
        <v>-36.202570551080896</v>
      </c>
      <c r="AF36" s="269" t="e">
        <f>(AF35-AD32)/(AF35-AF34)</f>
        <v>#N/A</v>
      </c>
      <c r="AG36" s="268" t="e">
        <f>AG35-AF36*(AG35-AG34)</f>
        <v>#N/A</v>
      </c>
      <c r="AI36" s="45"/>
    </row>
    <row r="37" spans="1:35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3"/>
      <c r="S37" s="45">
        <v>36</v>
      </c>
      <c r="T37" s="76">
        <f t="shared" ca="1" si="12"/>
        <v>18</v>
      </c>
      <c r="U37" s="76">
        <f t="shared" ca="1" si="13"/>
        <v>142.76810486882704</v>
      </c>
      <c r="V37" s="78">
        <f t="shared" ca="1" si="14"/>
        <v>0.28773176877082479</v>
      </c>
      <c r="W37" s="78">
        <f ca="1">(Target!$D$10/COS(T37*(2*PI()/360)))</f>
        <v>2.177954998163259E-2</v>
      </c>
      <c r="X37" s="78"/>
      <c r="Y37" s="78">
        <f t="shared" ca="1" si="15"/>
        <v>2.1122682312291734</v>
      </c>
      <c r="Z37" s="78">
        <f ca="1">(Target!$D$10/COS(U37*(2*PI()/360)))</f>
        <v>-2.6015773769083476E-2</v>
      </c>
      <c r="AA37" s="46">
        <f t="shared" ca="1" si="16"/>
        <v>18</v>
      </c>
      <c r="AB37" s="46">
        <f t="shared" ca="1" si="17"/>
        <v>-37.231895131172969</v>
      </c>
      <c r="AF37" s="267"/>
      <c r="AG37" s="268" t="e">
        <f>AG36-AE32</f>
        <v>#N/A</v>
      </c>
      <c r="AI37" s="45"/>
    </row>
    <row r="38" spans="1:35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3"/>
      <c r="S38" s="45">
        <v>37</v>
      </c>
      <c r="T38" s="76">
        <f t="shared" ca="1" si="12"/>
        <v>18.499999999999996</v>
      </c>
      <c r="U38" s="76">
        <f t="shared" ca="1" si="13"/>
        <v>141.73918901527816</v>
      </c>
      <c r="V38" s="78">
        <f t="shared" ca="1" si="14"/>
        <v>0.28608054998330046</v>
      </c>
      <c r="W38" s="78">
        <f ca="1">(Target!$D$10/COS(T38*(2*PI()/360)))</f>
        <v>2.1842313874901494E-2</v>
      </c>
      <c r="X38" s="78"/>
      <c r="Y38" s="78">
        <f t="shared" ca="1" si="15"/>
        <v>2.1139194500166973</v>
      </c>
      <c r="Z38" s="78">
        <f ca="1">(Target!$D$10/COS(U38*(2*PI()/360)))</f>
        <v>-2.6380005409917161E-2</v>
      </c>
      <c r="AA38" s="46">
        <f t="shared" ca="1" si="16"/>
        <v>18.499999999999996</v>
      </c>
      <c r="AB38" s="46">
        <f t="shared" ca="1" si="17"/>
        <v>-38.260810984721829</v>
      </c>
      <c r="AF38" s="267"/>
      <c r="AG38" s="268" t="e">
        <f>MATCH(AG37,'SRIM Data'!$EI$9:$EI$140)-9</f>
        <v>#N/A</v>
      </c>
    </row>
    <row r="39" spans="1:35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3"/>
      <c r="S39" s="45">
        <v>38</v>
      </c>
      <c r="T39" s="76">
        <f t="shared" ca="1" si="12"/>
        <v>18.999999999999996</v>
      </c>
      <c r="U39" s="76">
        <f t="shared" ca="1" si="13"/>
        <v>140.71069099066034</v>
      </c>
      <c r="V39" s="78">
        <f t="shared" ca="1" si="14"/>
        <v>0.28439063774206091</v>
      </c>
      <c r="W39" s="78">
        <f ca="1">(Target!$D$10/COS(T39*(2*PI()/360)))</f>
        <v>2.1907113690366544E-2</v>
      </c>
      <c r="X39" s="78"/>
      <c r="Y39" s="78">
        <f t="shared" ca="1" si="15"/>
        <v>2.1156093622579375</v>
      </c>
      <c r="Z39" s="78">
        <f ca="1">(Target!$D$10/COS(U39*(2*PI()/360)))</f>
        <v>-2.6763174156358177E-2</v>
      </c>
      <c r="AA39" s="46">
        <f t="shared" ca="1" si="16"/>
        <v>18.999999999999996</v>
      </c>
      <c r="AB39" s="46">
        <f t="shared" ca="1" si="17"/>
        <v>-39.289309009339661</v>
      </c>
      <c r="AF39" s="267"/>
      <c r="AG39" s="268" t="e">
        <f>AG38+1</f>
        <v>#N/A</v>
      </c>
      <c r="AI39" s="45"/>
    </row>
    <row r="40" spans="1:35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3"/>
      <c r="S40" s="45">
        <v>39</v>
      </c>
      <c r="T40" s="76">
        <f t="shared" ca="1" si="12"/>
        <v>19.499999999999996</v>
      </c>
      <c r="U40" s="76">
        <f t="shared" ca="1" si="13"/>
        <v>139.68261972577341</v>
      </c>
      <c r="V40" s="78">
        <f t="shared" ca="1" si="14"/>
        <v>0.28266254681074526</v>
      </c>
      <c r="W40" s="78">
        <f ca="1">(Target!$D$10/COS(T40*(2*PI()/360)))</f>
        <v>2.1973977517166322E-2</v>
      </c>
      <c r="X40" s="78"/>
      <c r="Y40" s="78">
        <f t="shared" ca="1" si="15"/>
        <v>2.1173374531892524</v>
      </c>
      <c r="Z40" s="78">
        <f ca="1">(Target!$D$10/COS(U40*(2*PI()/360)))</f>
        <v>-2.7166348848163931E-2</v>
      </c>
      <c r="AA40" s="46">
        <f t="shared" ca="1" si="16"/>
        <v>19.499999999999996</v>
      </c>
      <c r="AB40" s="46">
        <f t="shared" ca="1" si="17"/>
        <v>-40.317380274226586</v>
      </c>
      <c r="AF40" s="269" t="e">
        <f>INDEX('SRIM Data'!$EH$9:$EH$140,AG38)</f>
        <v>#N/A</v>
      </c>
      <c r="AG40" s="268" t="e">
        <f>INDEX('SRIM Data'!$EI$9:$EI$140,AG38)</f>
        <v>#N/A</v>
      </c>
      <c r="AI40" s="45"/>
    </row>
    <row r="41" spans="1:35" x14ac:dyDescent="0.2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3"/>
      <c r="S41" s="45">
        <v>40</v>
      </c>
      <c r="T41" s="76">
        <f t="shared" ca="1" si="12"/>
        <v>19.999999999999993</v>
      </c>
      <c r="U41" s="76">
        <f t="shared" ca="1" si="13"/>
        <v>138.65498397689385</v>
      </c>
      <c r="V41" s="78">
        <f t="shared" ca="1" si="14"/>
        <v>0.28089680358259173</v>
      </c>
      <c r="W41" s="78">
        <f ca="1">(Target!$D$10/COS(T41*(2*PI()/360)))</f>
        <v>2.204293454457899E-2</v>
      </c>
      <c r="X41" s="78"/>
      <c r="Y41" s="78">
        <f t="shared" ca="1" si="15"/>
        <v>2.1191031964174067</v>
      </c>
      <c r="Z41" s="78">
        <f ca="1">(Target!$D$10/COS(U41*(2*PI()/360)))</f>
        <v>-2.7590690836658591E-2</v>
      </c>
      <c r="AA41" s="46">
        <f t="shared" ca="1" si="16"/>
        <v>19.999999999999993</v>
      </c>
      <c r="AB41" s="46">
        <f t="shared" ca="1" si="17"/>
        <v>-41.345016023106169</v>
      </c>
      <c r="AF41" s="280" t="e">
        <f>INDEX('SRIM Data'!$EH$9:$EH$140,AG39)</f>
        <v>#N/A</v>
      </c>
      <c r="AG41" s="271" t="e">
        <f>INDEX('SRIM Data'!$EI$9:$EI$140,AG39)</f>
        <v>#N/A</v>
      </c>
      <c r="AI41" s="45"/>
    </row>
    <row r="42" spans="1:35" x14ac:dyDescent="0.2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3"/>
      <c r="S42" s="45">
        <v>41</v>
      </c>
      <c r="T42" s="76">
        <f t="shared" ca="1" si="12"/>
        <v>20.499999999999996</v>
      </c>
      <c r="U42" s="76">
        <f t="shared" ca="1" si="13"/>
        <v>137.6277923229552</v>
      </c>
      <c r="V42" s="78">
        <f t="shared" ca="1" si="14"/>
        <v>0.27909394592009246</v>
      </c>
      <c r="W42" s="78">
        <f ca="1">(Target!$D$10/COS(T42*(2*PI()/360)))</f>
        <v>2.2114015094895273E-2</v>
      </c>
      <c r="X42" s="78"/>
      <c r="Y42" s="78">
        <f t="shared" ca="1" si="15"/>
        <v>2.1209060540799061</v>
      </c>
      <c r="Z42" s="78">
        <f ca="1">(Target!$D$10/COS(U42*(2*PI()/360)))</f>
        <v>-2.8037463708000001E-2</v>
      </c>
      <c r="AA42" s="46">
        <f t="shared" ca="1" si="16"/>
        <v>20.499999999999996</v>
      </c>
      <c r="AB42" s="46">
        <f t="shared" ca="1" si="17"/>
        <v>-42.372207677044806</v>
      </c>
      <c r="AF42" s="278">
        <f ca="1">MATCH(AD6,'SRIM Data'!$Z$9:$Z$140)</f>
        <v>40</v>
      </c>
      <c r="AG42" s="279"/>
      <c r="AI42" s="45"/>
    </row>
    <row r="43" spans="1:35" x14ac:dyDescent="0.2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3"/>
      <c r="S43" s="45">
        <v>42</v>
      </c>
      <c r="T43" s="76">
        <f t="shared" ca="1" si="12"/>
        <v>21</v>
      </c>
      <c r="U43" s="76">
        <f t="shared" ca="1" si="13"/>
        <v>136.6010531628458</v>
      </c>
      <c r="V43" s="78">
        <f t="shared" ca="1" si="14"/>
        <v>0.27725452299115638</v>
      </c>
      <c r="W43" s="78">
        <f ca="1">(Target!$D$10/COS(T43*(2*PI()/360)))</f>
        <v>2.2187250657905427E-2</v>
      </c>
      <c r="X43" s="78"/>
      <c r="Y43" s="78">
        <f t="shared" ca="1" si="15"/>
        <v>2.1227454770088414</v>
      </c>
      <c r="Z43" s="78">
        <f ca="1">(Target!$D$10/COS(U43*(2*PI()/360)))</f>
        <v>-2.8508044281918946E-2</v>
      </c>
      <c r="AA43" s="46">
        <f t="shared" ca="1" si="16"/>
        <v>21</v>
      </c>
      <c r="AB43" s="46">
        <f t="shared" ca="1" si="17"/>
        <v>-43.398946837154192</v>
      </c>
      <c r="AF43" s="267">
        <f ca="1">AF42+1</f>
        <v>41</v>
      </c>
      <c r="AG43" s="268"/>
      <c r="AI43" s="45"/>
    </row>
    <row r="44" spans="1:35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3"/>
      <c r="S44" s="45">
        <v>43</v>
      </c>
      <c r="T44" s="76">
        <f t="shared" ca="1" si="12"/>
        <v>21.5</v>
      </c>
      <c r="U44" s="76">
        <f t="shared" ca="1" si="13"/>
        <v>135.57477471282374</v>
      </c>
      <c r="V44" s="78">
        <f t="shared" ca="1" si="14"/>
        <v>0.27537909510182629</v>
      </c>
      <c r="W44" s="78">
        <f ca="1">(Target!$D$10/COS(T44*(2*PI()/360)))</f>
        <v>2.2262673927076846E-2</v>
      </c>
      <c r="X44" s="78"/>
      <c r="Y44" s="78">
        <f t="shared" ca="1" si="15"/>
        <v>2.1246209048981717</v>
      </c>
      <c r="Z44" s="78">
        <f ca="1">(Target!$D$10/COS(U44*(2*PI()/360)))</f>
        <v>-2.9003935084165048E-2</v>
      </c>
      <c r="AA44" s="46">
        <f t="shared" ca="1" si="16"/>
        <v>21.5</v>
      </c>
      <c r="AB44" s="46">
        <f t="shared" ca="1" si="17"/>
        <v>-44.425225287176254</v>
      </c>
      <c r="AF44" s="269">
        <f ca="1">INDEX('SRIM Data'!$Z$9:$Z$140,AF42)</f>
        <v>0.3</v>
      </c>
      <c r="AG44" s="268">
        <f ca="1">INDEX('SRIM Data'!$AA$9:$AA$140,AF42)</f>
        <v>0.84179999999999999</v>
      </c>
      <c r="AI44" s="45"/>
    </row>
    <row r="45" spans="1:35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3"/>
      <c r="S45" s="45">
        <v>44</v>
      </c>
      <c r="T45" s="76">
        <f t="shared" ca="1" si="12"/>
        <v>21.999999999999993</v>
      </c>
      <c r="U45" s="76">
        <f t="shared" ca="1" si="13"/>
        <v>134.54896500404965</v>
      </c>
      <c r="V45" s="78">
        <f t="shared" ca="1" si="14"/>
        <v>0.2734682335256054</v>
      </c>
      <c r="W45" s="78">
        <f ca="1">(Target!$D$10/COS(T45*(2*PI()/360)))</f>
        <v>2.2340318837503672E-2</v>
      </c>
      <c r="X45" s="78"/>
      <c r="Y45" s="78">
        <f t="shared" ca="1" si="15"/>
        <v>2.1265317664743923</v>
      </c>
      <c r="Z45" s="78">
        <f ca="1">(Target!$D$10/COS(U45*(2*PI()/360)))</f>
        <v>-2.9526778526986798E-2</v>
      </c>
      <c r="AA45" s="46">
        <f t="shared" ca="1" si="16"/>
        <v>21.999999999999993</v>
      </c>
      <c r="AB45" s="46">
        <f t="shared" ca="1" si="17"/>
        <v>-45.451034995950344</v>
      </c>
      <c r="AF45" s="269">
        <f ca="1">INDEX('SRIM Data'!$Z$9:$Z$140,AF43)</f>
        <v>0.32500000000000001</v>
      </c>
      <c r="AG45" s="268">
        <f ca="1">INDEX('SRIM Data'!$AA$9:$AA$140,AF43)</f>
        <v>0.89990000000000003</v>
      </c>
      <c r="AI45" s="45"/>
    </row>
    <row r="46" spans="1:35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3"/>
      <c r="S46" s="45">
        <v>45</v>
      </c>
      <c r="T46" s="76">
        <f t="shared" ca="1" si="12"/>
        <v>22.499999999999993</v>
      </c>
      <c r="U46" s="76">
        <f t="shared" ca="1" si="13"/>
        <v>133.52363188023799</v>
      </c>
      <c r="V46" s="78">
        <f t="shared" ca="1" si="14"/>
        <v>0.27152252032944035</v>
      </c>
      <c r="W46" s="78">
        <f ca="1">(Target!$D$10/COS(T46*(2*PI()/360)))</f>
        <v>2.2420220605714754E-2</v>
      </c>
      <c r="X46" s="78"/>
      <c r="Y46" s="78">
        <f t="shared" ca="1" si="15"/>
        <v>2.1284774796705572</v>
      </c>
      <c r="Z46" s="78">
        <f ca="1">(Target!$D$10/COS(U46*(2*PI()/360)))</f>
        <v>-3.0078373075625175E-2</v>
      </c>
      <c r="AA46" s="46">
        <f t="shared" ca="1" si="16"/>
        <v>22.499999999999993</v>
      </c>
      <c r="AB46" s="46">
        <f t="shared" ca="1" si="17"/>
        <v>-46.476368119762029</v>
      </c>
      <c r="AF46" s="267">
        <f ca="1">(AF45-AD6)/(AF45-AF44)</f>
        <v>0.29987317799992946</v>
      </c>
      <c r="AG46" s="268">
        <f ca="1">AG45-AF46*(AG45-AG44)</f>
        <v>0.88247736835820412</v>
      </c>
      <c r="AI46" s="45"/>
    </row>
    <row r="47" spans="1:35" x14ac:dyDescent="0.2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3"/>
      <c r="S47" s="45">
        <v>46</v>
      </c>
      <c r="T47" s="76">
        <f t="shared" ca="1" si="12"/>
        <v>22.999999999999996</v>
      </c>
      <c r="U47" s="76">
        <f t="shared" ca="1" si="13"/>
        <v>132.49878299542638</v>
      </c>
      <c r="V47" s="78">
        <f t="shared" ca="1" si="14"/>
        <v>0.26954254819641937</v>
      </c>
      <c r="W47" s="78">
        <f ca="1">(Target!$D$10/COS(T47*(2*PI()/360)))</f>
        <v>2.250241577143175E-2</v>
      </c>
      <c r="X47" s="78"/>
      <c r="Y47" s="78">
        <f t="shared" ca="1" si="15"/>
        <v>2.1304574518035788</v>
      </c>
      <c r="Z47" s="78">
        <f ca="1">(Target!$D$10/COS(U47*(2*PI()/360)))</f>
        <v>-3.0660691731814869E-2</v>
      </c>
      <c r="AA47" s="46">
        <f t="shared" ca="1" si="16"/>
        <v>22.999999999999996</v>
      </c>
      <c r="AB47" s="46">
        <f t="shared" ca="1" si="17"/>
        <v>-47.501217004573618</v>
      </c>
      <c r="AF47" s="267"/>
      <c r="AG47" s="268">
        <f ca="1">AG46-AE6</f>
        <v>0.86174405190305792</v>
      </c>
      <c r="AI47" s="45"/>
    </row>
    <row r="48" spans="1:35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3"/>
      <c r="S48" s="45">
        <v>47</v>
      </c>
      <c r="T48" s="76">
        <f t="shared" ca="1" si="12"/>
        <v>23.499999999999996</v>
      </c>
      <c r="U48" s="76">
        <f t="shared" ca="1" si="13"/>
        <v>131.4744258118638</v>
      </c>
      <c r="V48" s="78">
        <f t="shared" ca="1" si="14"/>
        <v>0.26752892024523456</v>
      </c>
      <c r="W48" s="78">
        <f ca="1">(Target!$D$10/COS(T48*(2*PI()/360)))</f>
        <v>2.258694224137479E-2</v>
      </c>
      <c r="X48" s="78"/>
      <c r="Y48" s="78">
        <f t="shared" ca="1" si="15"/>
        <v>2.1324710797547635</v>
      </c>
      <c r="Z48" s="78">
        <f ca="1">(Target!$D$10/COS(U48*(2*PI()/360)))</f>
        <v>-3.1275903229945549E-2</v>
      </c>
      <c r="AA48" s="46">
        <f t="shared" ca="1" si="16"/>
        <v>23.499999999999996</v>
      </c>
      <c r="AB48" s="46">
        <f t="shared" ca="1" si="17"/>
        <v>-48.52557418813619</v>
      </c>
      <c r="AF48" s="267"/>
      <c r="AG48" s="268">
        <f ca="1">MATCH(AG47,'SRIM Data'!$AA$9:$AA$140)</f>
        <v>40</v>
      </c>
      <c r="AI48" s="45"/>
    </row>
    <row r="49" spans="1:35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3"/>
      <c r="S49" s="45">
        <v>48</v>
      </c>
      <c r="T49" s="76">
        <f t="shared" ca="1" si="12"/>
        <v>24</v>
      </c>
      <c r="U49" s="76">
        <f t="shared" ca="1" si="13"/>
        <v>130.45056759801668</v>
      </c>
      <c r="V49" s="78">
        <f t="shared" ca="1" si="14"/>
        <v>0.2654822498464664</v>
      </c>
      <c r="W49" s="78">
        <f ca="1">(Target!$D$10/COS(T49*(2*PI()/360)))</f>
        <v>2.2673839335219242E-2</v>
      </c>
      <c r="X49" s="78"/>
      <c r="Y49" s="78">
        <f t="shared" ca="1" si="15"/>
        <v>2.1345177501535324</v>
      </c>
      <c r="Z49" s="78">
        <f ca="1">(Target!$D$10/COS(U49*(2*PI()/360)))</f>
        <v>-3.1926396420756877E-2</v>
      </c>
      <c r="AA49" s="46">
        <f t="shared" ca="1" si="16"/>
        <v>24</v>
      </c>
      <c r="AB49" s="46">
        <f t="shared" ca="1" si="17"/>
        <v>-49.549432401983331</v>
      </c>
      <c r="AF49" s="267"/>
      <c r="AG49" s="268">
        <f ca="1">AG48+1</f>
        <v>41</v>
      </c>
    </row>
    <row r="50" spans="1:35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3"/>
      <c r="S50" s="45">
        <v>49</v>
      </c>
      <c r="T50" s="76">
        <f t="shared" ca="1" si="12"/>
        <v>24.5</v>
      </c>
      <c r="U50" s="76">
        <f t="shared" ca="1" si="13"/>
        <v>129.42721542669329</v>
      </c>
      <c r="V50" s="78">
        <f t="shared" ca="1" si="14"/>
        <v>0.26340316043574491</v>
      </c>
      <c r="W50" s="78">
        <f ca="1">(Target!$D$10/COS(T50*(2*PI()/360)))</f>
        <v>2.2763147833813613E-2</v>
      </c>
      <c r="X50" s="78"/>
      <c r="Y50" s="78">
        <f t="shared" ca="1" si="15"/>
        <v>2.1365968395642532</v>
      </c>
      <c r="Z50" s="78">
        <f ca="1">(Target!$D$10/COS(U50*(2*PI()/360)))</f>
        <v>-3.261480841495755E-2</v>
      </c>
      <c r="AA50" s="46">
        <f t="shared" ca="1" si="16"/>
        <v>24.5</v>
      </c>
      <c r="AB50" s="46">
        <f t="shared" ca="1" si="17"/>
        <v>-50.572784573306699</v>
      </c>
      <c r="AF50" s="269">
        <f ca="1">INDEX('SRIM Data'!$Z$9:$Z$140,AG48)</f>
        <v>0.3</v>
      </c>
      <c r="AG50" s="268">
        <f ca="1">INDEX('SRIM Data'!$AA$9:$AA$140,AG48)</f>
        <v>0.84179999999999999</v>
      </c>
      <c r="AI50" s="45"/>
    </row>
    <row r="51" spans="1:35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3"/>
      <c r="S51" s="45">
        <v>50</v>
      </c>
      <c r="T51" s="76">
        <f t="shared" ca="1" si="12"/>
        <v>24.999999999999993</v>
      </c>
      <c r="U51" s="76">
        <f t="shared" ca="1" si="13"/>
        <v>128.40437617328627</v>
      </c>
      <c r="V51" s="78">
        <f t="shared" ca="1" si="14"/>
        <v>0.26129228532384519</v>
      </c>
      <c r="W51" s="78">
        <f ca="1">(Target!$D$10/COS(T51*(2*PI()/360)))</f>
        <v>2.2854910029775605E-2</v>
      </c>
      <c r="X51" s="78"/>
      <c r="Y51" s="78">
        <f t="shared" ca="1" si="15"/>
        <v>2.1387077146761539</v>
      </c>
      <c r="Z51" s="78">
        <f ca="1">(Target!$D$10/COS(U51*(2*PI()/360)))</f>
        <v>-3.3344057179793302E-2</v>
      </c>
      <c r="AA51" s="46">
        <f t="shared" ca="1" si="16"/>
        <v>24.999999999999993</v>
      </c>
      <c r="AB51" s="46">
        <f t="shared" ca="1" si="17"/>
        <v>-51.595623826713741</v>
      </c>
      <c r="AF51" s="280">
        <f ca="1">INDEX('SRIM Data'!$Z$9:$Z$140,AG49)</f>
        <v>0.32500000000000001</v>
      </c>
      <c r="AG51" s="271">
        <f ca="1">INDEX('SRIM Data'!$AA$9:$AA$140,AG49)</f>
        <v>0.89990000000000003</v>
      </c>
      <c r="AI51" s="45"/>
    </row>
    <row r="52" spans="1:35" x14ac:dyDescent="0.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3"/>
      <c r="S52" s="45">
        <v>51</v>
      </c>
      <c r="T52" s="76">
        <f t="shared" ca="1" si="12"/>
        <v>25.499999999999996</v>
      </c>
      <c r="U52" s="76">
        <f t="shared" ca="1" si="13"/>
        <v>127.38205651413186</v>
      </c>
      <c r="V52" s="78">
        <f t="shared" ca="1" si="14"/>
        <v>0.25915026750377451</v>
      </c>
      <c r="W52" s="78">
        <f ca="1">(Target!$D$10/COS(T52*(2*PI()/360)))</f>
        <v>2.2949169780590677E-2</v>
      </c>
      <c r="X52" s="78"/>
      <c r="Y52" s="78">
        <f t="shared" ca="1" si="15"/>
        <v>2.1408497324962239</v>
      </c>
      <c r="Z52" s="78">
        <f ca="1">(Target!$D$10/COS(U52*(2*PI()/360)))</f>
        <v>-3.4117379431595915E-2</v>
      </c>
      <c r="AA52" s="46">
        <f t="shared" ca="1" si="16"/>
        <v>25.499999999999996</v>
      </c>
      <c r="AB52" s="46">
        <f t="shared" ca="1" si="17"/>
        <v>-52.617943485868139</v>
      </c>
      <c r="AF52" s="278">
        <f ca="1">MATCH(AD7,'SRIM Data'!$Z$9:$Z$140)</f>
        <v>40</v>
      </c>
      <c r="AG52" s="279"/>
      <c r="AI52" s="45"/>
    </row>
    <row r="53" spans="1:35" x14ac:dyDescent="0.2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3"/>
      <c r="S53" s="45">
        <v>52</v>
      </c>
      <c r="T53" s="76">
        <f t="shared" ca="1" si="12"/>
        <v>26</v>
      </c>
      <c r="U53" s="76">
        <f t="shared" ca="1" si="13"/>
        <v>126.36026292498667</v>
      </c>
      <c r="V53" s="78">
        <f t="shared" ca="1" si="14"/>
        <v>0.25697775945491141</v>
      </c>
      <c r="W53" s="78">
        <f ca="1">(Target!$D$10/COS(T53*(2*PI()/360)))</f>
        <v>2.3045972564345481E-2</v>
      </c>
      <c r="X53" s="78"/>
      <c r="Y53" s="78">
        <f t="shared" ca="1" si="15"/>
        <v>2.1430222405450876</v>
      </c>
      <c r="Z53" s="78">
        <f ca="1">(Target!$D$10/COS(U53*(2*PI()/360)))</f>
        <v>-3.4938374854887988E-2</v>
      </c>
      <c r="AA53" s="46">
        <f t="shared" ca="1" si="16"/>
        <v>26</v>
      </c>
      <c r="AB53" s="46">
        <f t="shared" ca="1" si="17"/>
        <v>-53.639737075013329</v>
      </c>
      <c r="AF53" s="267">
        <f ca="1">AF52+1</f>
        <v>41</v>
      </c>
      <c r="AG53" s="268"/>
      <c r="AI53" s="45"/>
    </row>
    <row r="54" spans="1:35" x14ac:dyDescent="0.2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3"/>
      <c r="S54" s="45">
        <v>53</v>
      </c>
      <c r="T54" s="76">
        <f t="shared" ca="1" si="12"/>
        <v>26.5</v>
      </c>
      <c r="U54" s="76">
        <f t="shared" ca="1" si="13"/>
        <v>125.33900167962003</v>
      </c>
      <c r="V54" s="78">
        <f t="shared" ca="1" si="14"/>
        <v>0.25477542294425287</v>
      </c>
      <c r="W54" s="78">
        <f ca="1">(Target!$D$10/COS(T54*(2*PI()/360)))</f>
        <v>2.3145365538237029E-2</v>
      </c>
      <c r="X54" s="78"/>
      <c r="Y54" s="78">
        <f t="shared" ca="1" si="15"/>
        <v>2.1452245770557448</v>
      </c>
      <c r="Z54" s="78">
        <f ca="1">(Target!$D$10/COS(U54*(2*PI()/360)))</f>
        <v>-3.5811057914439191E-2</v>
      </c>
      <c r="AA54" s="46">
        <f t="shared" ca="1" si="16"/>
        <v>26.5</v>
      </c>
      <c r="AB54" s="46">
        <f t="shared" ca="1" si="17"/>
        <v>-54.660998320379981</v>
      </c>
      <c r="AF54" s="269">
        <f ca="1">INDEX('SRIM Data'!$Z$9:$Z$140,AF52)</f>
        <v>0.3</v>
      </c>
      <c r="AG54" s="268">
        <f ca="1">INDEX('SRIM Data'!$AA$9:$AA$140,AF52)</f>
        <v>0.84179999999999999</v>
      </c>
      <c r="AI54" s="45"/>
    </row>
    <row r="55" spans="1:35" x14ac:dyDescent="0.2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3"/>
      <c r="S55" s="45">
        <v>54</v>
      </c>
      <c r="T55" s="76">
        <f t="shared" ca="1" si="12"/>
        <v>27</v>
      </c>
      <c r="U55" s="76">
        <f t="shared" ca="1" si="13"/>
        <v>124.31827884852186</v>
      </c>
      <c r="V55" s="78">
        <f t="shared" ca="1" si="14"/>
        <v>0.25254392882483501</v>
      </c>
      <c r="W55" s="78">
        <f ca="1">(Target!$D$10/COS(T55*(2*PI()/360)))</f>
        <v>2.3247397600007477E-2</v>
      </c>
      <c r="X55" s="78"/>
      <c r="Y55" s="78">
        <f t="shared" ca="1" si="15"/>
        <v>2.1474560711751631</v>
      </c>
      <c r="Z55" s="78">
        <f ca="1">(Target!$D$10/COS(U55*(2*PI()/360)))</f>
        <v>-3.6739918824976223E-2</v>
      </c>
      <c r="AA55" s="46">
        <f t="shared" ca="1" si="16"/>
        <v>27</v>
      </c>
      <c r="AB55" s="46">
        <f t="shared" ca="1" si="17"/>
        <v>-55.681721151478143</v>
      </c>
      <c r="AF55" s="269">
        <f ca="1">INDEX('SRIM Data'!$Z$9:$Z$140,AF53)</f>
        <v>0.32500000000000001</v>
      </c>
      <c r="AG55" s="268">
        <f ca="1">INDEX('SRIM Data'!$AA$9:$AA$140,AF53)</f>
        <v>0.89990000000000003</v>
      </c>
      <c r="AI55" s="45"/>
    </row>
    <row r="56" spans="1:35" x14ac:dyDescent="0.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3"/>
      <c r="S56" s="45">
        <v>55</v>
      </c>
      <c r="T56" s="76">
        <f t="shared" ca="1" si="12"/>
        <v>27.499999999999993</v>
      </c>
      <c r="U56" s="76">
        <f t="shared" ca="1" si="13"/>
        <v>123.29810029772517</v>
      </c>
      <c r="V56" s="78">
        <f t="shared" ca="1" si="14"/>
        <v>0.25028395683138321</v>
      </c>
      <c r="W56" s="78">
        <f ca="1">(Target!$D$10/COS(T56*(2*PI()/360)))</f>
        <v>2.3352119452464244E-2</v>
      </c>
      <c r="X56" s="78"/>
      <c r="Y56" s="78">
        <f t="shared" ca="1" si="15"/>
        <v>2.1497160431686151</v>
      </c>
      <c r="Z56" s="78">
        <f ca="1">(Target!$D$10/COS(U56*(2*PI()/360)))</f>
        <v>-3.772999562300261E-2</v>
      </c>
      <c r="AA56" s="46">
        <f t="shared" ca="1" si="16"/>
        <v>27.499999999999993</v>
      </c>
      <c r="AB56" s="46">
        <f t="shared" ca="1" si="17"/>
        <v>-56.701899702274829</v>
      </c>
      <c r="AF56" s="267">
        <f ca="1">(AF55-AD7)/(AF55-AF54)</f>
        <v>0.3105158306212405</v>
      </c>
      <c r="AG56" s="268">
        <f ca="1">AG55-AF56*(AG55-AG54)</f>
        <v>0.88185903024090595</v>
      </c>
      <c r="AI56" s="45"/>
    </row>
    <row r="57" spans="1:35" x14ac:dyDescent="0.2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3"/>
      <c r="S57" s="45">
        <v>56</v>
      </c>
      <c r="T57" s="76">
        <f t="shared" ca="1" si="12"/>
        <v>27.999999999999996</v>
      </c>
      <c r="U57" s="76">
        <f t="shared" ca="1" si="13"/>
        <v>122.27847168774167</v>
      </c>
      <c r="V57" s="78">
        <f t="shared" ca="1" si="14"/>
        <v>0.24799619537325943</v>
      </c>
      <c r="W57" s="78">
        <f ca="1">(Target!$D$10/COS(T57*(2*PI()/360)))</f>
        <v>2.345958367125554E-2</v>
      </c>
      <c r="X57" s="78"/>
      <c r="Y57" s="78">
        <f t="shared" ca="1" si="15"/>
        <v>2.1520038046267396</v>
      </c>
      <c r="Z57" s="78">
        <f ca="1">(Target!$D$10/COS(U57*(2*PI()/360)))</f>
        <v>-3.878695977186386E-2</v>
      </c>
      <c r="AA57" s="46">
        <f t="shared" ca="1" si="16"/>
        <v>27.999999999999996</v>
      </c>
      <c r="AB57" s="46">
        <f t="shared" ca="1" si="17"/>
        <v>-57.721528312258322</v>
      </c>
      <c r="AF57" s="267"/>
      <c r="AG57" s="268">
        <f ca="1">AG56-AE7</f>
        <v>0.86111702110625898</v>
      </c>
      <c r="AI57" s="45"/>
    </row>
    <row r="58" spans="1:35" x14ac:dyDescent="0.2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3"/>
      <c r="S58" s="45">
        <v>57</v>
      </c>
      <c r="T58" s="76">
        <f t="shared" ca="1" si="12"/>
        <v>28.5</v>
      </c>
      <c r="U58" s="76">
        <f t="shared" ca="1" si="13"/>
        <v>121.25939847261009</v>
      </c>
      <c r="V58" s="78">
        <f t="shared" ca="1" si="14"/>
        <v>0.24568134132476593</v>
      </c>
      <c r="W58" s="78">
        <f ca="1">(Target!$D$10/COS(T58*(2*PI()/360)))</f>
        <v>2.3569844776082656E-2</v>
      </c>
      <c r="X58" s="78"/>
      <c r="Y58" s="78">
        <f t="shared" ca="1" si="15"/>
        <v>2.1543186586752321</v>
      </c>
      <c r="Z58" s="78">
        <f ca="1">(Target!$D$10/COS(U58*(2*PI()/360)))</f>
        <v>-3.9917218359331243E-2</v>
      </c>
      <c r="AA58" s="46">
        <f t="shared" ca="1" si="16"/>
        <v>28.5</v>
      </c>
      <c r="AB58" s="46">
        <f t="shared" ca="1" si="17"/>
        <v>-58.740601527389906</v>
      </c>
      <c r="AF58" s="267"/>
      <c r="AG58" s="268">
        <f ca="1">MATCH(AG57,'SRIM Data'!$AA$9:$AA$140)</f>
        <v>40</v>
      </c>
      <c r="AI58" s="45"/>
    </row>
    <row r="59" spans="1:35" x14ac:dyDescent="0.2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3"/>
      <c r="S59" s="45">
        <v>58</v>
      </c>
      <c r="T59" s="76">
        <f t="shared" ca="1" si="12"/>
        <v>28.999999999999996</v>
      </c>
      <c r="U59" s="76">
        <f t="shared" ca="1" si="13"/>
        <v>120.2408858990554</v>
      </c>
      <c r="V59" s="78">
        <f t="shared" ca="1" si="14"/>
        <v>0.24334009981287069</v>
      </c>
      <c r="W59" s="78">
        <f ca="1">(Target!$D$10/COS(T59*(2*PI()/360)))</f>
        <v>2.3682959305542334E-2</v>
      </c>
      <c r="X59" s="78"/>
      <c r="Y59" s="78">
        <f t="shared" ca="1" si="15"/>
        <v>2.1566599001871269</v>
      </c>
      <c r="Z59" s="78">
        <f ca="1">(Target!$D$10/COS(U59*(2*PI()/360)))</f>
        <v>-4.1128036763785687E-2</v>
      </c>
      <c r="AA59" s="46">
        <f t="shared" ca="1" si="16"/>
        <v>28.999999999999996</v>
      </c>
      <c r="AB59" s="46">
        <f t="shared" ca="1" si="17"/>
        <v>-59.759114100944601</v>
      </c>
      <c r="AF59" s="267"/>
      <c r="AG59" s="268">
        <f ca="1">AG58+1</f>
        <v>41</v>
      </c>
      <c r="AI59" s="45"/>
    </row>
    <row r="60" spans="1:35" x14ac:dyDescent="0.2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3"/>
      <c r="S60" s="45">
        <v>59</v>
      </c>
      <c r="T60" s="76">
        <f t="shared" ca="1" si="12"/>
        <v>29.499999999999996</v>
      </c>
      <c r="U60" s="76">
        <f t="shared" ca="1" si="13"/>
        <v>119.22293900575804</v>
      </c>
      <c r="V60" s="78">
        <f t="shared" ca="1" si="14"/>
        <v>0.24097318400241796</v>
      </c>
      <c r="W60" s="78">
        <f ca="1">(Target!$D$10/COS(T60*(2*PI()/360)))</f>
        <v>2.3798985895805515E-2</v>
      </c>
      <c r="X60" s="78"/>
      <c r="Y60" s="78">
        <f t="shared" ca="1" si="15"/>
        <v>2.1590268159975801</v>
      </c>
      <c r="Z60" s="78">
        <f ca="1">(Target!$D$10/COS(U60*(2*PI()/360)))</f>
        <v>-4.2427686735699126E-2</v>
      </c>
      <c r="AA60" s="46">
        <f t="shared" ca="1" si="16"/>
        <v>29.499999999999996</v>
      </c>
      <c r="AB60" s="46">
        <f t="shared" ca="1" si="17"/>
        <v>-60.777060994241957</v>
      </c>
      <c r="AF60" s="269">
        <f ca="1">INDEX('SRIM Data'!$Z$9:$Z$140,AG58)</f>
        <v>0.3</v>
      </c>
      <c r="AG60" s="268">
        <f ca="1">INDEX('SRIM Data'!$AA$9:$AA$140,AG58)</f>
        <v>0.84179999999999999</v>
      </c>
    </row>
    <row r="61" spans="1:35" x14ac:dyDescent="0.2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3"/>
      <c r="S61" s="45">
        <v>60</v>
      </c>
      <c r="T61" s="76">
        <f t="shared" ca="1" si="12"/>
        <v>29.999999999999993</v>
      </c>
      <c r="U61" s="76">
        <f t="shared" ca="1" si="13"/>
        <v>118.20556262273186</v>
      </c>
      <c r="V61" s="78">
        <f t="shared" ca="1" si="14"/>
        <v>0.23858131487889267</v>
      </c>
      <c r="W61" s="78">
        <f ca="1">(Target!$D$10/COS(T61*(2*PI()/360)))</f>
        <v>2.3917985363352528E-2</v>
      </c>
      <c r="X61" s="78"/>
      <c r="Y61" s="78">
        <f t="shared" ca="1" si="15"/>
        <v>2.1614186851211055</v>
      </c>
      <c r="Z61" s="78">
        <f ca="1">(Target!$D$10/COS(U61*(2*PI()/360)))</f>
        <v>-4.3825626256300113E-2</v>
      </c>
      <c r="AA61" s="46">
        <f t="shared" ca="1" si="16"/>
        <v>29.999999999999993</v>
      </c>
      <c r="AB61" s="46">
        <f t="shared" ca="1" si="17"/>
        <v>-61.794437377268146</v>
      </c>
      <c r="AF61" s="280">
        <f ca="1">INDEX('SRIM Data'!$Z$9:$Z$140,AG59)</f>
        <v>0.32500000000000001</v>
      </c>
      <c r="AG61" s="271">
        <f ca="1">INDEX('SRIM Data'!$AA$9:$AA$140,AG59)</f>
        <v>0.89990000000000003</v>
      </c>
      <c r="AI61" s="45"/>
    </row>
    <row r="62" spans="1:35" x14ac:dyDescent="0.2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3"/>
      <c r="S62" s="45">
        <v>61</v>
      </c>
      <c r="T62" s="76">
        <f t="shared" ca="1" si="12"/>
        <v>30.5</v>
      </c>
      <c r="U62" s="76">
        <f t="shared" ca="1" si="13"/>
        <v>117.18876137080869</v>
      </c>
      <c r="V62" s="78">
        <f t="shared" ca="1" si="14"/>
        <v>0.23616522102880014</v>
      </c>
      <c r="W62" s="78">
        <f ca="1">(Target!$D$10/COS(T62*(2*PI()/360)))</f>
        <v>2.4040020791999864E-2</v>
      </c>
      <c r="X62" s="78"/>
      <c r="Y62" s="78">
        <f t="shared" ca="1" si="15"/>
        <v>2.1638347789711978</v>
      </c>
      <c r="Z62" s="78">
        <f ca="1">(Target!$D$10/COS(U62*(2*PI()/360)))</f>
        <v>-4.5332719422865576E-2</v>
      </c>
      <c r="AA62" s="46">
        <f t="shared" ca="1" si="16"/>
        <v>30.5</v>
      </c>
      <c r="AB62" s="46">
        <f t="shared" ca="1" si="17"/>
        <v>-62.811238629191301</v>
      </c>
      <c r="AF62" s="278">
        <f ca="1">MATCH(AD8,'SRIM Data'!$Z$9:$Z$140)</f>
        <v>40</v>
      </c>
      <c r="AG62" s="279"/>
      <c r="AI62" s="45"/>
    </row>
    <row r="63" spans="1:35" x14ac:dyDescent="0.2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3"/>
      <c r="S63" s="45">
        <v>62</v>
      </c>
      <c r="T63" s="76">
        <f t="shared" ca="1" si="12"/>
        <v>30.999999999999993</v>
      </c>
      <c r="U63" s="76">
        <f t="shared" ca="1" si="13"/>
        <v>116.17253966122901</v>
      </c>
      <c r="V63" s="78">
        <f t="shared" ca="1" si="14"/>
        <v>0.23372563841773275</v>
      </c>
      <c r="W63" s="78">
        <f ca="1">(Target!$D$10/COS(T63*(2*PI()/360)))</f>
        <v>2.416515762446959E-2</v>
      </c>
      <c r="X63" s="78"/>
      <c r="Y63" s="78">
        <f t="shared" ca="1" si="15"/>
        <v>2.1662743615822655</v>
      </c>
      <c r="Z63" s="78">
        <f ca="1">(Target!$D$10/COS(U63*(2*PI()/360)))</f>
        <v>-4.6961507151929732E-2</v>
      </c>
      <c r="AA63" s="46">
        <f t="shared" ca="1" si="16"/>
        <v>30.999999999999993</v>
      </c>
      <c r="AB63" s="46">
        <f t="shared" ca="1" si="17"/>
        <v>-63.82746033877099</v>
      </c>
      <c r="AF63" s="267">
        <f ca="1">AF62+1</f>
        <v>41</v>
      </c>
      <c r="AG63" s="268"/>
      <c r="AI63" s="45"/>
    </row>
    <row r="64" spans="1:35" x14ac:dyDescent="0.2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3"/>
      <c r="S64" s="45">
        <v>63</v>
      </c>
      <c r="T64" s="76">
        <f t="shared" ca="1" si="12"/>
        <v>31.499999999999993</v>
      </c>
      <c r="U64" s="76">
        <f t="shared" ca="1" si="13"/>
        <v>115.15690169533615</v>
      </c>
      <c r="V64" s="78">
        <f t="shared" ca="1" si="14"/>
        <v>0.23126331016618618</v>
      </c>
      <c r="W64" s="78">
        <f ca="1">(Target!$D$10/COS(T64*(2*PI()/360)))</f>
        <v>2.4293463758769798E-2</v>
      </c>
      <c r="X64" s="78"/>
      <c r="Y64" s="78">
        <f t="shared" ca="1" si="15"/>
        <v>2.1687366898338118</v>
      </c>
      <c r="Z64" s="78">
        <f ca="1">(Target!$D$10/COS(U64*(2*PI()/360)))</f>
        <v>-4.8726542949952628E-2</v>
      </c>
      <c r="AA64" s="46">
        <f t="shared" ca="1" si="16"/>
        <v>31.499999999999993</v>
      </c>
      <c r="AB64" s="46">
        <f t="shared" ca="1" si="17"/>
        <v>-64.843098304663854</v>
      </c>
      <c r="AF64" s="269">
        <f ca="1">INDEX('SRIM Data'!$Z$9:$Z$140,AF62)</f>
        <v>0.3</v>
      </c>
      <c r="AG64" s="268">
        <f ca="1">INDEX('SRIM Data'!$AA$9:$AA$140,AF62)</f>
        <v>0.84179999999999999</v>
      </c>
      <c r="AI64" s="45"/>
    </row>
    <row r="65" spans="1:35" x14ac:dyDescent="0.2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3"/>
      <c r="S65" s="45">
        <v>64</v>
      </c>
      <c r="T65" s="76">
        <f t="shared" ca="1" si="12"/>
        <v>32</v>
      </c>
      <c r="U65" s="76">
        <f t="shared" ca="1" si="13"/>
        <v>114.14185146437295</v>
      </c>
      <c r="V65" s="78">
        <f t="shared" ca="1" si="14"/>
        <v>0.22877898632319918</v>
      </c>
      <c r="W65" s="78">
        <f ca="1">(Target!$D$10/COS(T65*(2*PI()/360)))</f>
        <v>2.4425009649673174E-2</v>
      </c>
      <c r="X65" s="78"/>
      <c r="Y65" s="78">
        <f t="shared" ca="1" si="15"/>
        <v>2.1712210136767993</v>
      </c>
      <c r="Z65" s="78">
        <f ca="1">(Target!$D$10/COS(U65*(2*PI()/360)))</f>
        <v>-5.0644812758044576E-2</v>
      </c>
      <c r="AA65" s="46">
        <f t="shared" ca="1" si="16"/>
        <v>32</v>
      </c>
      <c r="AB65" s="46">
        <f t="shared" ca="1" si="17"/>
        <v>-65.858148535627052</v>
      </c>
      <c r="AF65" s="269">
        <f ca="1">INDEX('SRIM Data'!$Z$9:$Z$140,AF63)</f>
        <v>0.32500000000000001</v>
      </c>
      <c r="AG65" s="268">
        <f ca="1">INDEX('SRIM Data'!$AA$9:$AA$140,AF63)</f>
        <v>0.89990000000000003</v>
      </c>
      <c r="AI65" s="45"/>
    </row>
    <row r="66" spans="1:35" x14ac:dyDescent="0.2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3"/>
      <c r="S66" s="45">
        <v>65</v>
      </c>
      <c r="T66" s="76">
        <f t="shared" ref="T66:T97" ca="1" si="18">AA66-180*(-1+SIGN(AA66))/2</f>
        <v>32.499999999999993</v>
      </c>
      <c r="U66" s="76">
        <f t="shared" ref="U66:U97" ca="1" si="19">AB66-180*(-1+SIGN(AB66))/2</f>
        <v>113.12739274937896</v>
      </c>
      <c r="V66" s="78">
        <f t="shared" ref="V66:V97" ca="1" si="20">(($R$10*SIN(RADIANS(S66))/SIN(RADIANS(AA66)))^2)/(2*$O$8)</f>
        <v>0.22627342363788042</v>
      </c>
      <c r="W66" s="78">
        <f ca="1">(Target!$D$10/COS(T66*(2*PI()/360)))</f>
        <v>2.455986841560066E-2</v>
      </c>
      <c r="X66" s="78"/>
      <c r="Y66" s="78">
        <f t="shared" ref="Y66:Y97" ca="1" si="21">(($R$10*SIN(RADIANS(S66))/SIN(RADIANS(AB66)))^2)/(2*$O$9)</f>
        <v>2.1737265763621179</v>
      </c>
      <c r="Z66" s="78">
        <f ca="1">(Target!$D$10/COS(U66*(2*PI()/360)))</f>
        <v>-5.2736264498801845E-2</v>
      </c>
      <c r="AA66" s="46">
        <f t="shared" ref="AA66:AA97" ca="1" si="22">DEGREES(ATAN(SIN(RADIANS(S66))/($R$11/$R$10+COS(RADIANS(S66)))))</f>
        <v>32.499999999999993</v>
      </c>
      <c r="AB66" s="46">
        <f t="shared" ref="AB66:AB97" ca="1" si="23">DEGREES(ATAN(SIN(RADIANS(S66))/($R$11/$R$12-COS(RADIANS(S66)))))</f>
        <v>-66.872607250621044</v>
      </c>
      <c r="AF66" s="267">
        <f ca="1">(AF65-AD8)/(AF65-AF64)</f>
        <v>0.32308584492096254</v>
      </c>
      <c r="AG66" s="268">
        <f ca="1">AG65-AF66*(AG65-AG64)</f>
        <v>0.88112871241009205</v>
      </c>
      <c r="AI66" s="45"/>
    </row>
    <row r="67" spans="1:35" x14ac:dyDescent="0.2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3"/>
      <c r="S67" s="45">
        <v>66</v>
      </c>
      <c r="T67" s="76">
        <f t="shared" ca="1" si="18"/>
        <v>32.999999999999993</v>
      </c>
      <c r="U67" s="76">
        <f t="shared" ca="1" si="19"/>
        <v>112.11352912118626</v>
      </c>
      <c r="V67" s="78">
        <f t="shared" ca="1" si="20"/>
        <v>0.22374738532889593</v>
      </c>
      <c r="W67" s="78">
        <f ca="1">(Target!$D$10/COS(T67*(2*PI()/360)))</f>
        <v>2.4698115951239139E-2</v>
      </c>
      <c r="X67" s="78"/>
      <c r="Y67" s="78">
        <f t="shared" ca="1" si="21"/>
        <v>2.1762526146711023</v>
      </c>
      <c r="Z67" s="78">
        <f ca="1">(Target!$D$10/COS(U67*(2*PI()/360)))</f>
        <v>-5.5024482288021301E-2</v>
      </c>
      <c r="AA67" s="46">
        <f t="shared" ca="1" si="22"/>
        <v>32.999999999999993</v>
      </c>
      <c r="AB67" s="46">
        <f t="shared" ca="1" si="23"/>
        <v>-67.886470878813739</v>
      </c>
      <c r="AF67" s="267"/>
      <c r="AG67" s="268">
        <f ca="1">AG66-AE8</f>
        <v>0.8603764222737722</v>
      </c>
      <c r="AI67" s="45"/>
    </row>
    <row r="68" spans="1:35" x14ac:dyDescent="0.2">
      <c r="N68" s="13"/>
      <c r="S68" s="45">
        <v>67</v>
      </c>
      <c r="T68" s="76">
        <f t="shared" ca="1" si="18"/>
        <v>33.499999999999993</v>
      </c>
      <c r="U68" s="76">
        <f t="shared" ca="1" si="19"/>
        <v>111.10026394051228</v>
      </c>
      <c r="V68" s="78">
        <f t="shared" ca="1" si="20"/>
        <v>0.22120164085198471</v>
      </c>
      <c r="W68" s="78">
        <f ca="1">(Target!$D$10/COS(T68*(2*PI()/360)))</f>
        <v>2.4839831046245105E-2</v>
      </c>
      <c r="X68" s="78"/>
      <c r="Y68" s="78">
        <f t="shared" ca="1" si="21"/>
        <v>2.178798359148014</v>
      </c>
      <c r="Z68" s="78">
        <f ca="1">(Target!$D$10/COS(U68*(2*PI()/360)))</f>
        <v>-5.7537553616297497E-2</v>
      </c>
      <c r="AA68" s="46">
        <f t="shared" ca="1" si="22"/>
        <v>33.499999999999993</v>
      </c>
      <c r="AB68" s="46">
        <f t="shared" ca="1" si="23"/>
        <v>-68.899736059487722</v>
      </c>
      <c r="AF68" s="267"/>
      <c r="AG68" s="268">
        <f ca="1">MATCH(AG67,'SRIM Data'!$AA$9:$AA$140)</f>
        <v>40</v>
      </c>
      <c r="AI68" s="45"/>
    </row>
    <row r="69" spans="1:35" x14ac:dyDescent="0.2">
      <c r="S69" s="45">
        <v>68</v>
      </c>
      <c r="T69" s="76">
        <f t="shared" ca="1" si="18"/>
        <v>34</v>
      </c>
      <c r="U69" s="76">
        <f t="shared" ca="1" si="19"/>
        <v>110.08760035814747</v>
      </c>
      <c r="V69" s="78">
        <f t="shared" ca="1" si="20"/>
        <v>0.21863696566557567</v>
      </c>
      <c r="W69" s="78">
        <f ca="1">(Target!$D$10/COS(T69*(2*PI()/360)))</f>
        <v>2.4985095510411798E-2</v>
      </c>
      <c r="X69" s="78"/>
      <c r="Y69" s="78">
        <f t="shared" ca="1" si="21"/>
        <v>2.1813630343344221</v>
      </c>
      <c r="Z69" s="78">
        <f ca="1">(Target!$D$10/COS(U69*(2*PI()/360)))</f>
        <v>-6.0309197162668998E-2</v>
      </c>
      <c r="AA69" s="46">
        <f t="shared" ca="1" si="22"/>
        <v>34</v>
      </c>
      <c r="AB69" s="46">
        <f t="shared" ca="1" si="23"/>
        <v>-69.912399641852531</v>
      </c>
      <c r="AF69" s="267"/>
      <c r="AG69" s="268">
        <f ca="1">AG68+1</f>
        <v>41</v>
      </c>
      <c r="AI69" s="45"/>
    </row>
    <row r="70" spans="1:35" x14ac:dyDescent="0.2">
      <c r="S70" s="45">
        <v>69</v>
      </c>
      <c r="T70" s="76">
        <f t="shared" ca="1" si="18"/>
        <v>34.5</v>
      </c>
      <c r="U70" s="76">
        <f t="shared" ca="1" si="19"/>
        <v>109.07554131523594</v>
      </c>
      <c r="V70" s="78">
        <f t="shared" ca="1" si="20"/>
        <v>0.21605414099457526</v>
      </c>
      <c r="W70" s="78">
        <f ca="1">(Target!$D$10/COS(T70*(2*PI()/360)))</f>
        <v>2.5133994305704465E-2</v>
      </c>
      <c r="X70" s="78"/>
      <c r="Y70" s="78">
        <f t="shared" ca="1" si="21"/>
        <v>2.1839458590054233</v>
      </c>
      <c r="Z70" s="78">
        <f ca="1">(Target!$D$10/COS(U70*(2*PI()/360)))</f>
        <v>-6.3380247446388746E-2</v>
      </c>
      <c r="AA70" s="46">
        <f t="shared" ca="1" si="22"/>
        <v>34.5</v>
      </c>
      <c r="AB70" s="46">
        <f t="shared" ca="1" si="23"/>
        <v>-70.924458684764062</v>
      </c>
      <c r="AF70" s="269">
        <f ca="1">INDEX('SRIM Data'!$Z$9:$Z$140,AG68)</f>
        <v>0.3</v>
      </c>
      <c r="AG70" s="268">
        <f ca="1">INDEX('SRIM Data'!$AA$9:$AA$140,AG68)</f>
        <v>0.84179999999999999</v>
      </c>
      <c r="AI70" s="45"/>
    </row>
    <row r="71" spans="1:35" x14ac:dyDescent="0.2">
      <c r="S71" s="45">
        <v>70</v>
      </c>
      <c r="T71" s="76">
        <f t="shared" ca="1" si="18"/>
        <v>34.999999999999993</v>
      </c>
      <c r="U71" s="76">
        <f t="shared" ca="1" si="19"/>
        <v>108.06408954364711</v>
      </c>
      <c r="V71" s="78">
        <f t="shared" ca="1" si="20"/>
        <v>0.21345395359239866</v>
      </c>
      <c r="W71" s="78">
        <f ca="1">(Target!$D$10/COS(T71*(2*PI()/360)))</f>
        <v>2.5286615685597973E-2</v>
      </c>
      <c r="X71" s="78"/>
      <c r="Y71" s="78">
        <f t="shared" ca="1" si="21"/>
        <v>2.186546046407599</v>
      </c>
      <c r="Z71" s="78">
        <f ca="1">(Target!$D$10/COS(U71*(2*PI()/360)))</f>
        <v>-6.6800635367605513E-2</v>
      </c>
      <c r="AA71" s="46">
        <f t="shared" ca="1" si="22"/>
        <v>34.999999999999993</v>
      </c>
      <c r="AB71" s="46">
        <f t="shared" ca="1" si="23"/>
        <v>-71.935910456352886</v>
      </c>
      <c r="AF71" s="280">
        <f ca="1">INDEX('SRIM Data'!$Z$9:$Z$140,AG69)</f>
        <v>0.32500000000000001</v>
      </c>
      <c r="AG71" s="271">
        <f ca="1">INDEX('SRIM Data'!$AA$9:$AA$140,AG69)</f>
        <v>0.89990000000000003</v>
      </c>
    </row>
    <row r="72" spans="1:35" x14ac:dyDescent="0.2">
      <c r="S72" s="45">
        <v>71</v>
      </c>
      <c r="T72" s="76">
        <f t="shared" ca="1" si="18"/>
        <v>35.499999999999993</v>
      </c>
      <c r="U72" s="76">
        <f t="shared" ca="1" si="19"/>
        <v>107.0532475664363</v>
      </c>
      <c r="V72" s="78">
        <f t="shared" ca="1" si="20"/>
        <v>0.21083719550131688</v>
      </c>
      <c r="W72" s="78">
        <f ca="1">(Target!$D$10/COS(T72*(2*PI()/360)))</f>
        <v>2.5443051342182887E-2</v>
      </c>
      <c r="X72" s="78"/>
      <c r="Y72" s="78">
        <f t="shared" ca="1" si="21"/>
        <v>2.1891628044986811</v>
      </c>
      <c r="Z72" s="78">
        <f ca="1">(Target!$D$10/COS(U72*(2*PI()/360)))</f>
        <v>-7.0632069263520184E-2</v>
      </c>
      <c r="AA72" s="46">
        <f t="shared" ca="1" si="22"/>
        <v>35.499999999999993</v>
      </c>
      <c r="AB72" s="46">
        <f t="shared" ca="1" si="23"/>
        <v>-72.946752433563702</v>
      </c>
      <c r="AF72" s="278">
        <f ca="1">MATCH(AD9,'SRIM Data'!$Z$9:$Z$140)</f>
        <v>40</v>
      </c>
      <c r="AG72" s="279"/>
      <c r="AI72" s="45"/>
    </row>
    <row r="73" spans="1:35" x14ac:dyDescent="0.2">
      <c r="S73" s="45">
        <v>72</v>
      </c>
      <c r="T73" s="76">
        <f t="shared" ca="1" si="18"/>
        <v>35.999999999999993</v>
      </c>
      <c r="U73" s="76">
        <f t="shared" ca="1" si="19"/>
        <v>106.04301769839191</v>
      </c>
      <c r="V73" s="78">
        <f t="shared" ca="1" si="20"/>
        <v>0.20820466381119399</v>
      </c>
      <c r="W73" s="78">
        <f ca="1">(Target!$D$10/COS(T73*(2*PI()/360)))</f>
        <v>2.560339656154088E-2</v>
      </c>
      <c r="X73" s="78"/>
      <c r="Y73" s="78">
        <f t="shared" ca="1" si="21"/>
        <v>2.1917953361888034</v>
      </c>
      <c r="Z73" s="78">
        <f ca="1">(Target!$D$10/COS(U73*(2*PI()/360)))</f>
        <v>-7.4951723652645588E-2</v>
      </c>
      <c r="AA73" s="46">
        <f t="shared" ca="1" si="22"/>
        <v>35.999999999999993</v>
      </c>
      <c r="AB73" s="46">
        <f t="shared" ca="1" si="23"/>
        <v>-73.956982301608093</v>
      </c>
      <c r="AF73" s="267">
        <f ca="1">AF72+1</f>
        <v>41</v>
      </c>
      <c r="AG73" s="268"/>
      <c r="AI73" s="45"/>
    </row>
    <row r="74" spans="1:35" x14ac:dyDescent="0.2">
      <c r="S74" s="45">
        <v>73</v>
      </c>
      <c r="T74" s="76">
        <f t="shared" ca="1" si="18"/>
        <v>36.499999999999993</v>
      </c>
      <c r="U74" s="76">
        <f t="shared" ca="1" si="19"/>
        <v>105.0334020466676</v>
      </c>
      <c r="V74" s="78">
        <f t="shared" ca="1" si="20"/>
        <v>0.20555716041668434</v>
      </c>
      <c r="W74" s="78">
        <f ca="1">(Target!$D$10/COS(T74*(2*PI()/360)))</f>
        <v>2.5767750387927724E-2</v>
      </c>
      <c r="X74" s="78"/>
      <c r="Y74" s="78">
        <f t="shared" ca="1" si="21"/>
        <v>2.194442839583314</v>
      </c>
      <c r="Z74" s="78">
        <f ca="1">(Target!$D$10/COS(U74*(2*PI()/360)))</f>
        <v>-7.9857407062842084E-2</v>
      </c>
      <c r="AA74" s="46">
        <f t="shared" ca="1" si="22"/>
        <v>36.499999999999993</v>
      </c>
      <c r="AB74" s="46">
        <f t="shared" ca="1" si="23"/>
        <v>-74.966597953332396</v>
      </c>
      <c r="AF74" s="269">
        <f ca="1">INDEX('SRIM Data'!$Z$9:$Z$140,AF72)</f>
        <v>0.3</v>
      </c>
      <c r="AG74" s="268">
        <f ca="1">INDEX('SRIM Data'!$AA$9:$AA$140,AF72)</f>
        <v>0.84179999999999999</v>
      </c>
      <c r="AI74" s="45"/>
    </row>
    <row r="75" spans="1:35" x14ac:dyDescent="0.2">
      <c r="S75" s="45">
        <v>74</v>
      </c>
      <c r="T75" s="76">
        <f t="shared" ca="1" si="18"/>
        <v>37</v>
      </c>
      <c r="U75" s="76">
        <f t="shared" ca="1" si="19"/>
        <v>104.02440251149666</v>
      </c>
      <c r="V75" s="78">
        <f t="shared" ca="1" si="20"/>
        <v>0.20289549177296889</v>
      </c>
      <c r="W75" s="78">
        <f ca="1">(Target!$D$10/COS(T75*(2*PI()/360)))</f>
        <v>2.5936215797342982E-2</v>
      </c>
      <c r="X75" s="78"/>
      <c r="Y75" s="78">
        <f t="shared" ca="1" si="21"/>
        <v>2.1971045082270293</v>
      </c>
      <c r="Z75" s="78">
        <f ca="1">(Target!$D$10/COS(U75*(2*PI()/360)))</f>
        <v>-8.5474950408394937E-2</v>
      </c>
      <c r="AA75" s="46">
        <f t="shared" ca="1" si="22"/>
        <v>37</v>
      </c>
      <c r="AB75" s="46">
        <f t="shared" ca="1" si="23"/>
        <v>-75.97559748850334</v>
      </c>
      <c r="AF75" s="269">
        <f ca="1">INDEX('SRIM Data'!$Z$9:$Z$140,AF73)</f>
        <v>0.32500000000000001</v>
      </c>
      <c r="AG75" s="268">
        <f ca="1">INDEX('SRIM Data'!$AA$9:$AA$140,AF73)</f>
        <v>0.89990000000000003</v>
      </c>
      <c r="AI75" s="45"/>
    </row>
    <row r="76" spans="1:35" x14ac:dyDescent="0.2">
      <c r="S76" s="45">
        <v>75</v>
      </c>
      <c r="T76" s="76">
        <f t="shared" ca="1" si="18"/>
        <v>37.499999999999993</v>
      </c>
      <c r="U76" s="76">
        <f t="shared" ca="1" si="19"/>
        <v>103.01602078698691</v>
      </c>
      <c r="V76" s="78">
        <f t="shared" ca="1" si="20"/>
        <v>0.20022046865010093</v>
      </c>
      <c r="W76" s="78">
        <f ca="1">(Target!$D$10/COS(T76*(2*PI()/360)))</f>
        <v>2.6108899881109513E-2</v>
      </c>
      <c r="X76" s="78"/>
      <c r="Y76" s="78">
        <f t="shared" ca="1" si="21"/>
        <v>2.1997795313498969</v>
      </c>
      <c r="Z76" s="78">
        <f ca="1">(Target!$D$10/COS(U76*(2*PI()/360)))</f>
        <v>-9.1969014946064714E-2</v>
      </c>
      <c r="AA76" s="46">
        <f t="shared" ca="1" si="22"/>
        <v>37.499999999999993</v>
      </c>
      <c r="AB76" s="46">
        <f t="shared" ca="1" si="23"/>
        <v>-76.983979213013086</v>
      </c>
      <c r="AF76" s="267">
        <f ca="1">(AF75-AD9)/(AF75-AF74)</f>
        <v>0.33757939195098369</v>
      </c>
      <c r="AG76" s="268">
        <f ca="1">AG75-AF76*(AG75-AG74)</f>
        <v>0.88028663732764789</v>
      </c>
      <c r="AI76" s="45"/>
    </row>
    <row r="77" spans="1:35" x14ac:dyDescent="0.2">
      <c r="S77" s="45">
        <v>76</v>
      </c>
      <c r="T77" s="76">
        <f t="shared" ca="1" si="18"/>
        <v>37.999999999999993</v>
      </c>
      <c r="U77" s="76">
        <f t="shared" ca="1" si="19"/>
        <v>102.00825836199361</v>
      </c>
      <c r="V77" s="78">
        <f t="shared" ca="1" si="20"/>
        <v>0.197532905886037</v>
      </c>
      <c r="W77" s="78">
        <f ca="1">(Target!$D$10/COS(T77*(2*PI()/360)))</f>
        <v>2.6285914040134202E-2</v>
      </c>
      <c r="X77" s="78"/>
      <c r="Y77" s="78">
        <f t="shared" ca="1" si="21"/>
        <v>2.2024670941139606</v>
      </c>
      <c r="Z77" s="78">
        <f ca="1">(Target!$D$10/COS(U77*(2*PI()/360)))</f>
        <v>-9.9559320620019293E-2</v>
      </c>
      <c r="AA77" s="46">
        <f t="shared" ca="1" si="22"/>
        <v>37.999999999999993</v>
      </c>
      <c r="AB77" s="46">
        <f t="shared" ca="1" si="23"/>
        <v>-77.991741638006388</v>
      </c>
      <c r="AF77" s="267"/>
      <c r="AG77" s="268">
        <f ca="1">AG76-AE9</f>
        <v>0.85952247393722436</v>
      </c>
      <c r="AI77" s="45"/>
    </row>
    <row r="78" spans="1:35" x14ac:dyDescent="0.2">
      <c r="S78" s="45">
        <v>77</v>
      </c>
      <c r="T78" s="76">
        <f t="shared" ca="1" si="18"/>
        <v>38.5</v>
      </c>
      <c r="U78" s="76">
        <f t="shared" ca="1" si="19"/>
        <v>101.00111652106824</v>
      </c>
      <c r="V78" s="78">
        <f t="shared" ca="1" si="20"/>
        <v>0.19483362213843006</v>
      </c>
      <c r="W78" s="78">
        <f ca="1">(Target!$D$10/COS(T78*(2*PI()/360)))</f>
        <v>2.6467374190573229E-2</v>
      </c>
      <c r="X78" s="78"/>
      <c r="Y78" s="78">
        <f t="shared" ca="1" si="21"/>
        <v>2.205166377861568</v>
      </c>
      <c r="Z78" s="78">
        <f ca="1">(Target!$D$10/COS(U78*(2*PI()/360)))</f>
        <v>-0.10854575556045737</v>
      </c>
      <c r="AA78" s="46">
        <f t="shared" ca="1" si="22"/>
        <v>38.5</v>
      </c>
      <c r="AB78" s="46">
        <f t="shared" ca="1" si="23"/>
        <v>-78.998883478931759</v>
      </c>
      <c r="AF78" s="267"/>
      <c r="AG78" s="268">
        <f ca="1">MATCH(AG77,'SRIM Data'!$AA$9:$AA$140)</f>
        <v>40</v>
      </c>
      <c r="AI78" s="45"/>
    </row>
    <row r="79" spans="1:35" x14ac:dyDescent="0.2">
      <c r="S79" s="45">
        <v>78</v>
      </c>
      <c r="T79" s="76">
        <f t="shared" ca="1" si="18"/>
        <v>38.999999999999993</v>
      </c>
      <c r="U79" s="76">
        <f t="shared" ca="1" si="19"/>
        <v>99.994596345480986</v>
      </c>
      <c r="V79" s="78">
        <f t="shared" ca="1" si="20"/>
        <v>0.19212343963525827</v>
      </c>
      <c r="W79" s="78">
        <f ca="1">(Target!$D$10/COS(T79*(2*PI()/360)))</f>
        <v>2.6653400981682302E-2</v>
      </c>
      <c r="X79" s="78"/>
      <c r="Y79" s="78">
        <f t="shared" ca="1" si="21"/>
        <v>2.2078765603647392</v>
      </c>
      <c r="Z79" s="78">
        <f ca="1">(Target!$D$10/COS(U79*(2*PI()/360)))</f>
        <v>-0.1193486062046548</v>
      </c>
      <c r="AA79" s="46">
        <f t="shared" ca="1" si="22"/>
        <v>38.999999999999993</v>
      </c>
      <c r="AB79" s="46">
        <f t="shared" ca="1" si="23"/>
        <v>-80.005403654519014</v>
      </c>
      <c r="AF79" s="267"/>
      <c r="AG79" s="268">
        <f ca="1">AG78+1</f>
        <v>41</v>
      </c>
      <c r="AI79" s="45"/>
    </row>
    <row r="80" spans="1:35" x14ac:dyDescent="0.2">
      <c r="S80" s="45">
        <v>79</v>
      </c>
      <c r="T80" s="76">
        <f t="shared" ca="1" si="18"/>
        <v>39.5</v>
      </c>
      <c r="U80" s="76">
        <f t="shared" ca="1" si="19"/>
        <v>98.988698714314495</v>
      </c>
      <c r="V80" s="78">
        <f t="shared" ca="1" si="20"/>
        <v>0.18940318392436609</v>
      </c>
      <c r="W80" s="78">
        <f ca="1">(Target!$D$10/COS(T80*(2*PI()/360)))</f>
        <v>2.6844120026693945E-2</v>
      </c>
      <c r="X80" s="78"/>
      <c r="Y80" s="78">
        <f t="shared" ca="1" si="21"/>
        <v>2.2105968160756317</v>
      </c>
      <c r="Z80" s="78">
        <f ca="1">(Target!$D$10/COS(U80*(2*PI()/360)))</f>
        <v>-0.13257571617583991</v>
      </c>
      <c r="AA80" s="46">
        <f t="shared" ca="1" si="22"/>
        <v>39.5</v>
      </c>
      <c r="AB80" s="46">
        <f t="shared" ca="1" si="23"/>
        <v>-81.011301285685505</v>
      </c>
      <c r="AF80" s="269">
        <f ca="1">INDEX('SRIM Data'!$Z$9:$Z$140,AG78)</f>
        <v>0.3</v>
      </c>
      <c r="AG80" s="268">
        <f ca="1">INDEX('SRIM Data'!$AA$9:$AA$140,AG78)</f>
        <v>0.84179999999999999</v>
      </c>
      <c r="AI80" s="45"/>
    </row>
    <row r="81" spans="19:35" x14ac:dyDescent="0.2">
      <c r="S81" s="45">
        <v>80</v>
      </c>
      <c r="T81" s="76">
        <f t="shared" ca="1" si="18"/>
        <v>39.999999999999993</v>
      </c>
      <c r="U81" s="76">
        <f t="shared" ca="1" si="19"/>
        <v>97.983424305626741</v>
      </c>
      <c r="V81" s="78">
        <f t="shared" ca="1" si="20"/>
        <v>0.18667368362199491</v>
      </c>
      <c r="W81" s="78">
        <f ca="1">(Target!$D$10/COS(T81*(2*PI()/360)))</f>
        <v>2.7039662147631476E-2</v>
      </c>
      <c r="X81" s="78"/>
      <c r="Y81" s="78">
        <f t="shared" ca="1" si="21"/>
        <v>2.2133263163780028</v>
      </c>
      <c r="Z81" s="78">
        <f ca="1">(Target!$D$10/COS(U81*(2*PI()/360)))</f>
        <v>-0.14914024404311377</v>
      </c>
      <c r="AA81" s="46">
        <f t="shared" ca="1" si="22"/>
        <v>39.999999999999993</v>
      </c>
      <c r="AB81" s="46">
        <f t="shared" ca="1" si="23"/>
        <v>-82.016575694373259</v>
      </c>
      <c r="AF81" s="280">
        <f ca="1">INDEX('SRIM Data'!$Z$9:$Z$140,AG79)</f>
        <v>0.32500000000000001</v>
      </c>
      <c r="AG81" s="271">
        <f ca="1">INDEX('SRIM Data'!$AA$9:$AA$140,AG79)</f>
        <v>0.89990000000000003</v>
      </c>
      <c r="AI81" s="45"/>
    </row>
    <row r="82" spans="19:35" x14ac:dyDescent="0.2">
      <c r="S82" s="45">
        <v>81</v>
      </c>
      <c r="T82" s="76">
        <f t="shared" ca="1" si="18"/>
        <v>40.499999999999993</v>
      </c>
      <c r="U82" s="76">
        <f t="shared" ca="1" si="19"/>
        <v>96.978773597680828</v>
      </c>
      <c r="V82" s="78">
        <f t="shared" ca="1" si="20"/>
        <v>0.18393577016037804</v>
      </c>
      <c r="W82" s="78">
        <f ca="1">(Target!$D$10/COS(T82*(2*PI()/360)))</f>
        <v>2.7240163635042926E-2</v>
      </c>
      <c r="X82" s="78"/>
      <c r="Y82" s="78">
        <f t="shared" ca="1" si="21"/>
        <v>2.21606422983962</v>
      </c>
      <c r="Z82" s="78">
        <f ca="1">(Target!$D$10/COS(U82*(2*PI()/360)))</f>
        <v>-0.17047988274337969</v>
      </c>
      <c r="AA82" s="46">
        <f t="shared" ca="1" si="22"/>
        <v>40.499999999999993</v>
      </c>
      <c r="AB82" s="46">
        <f t="shared" ca="1" si="23"/>
        <v>-83.021226402319172</v>
      </c>
      <c r="AF82" s="278">
        <f ca="1">MATCH(AD10,'SRIM Data'!$Z$9:$Z$140)</f>
        <v>40</v>
      </c>
      <c r="AG82" s="279"/>
    </row>
    <row r="83" spans="19:35" x14ac:dyDescent="0.2">
      <c r="S83" s="45">
        <v>82</v>
      </c>
      <c r="T83" s="76">
        <f t="shared" ca="1" si="18"/>
        <v>41</v>
      </c>
      <c r="U83" s="76">
        <f t="shared" ca="1" si="19"/>
        <v>95.97474687023913</v>
      </c>
      <c r="V83" s="78">
        <f t="shared" ca="1" si="20"/>
        <v>0.18119027753447856</v>
      </c>
      <c r="W83" s="78">
        <f ca="1">(Target!$D$10/COS(T83*(2*PI()/360)))</f>
        <v>2.7445766523718326E-2</v>
      </c>
      <c r="X83" s="78"/>
      <c r="Y83" s="78">
        <f t="shared" ca="1" si="21"/>
        <v>2.2188097224655192</v>
      </c>
      <c r="Z83" s="78">
        <f ca="1">(Target!$D$10/COS(U83*(2*PI()/360)))</f>
        <v>-0.19899663349888724</v>
      </c>
      <c r="AA83" s="46">
        <f t="shared" ca="1" si="22"/>
        <v>41</v>
      </c>
      <c r="AB83" s="46">
        <f t="shared" ca="1" si="23"/>
        <v>-84.02525312976087</v>
      </c>
      <c r="AF83" s="267">
        <f ca="1">AF82+1</f>
        <v>41</v>
      </c>
      <c r="AG83" s="268"/>
      <c r="AI83" s="45"/>
    </row>
    <row r="84" spans="19:35" x14ac:dyDescent="0.2">
      <c r="S84" s="45">
        <v>83</v>
      </c>
      <c r="T84" s="76">
        <f t="shared" ca="1" si="18"/>
        <v>41.499999999999993</v>
      </c>
      <c r="U84" s="76">
        <f t="shared" ca="1" si="19"/>
        <v>94.971344205919934</v>
      </c>
      <c r="V84" s="78">
        <f t="shared" ca="1" si="20"/>
        <v>0.17843804204794664</v>
      </c>
      <c r="W84" s="78">
        <f ca="1">(Target!$D$10/COS(T84*(2*PI()/360)))</f>
        <v>2.7656618885541769E-2</v>
      </c>
      <c r="X84" s="78"/>
      <c r="Y84" s="78">
        <f t="shared" ca="1" si="21"/>
        <v>2.2215619579520518</v>
      </c>
      <c r="Z84" s="78">
        <f ca="1">(Target!$D$10/COS(U84*(2*PI()/360)))</f>
        <v>-0.23902816984336531</v>
      </c>
      <c r="AA84" s="46">
        <f t="shared" ca="1" si="22"/>
        <v>41.499999999999993</v>
      </c>
      <c r="AB84" s="46">
        <f t="shared" ca="1" si="23"/>
        <v>-85.028655794080066</v>
      </c>
      <c r="AF84" s="269">
        <f ca="1">INDEX('SRIM Data'!$Z$9:$Z$140,AF82)</f>
        <v>0.3</v>
      </c>
      <c r="AG84" s="268">
        <f ca="1">INDEX('SRIM Data'!$AA$9:$AA$140,AF82)</f>
        <v>0.84179999999999999</v>
      </c>
      <c r="AI84" s="45"/>
    </row>
    <row r="85" spans="19:35" x14ac:dyDescent="0.2">
      <c r="S85" s="45">
        <v>84</v>
      </c>
      <c r="T85" s="76">
        <f t="shared" ca="1" si="18"/>
        <v>41.999999999999993</v>
      </c>
      <c r="U85" s="76">
        <f t="shared" ca="1" si="19"/>
        <v>93.96856549161383</v>
      </c>
      <c r="V85" s="78">
        <f t="shared" ca="1" si="20"/>
        <v>0.17567990205837292</v>
      </c>
      <c r="W85" s="78">
        <f ca="1">(Target!$D$10/COS(T85*(2*PI()/360)))</f>
        <v>2.7872875140725516E-2</v>
      </c>
      <c r="X85" s="78"/>
      <c r="Y85" s="78">
        <f t="shared" ca="1" si="21"/>
        <v>2.2243200979416242</v>
      </c>
      <c r="Z85" s="78">
        <f ca="1">(Target!$D$10/COS(U85*(2*PI()/360)))</f>
        <v>-0.29928959864962856</v>
      </c>
      <c r="AA85" s="46">
        <f t="shared" ca="1" si="22"/>
        <v>41.999999999999993</v>
      </c>
      <c r="AB85" s="46">
        <f t="shared" ca="1" si="23"/>
        <v>-86.03143450838617</v>
      </c>
      <c r="AF85" s="269">
        <f ca="1">INDEX('SRIM Data'!$Z$9:$Z$140,AF83)</f>
        <v>0.32500000000000001</v>
      </c>
      <c r="AG85" s="268">
        <f ca="1">INDEX('SRIM Data'!$AA$9:$AA$140,AF83)</f>
        <v>0.89990000000000003</v>
      </c>
      <c r="AI85" s="45"/>
    </row>
    <row r="86" spans="19:35" x14ac:dyDescent="0.2">
      <c r="S86" s="45">
        <v>85</v>
      </c>
      <c r="T86" s="76">
        <f t="shared" ca="1" si="18"/>
        <v>42.499999999999993</v>
      </c>
      <c r="U86" s="76">
        <f t="shared" ca="1" si="19"/>
        <v>92.966410419958095</v>
      </c>
      <c r="V86" s="78">
        <f t="shared" ca="1" si="20"/>
        <v>0.17291669772191698</v>
      </c>
      <c r="W86" s="78">
        <f ca="1">(Target!$D$10/COS(T86*(2*PI()/360)))</f>
        <v>2.809469638877856E-2</v>
      </c>
      <c r="X86" s="78"/>
      <c r="Y86" s="78">
        <f t="shared" ca="1" si="21"/>
        <v>2.2270833022780812</v>
      </c>
      <c r="Z86" s="78">
        <f ca="1">(Target!$D$10/COS(U86*(2*PI()/360)))</f>
        <v>-0.40025858979854151</v>
      </c>
      <c r="AA86" s="46">
        <f t="shared" ca="1" si="22"/>
        <v>42.499999999999993</v>
      </c>
      <c r="AB86" s="46">
        <f t="shared" ca="1" si="23"/>
        <v>-87.033589580041905</v>
      </c>
      <c r="AF86" s="267">
        <f ca="1">(AF85-AD10)/(AF85-AF84)</f>
        <v>0.35399205683648038</v>
      </c>
      <c r="AG86" s="268">
        <f ca="1">AG85-AF86*(AG85-AG84)</f>
        <v>0.87933306149780055</v>
      </c>
      <c r="AI86" s="45"/>
    </row>
    <row r="87" spans="19:35" x14ac:dyDescent="0.2">
      <c r="S87" s="45">
        <v>86</v>
      </c>
      <c r="T87" s="76">
        <f t="shared" ca="1" si="18"/>
        <v>43</v>
      </c>
      <c r="U87" s="76">
        <f t="shared" ca="1" si="19"/>
        <v>91.96487849086634</v>
      </c>
      <c r="V87" s="78">
        <f t="shared" ca="1" si="20"/>
        <v>0.17014927073738731</v>
      </c>
      <c r="W87" s="78">
        <f ca="1">(Target!$D$10/COS(T87*(2*PI()/360)))</f>
        <v>2.832225076067724E-2</v>
      </c>
      <c r="X87" s="78"/>
      <c r="Y87" s="78">
        <f t="shared" ca="1" si="21"/>
        <v>2.2298507292626106</v>
      </c>
      <c r="Z87" s="78">
        <f ca="1">(Target!$D$10/COS(U87*(2*PI()/360)))</f>
        <v>-0.60412567040928844</v>
      </c>
      <c r="AA87" s="46">
        <f t="shared" ca="1" si="22"/>
        <v>43</v>
      </c>
      <c r="AB87" s="46">
        <f t="shared" ca="1" si="23"/>
        <v>-88.03512150913366</v>
      </c>
      <c r="AF87" s="267"/>
      <c r="AG87" s="268">
        <f ca="1">AG86-AE10</f>
        <v>0.85855542805607665</v>
      </c>
      <c r="AI87" s="45"/>
    </row>
    <row r="88" spans="19:35" x14ac:dyDescent="0.2">
      <c r="S88" s="45">
        <v>87</v>
      </c>
      <c r="T88" s="76">
        <f t="shared" ca="1" si="18"/>
        <v>43.499999999999993</v>
      </c>
      <c r="U88" s="76">
        <f t="shared" ca="1" si="19"/>
        <v>90.96396901311148</v>
      </c>
      <c r="V88" s="78">
        <f t="shared" ca="1" si="20"/>
        <v>0.16737846408985224</v>
      </c>
      <c r="W88" s="78">
        <f ca="1">(Target!$D$10/COS(T88*(2*PI()/360)))</f>
        <v>2.8555713793831823E-2</v>
      </c>
      <c r="X88" s="78"/>
      <c r="Y88" s="78">
        <f t="shared" ca="1" si="21"/>
        <v>2.2326215359101451</v>
      </c>
      <c r="Z88" s="78">
        <f ca="1">(Target!$D$10/COS(U88*(2*PI()/360)))</f>
        <v>-1.2312189042600028</v>
      </c>
      <c r="AA88" s="46">
        <f t="shared" ca="1" si="22"/>
        <v>43.499999999999993</v>
      </c>
      <c r="AB88" s="46">
        <f t="shared" ca="1" si="23"/>
        <v>-89.03603098688852</v>
      </c>
      <c r="AF88" s="267"/>
      <c r="AG88" s="268">
        <f ca="1">MATCH(AG87,'SRIM Data'!$AA$9:$AA$140)</f>
        <v>40</v>
      </c>
      <c r="AI88" s="45"/>
    </row>
    <row r="89" spans="19:35" x14ac:dyDescent="0.2">
      <c r="S89" s="45">
        <v>88</v>
      </c>
      <c r="T89" s="76">
        <f t="shared" ca="1" si="18"/>
        <v>43.999999999999993</v>
      </c>
      <c r="U89" s="76">
        <f t="shared" ca="1" si="19"/>
        <v>89.963681105959722</v>
      </c>
      <c r="V89" s="78">
        <f t="shared" ca="1" si="20"/>
        <v>0.16460512179385794</v>
      </c>
      <c r="W89" s="78">
        <f ca="1">(Target!$D$10/COS(T89*(2*PI()/360)))</f>
        <v>2.8795268831581559E-2</v>
      </c>
      <c r="X89" s="78"/>
      <c r="Y89" s="78">
        <f t="shared" ca="1" si="21"/>
        <v>2.2353948782061406</v>
      </c>
      <c r="Z89" s="78">
        <f ca="1">(Target!$D$10/COS(U89*(2*PI()/360)))</f>
        <v>32.677232923446901</v>
      </c>
      <c r="AA89" s="46">
        <f t="shared" ca="1" si="22"/>
        <v>43.999999999999993</v>
      </c>
      <c r="AB89" s="46">
        <f t="shared" ca="1" si="23"/>
        <v>89.963681105959722</v>
      </c>
      <c r="AF89" s="267"/>
      <c r="AG89" s="268">
        <f ca="1">AG88+1</f>
        <v>41</v>
      </c>
      <c r="AI89" s="45"/>
    </row>
    <row r="90" spans="19:35" x14ac:dyDescent="0.2">
      <c r="S90" s="45">
        <v>89</v>
      </c>
      <c r="T90" s="76">
        <f t="shared" ca="1" si="18"/>
        <v>44.499999999999993</v>
      </c>
      <c r="U90" s="76">
        <f t="shared" ca="1" si="19"/>
        <v>88.964013700853371</v>
      </c>
      <c r="V90" s="78">
        <f t="shared" ca="1" si="20"/>
        <v>0.16183008863633375</v>
      </c>
      <c r="W90" s="78">
        <f ca="1">(Target!$D$10/COS(T90*(2*PI()/360)))</f>
        <v>2.904110744910314E-2</v>
      </c>
      <c r="X90" s="78"/>
      <c r="Y90" s="78">
        <f t="shared" ca="1" si="21"/>
        <v>2.2381699113636646</v>
      </c>
      <c r="Z90" s="78">
        <f ca="1">(Target!$D$10/COS(U90*(2*PI()/360)))</f>
        <v>1.1456382695731537</v>
      </c>
      <c r="AA90" s="46">
        <f t="shared" ca="1" si="22"/>
        <v>44.499999999999993</v>
      </c>
      <c r="AB90" s="46">
        <f t="shared" ca="1" si="23"/>
        <v>88.964013700853371</v>
      </c>
      <c r="AF90" s="269">
        <f ca="1">INDEX('SRIM Data'!$Z$9:$Z$140,AG88)</f>
        <v>0.3</v>
      </c>
      <c r="AG90" s="268">
        <f ca="1">INDEX('SRIM Data'!$AA$9:$AA$140,AG88)</f>
        <v>0.84179999999999999</v>
      </c>
      <c r="AI90" s="45"/>
    </row>
    <row r="91" spans="19:35" x14ac:dyDescent="0.2">
      <c r="S91" s="45">
        <v>90</v>
      </c>
      <c r="T91" s="76">
        <f t="shared" ca="1" si="18"/>
        <v>44.999999999999993</v>
      </c>
      <c r="U91" s="76">
        <f t="shared" ca="1" si="19"/>
        <v>87.964965543140124</v>
      </c>
      <c r="V91" s="78">
        <f t="shared" ca="1" si="20"/>
        <v>0.15905420991926172</v>
      </c>
      <c r="W91" s="78">
        <f ca="1">(Target!$D$10/COS(T91*(2*PI()/360)))</f>
        <v>2.92934299077851E-2</v>
      </c>
      <c r="X91" s="78"/>
      <c r="Y91" s="78">
        <f t="shared" ca="1" si="21"/>
        <v>2.2409457900807359</v>
      </c>
      <c r="Z91" s="78">
        <f ca="1">(Target!$D$10/COS(U91*(2*PI()/360)))</f>
        <v>0.58330729710299378</v>
      </c>
      <c r="AA91" s="46">
        <f t="shared" ca="1" si="22"/>
        <v>44.999999999999993</v>
      </c>
      <c r="AB91" s="46">
        <f t="shared" ca="1" si="23"/>
        <v>87.964965543140124</v>
      </c>
      <c r="AF91" s="280">
        <f ca="1">INDEX('SRIM Data'!$Z$9:$Z$140,AG89)</f>
        <v>0.32500000000000001</v>
      </c>
      <c r="AG91" s="271">
        <f ca="1">INDEX('SRIM Data'!$AA$9:$AA$140,AG89)</f>
        <v>0.89990000000000003</v>
      </c>
      <c r="AI91" s="45"/>
    </row>
    <row r="92" spans="19:35" x14ac:dyDescent="0.2">
      <c r="S92" s="45">
        <v>91</v>
      </c>
      <c r="T92" s="76">
        <f t="shared" ca="1" si="18"/>
        <v>45.499999999999993</v>
      </c>
      <c r="U92" s="76">
        <f t="shared" ca="1" si="19"/>
        <v>86.966535193846909</v>
      </c>
      <c r="V92" s="78">
        <f t="shared" ca="1" si="20"/>
        <v>0.15627833120218979</v>
      </c>
      <c r="W92" s="78">
        <f ca="1">(Target!$D$10/COS(T92*(2*PI()/360)))</f>
        <v>2.9552445640305215E-2</v>
      </c>
      <c r="X92" s="78"/>
      <c r="Y92" s="78">
        <f t="shared" ca="1" si="21"/>
        <v>2.2437216687978085</v>
      </c>
      <c r="Z92" s="78">
        <f ca="1">(Target!$D$10/COS(U92*(2*PI()/360)))</f>
        <v>0.3914189166048897</v>
      </c>
      <c r="AA92" s="46">
        <f t="shared" ca="1" si="22"/>
        <v>45.499999999999993</v>
      </c>
      <c r="AB92" s="46">
        <f t="shared" ca="1" si="23"/>
        <v>86.966535193846909</v>
      </c>
      <c r="AF92" s="278">
        <f ca="1">MATCH(AD11,'SRIM Data'!$Z$9:$Z$140)</f>
        <v>40</v>
      </c>
      <c r="AG92" s="279"/>
    </row>
    <row r="93" spans="19:35" x14ac:dyDescent="0.2">
      <c r="S93" s="45">
        <v>92</v>
      </c>
      <c r="T93" s="76">
        <f t="shared" ca="1" si="18"/>
        <v>45.999999999999986</v>
      </c>
      <c r="U93" s="76">
        <f t="shared" ca="1" si="19"/>
        <v>85.968721031496088</v>
      </c>
      <c r="V93" s="78">
        <f t="shared" ca="1" si="20"/>
        <v>0.15350329804466561</v>
      </c>
      <c r="W93" s="78">
        <f ca="1">(Target!$D$10/COS(T93*(2*PI()/360)))</f>
        <v>2.9818373768851453E-2</v>
      </c>
      <c r="X93" s="78"/>
      <c r="Y93" s="78">
        <f t="shared" ca="1" si="21"/>
        <v>2.2464967019553321</v>
      </c>
      <c r="Z93" s="78">
        <f ca="1">(Target!$D$10/COS(U93*(2*PI()/360)))</f>
        <v>0.29464114140545367</v>
      </c>
      <c r="AA93" s="46">
        <f t="shared" ca="1" si="22"/>
        <v>45.999999999999986</v>
      </c>
      <c r="AB93" s="46">
        <f t="shared" ca="1" si="23"/>
        <v>85.968721031496088</v>
      </c>
      <c r="AF93" s="267">
        <f ca="1">AF92+1</f>
        <v>41</v>
      </c>
      <c r="AG93" s="268"/>
    </row>
    <row r="94" spans="19:35" x14ac:dyDescent="0.2">
      <c r="S94" s="45">
        <v>93</v>
      </c>
      <c r="T94" s="76">
        <f t="shared" ca="1" si="18"/>
        <v>46.499999999999993</v>
      </c>
      <c r="U94" s="76">
        <f t="shared" ca="1" si="19"/>
        <v>84.971521253961583</v>
      </c>
      <c r="V94" s="78">
        <f t="shared" ca="1" si="20"/>
        <v>0.15072995574867123</v>
      </c>
      <c r="W94" s="78">
        <f ca="1">(Target!$D$10/COS(T94*(2*PI()/360)))</f>
        <v>3.0091443659151399E-2</v>
      </c>
      <c r="X94" s="78"/>
      <c r="Y94" s="78">
        <f t="shared" ca="1" si="21"/>
        <v>2.2492700442513263</v>
      </c>
      <c r="Z94" s="78">
        <f ca="1">(Target!$D$10/COS(U94*(2*PI()/360)))</f>
        <v>0.23631914408698013</v>
      </c>
      <c r="AA94" s="46">
        <f t="shared" ca="1" si="22"/>
        <v>46.499999999999993</v>
      </c>
      <c r="AB94" s="46">
        <f t="shared" ca="1" si="23"/>
        <v>84.971521253961583</v>
      </c>
      <c r="AF94" s="269">
        <f ca="1">INDEX('SRIM Data'!$Z$9:$Z$140,AF92)</f>
        <v>0.3</v>
      </c>
      <c r="AG94" s="268">
        <f ca="1">INDEX('SRIM Data'!$AA$9:$AA$140,AF92)</f>
        <v>0.84179999999999999</v>
      </c>
      <c r="AI94" s="45"/>
    </row>
    <row r="95" spans="19:35" x14ac:dyDescent="0.2">
      <c r="S95" s="45">
        <v>94</v>
      </c>
      <c r="T95" s="76">
        <f t="shared" ca="1" si="18"/>
        <v>46.999999999999993</v>
      </c>
      <c r="U95" s="76">
        <f t="shared" ca="1" si="19"/>
        <v>83.974933880363466</v>
      </c>
      <c r="V95" s="78">
        <f t="shared" ca="1" si="20"/>
        <v>0.14795914910113614</v>
      </c>
      <c r="W95" s="78">
        <f ca="1">(Target!$D$10/COS(T95*(2*PI()/360)))</f>
        <v>3.0371895513223033E-2</v>
      </c>
      <c r="X95" s="78"/>
      <c r="Y95" s="78">
        <f t="shared" ca="1" si="21"/>
        <v>2.2520408508988621</v>
      </c>
      <c r="Z95" s="78">
        <f ca="1">(Target!$D$10/COS(U95*(2*PI()/360)))</f>
        <v>0.19734073703372088</v>
      </c>
      <c r="AA95" s="46">
        <f t="shared" ca="1" si="22"/>
        <v>46.999999999999993</v>
      </c>
      <c r="AB95" s="46">
        <f t="shared" ca="1" si="23"/>
        <v>83.974933880363466</v>
      </c>
      <c r="AF95" s="269">
        <f ca="1">INDEX('SRIM Data'!$Z$9:$Z$140,AF93)</f>
        <v>0.32500000000000001</v>
      </c>
      <c r="AG95" s="268">
        <f ca="1">INDEX('SRIM Data'!$AA$9:$AA$140,AF93)</f>
        <v>0.89990000000000003</v>
      </c>
      <c r="AI95" s="45"/>
    </row>
    <row r="96" spans="19:35" x14ac:dyDescent="0.2">
      <c r="S96" s="45">
        <v>95</v>
      </c>
      <c r="T96" s="76">
        <f t="shared" ca="1" si="18"/>
        <v>47.5</v>
      </c>
      <c r="U96" s="76">
        <f t="shared" ca="1" si="19"/>
        <v>82.978956752998215</v>
      </c>
      <c r="V96" s="78">
        <f t="shared" ca="1" si="20"/>
        <v>0.1451917221166065</v>
      </c>
      <c r="W96" s="78">
        <f ca="1">(Target!$D$10/COS(T96*(2*PI()/360)))</f>
        <v>3.0659981004034203E-2</v>
      </c>
      <c r="X96" s="78"/>
      <c r="Y96" s="78">
        <f t="shared" ca="1" si="21"/>
        <v>2.2548082778833916</v>
      </c>
      <c r="Z96" s="78">
        <f ca="1">(Target!$D$10/COS(U96*(2*PI()/360)))</f>
        <v>0.16945861793181774</v>
      </c>
      <c r="AA96" s="46">
        <f t="shared" ca="1" si="22"/>
        <v>47.5</v>
      </c>
      <c r="AB96" s="46">
        <f t="shared" ca="1" si="23"/>
        <v>82.978956752998215</v>
      </c>
      <c r="AF96" s="267">
        <f ca="1">(AF95-AD11)/(AF95-AF94)</f>
        <v>0.37231884012072414</v>
      </c>
      <c r="AG96" s="268">
        <f ca="1">AG95-AF96*(AG95-AG94)</f>
        <v>0.878268275388986</v>
      </c>
      <c r="AI96" s="45"/>
    </row>
    <row r="97" spans="19:35" x14ac:dyDescent="0.2">
      <c r="S97" s="45">
        <v>96</v>
      </c>
      <c r="T97" s="76">
        <f t="shared" ca="1" si="18"/>
        <v>47.999999999999993</v>
      </c>
      <c r="U97" s="76">
        <f t="shared" ca="1" si="19"/>
        <v>81.983587539303258</v>
      </c>
      <c r="V97" s="78">
        <f t="shared" ca="1" si="20"/>
        <v>0.1424285177801505</v>
      </c>
      <c r="W97" s="78">
        <f ca="1">(Target!$D$10/COS(T97*(2*PI()/360)))</f>
        <v>3.0955963955561258E-2</v>
      </c>
      <c r="X97" s="78"/>
      <c r="Y97" s="78">
        <f t="shared" ca="1" si="21"/>
        <v>2.2575714822198472</v>
      </c>
      <c r="Z97" s="78">
        <f ca="1">(Target!$D$10/COS(U97*(2*PI()/360)))</f>
        <v>0.14853050566265966</v>
      </c>
      <c r="AA97" s="46">
        <f t="shared" ca="1" si="22"/>
        <v>47.999999999999993</v>
      </c>
      <c r="AB97" s="46">
        <f t="shared" ca="1" si="23"/>
        <v>81.983587539303258</v>
      </c>
      <c r="AF97" s="267"/>
      <c r="AG97" s="268">
        <f ca="1">AG96-AE11</f>
        <v>0.85747556993523744</v>
      </c>
      <c r="AI97" s="45"/>
    </row>
    <row r="98" spans="19:35" x14ac:dyDescent="0.2">
      <c r="S98" s="45">
        <v>97</v>
      </c>
      <c r="T98" s="76">
        <f t="shared" ref="T98:T129" ca="1" si="24">AA98-180*(-1+SIGN(AA98))/2</f>
        <v>48.499999999999993</v>
      </c>
      <c r="U98" s="76">
        <f t="shared" ref="U98:U129" ca="1" si="25">AB98-180*(-1+SIGN(AB98))/2</f>
        <v>80.988823733853437</v>
      </c>
      <c r="V98" s="78">
        <f t="shared" ref="V98:V129" ca="1" si="26">(($R$10*SIN(RADIANS(S98))/SIN(RADIANS(AA98)))^2)/(2*$O$8)</f>
        <v>0.13967037779057678</v>
      </c>
      <c r="W98" s="78">
        <f ca="1">(Target!$D$10/COS(T98*(2*PI()/360)))</f>
        <v>3.12601210720743E-2</v>
      </c>
      <c r="X98" s="78"/>
      <c r="Y98" s="78">
        <f t="shared" ref="Y98:Y129" ca="1" si="27">(($R$10*SIN(RADIANS(S98))/SIN(RADIANS(AB98)))^2)/(2*$O$9)</f>
        <v>2.2603296222094214</v>
      </c>
      <c r="Z98" s="78">
        <f ca="1">(Target!$D$10/COS(U98*(2*PI()/360)))</f>
        <v>0.13224773917857069</v>
      </c>
      <c r="AA98" s="46">
        <f t="shared" ref="AA98:AA129" ca="1" si="28">DEGREES(ATAN(SIN(RADIANS(S98))/($R$11/$R$10+COS(RADIANS(S98)))))</f>
        <v>48.499999999999993</v>
      </c>
      <c r="AB98" s="46">
        <f t="shared" ref="AB98:AB129" ca="1" si="29">DEGREES(ATAN(SIN(RADIANS(S98))/($R$11/$R$12-COS(RADIANS(S98)))))</f>
        <v>80.988823733853437</v>
      </c>
      <c r="AF98" s="267"/>
      <c r="AG98" s="268">
        <f ca="1">MATCH(AG97,'SRIM Data'!$AA$9:$AA$140)</f>
        <v>40</v>
      </c>
      <c r="AI98" s="45"/>
    </row>
    <row r="99" spans="19:35" x14ac:dyDescent="0.2">
      <c r="S99" s="45">
        <v>98</v>
      </c>
      <c r="T99" s="76">
        <f t="shared" ca="1" si="24"/>
        <v>48.999999999999993</v>
      </c>
      <c r="U99" s="76">
        <f t="shared" ca="1" si="25"/>
        <v>79.994662660387505</v>
      </c>
      <c r="V99" s="78">
        <f t="shared" ca="1" si="26"/>
        <v>0.13691814230404487</v>
      </c>
      <c r="W99" s="78">
        <f ca="1">(Target!$D$10/COS(T99*(2*PI()/360)))</f>
        <v>3.1572742720849555E-2</v>
      </c>
      <c r="X99" s="78"/>
      <c r="Y99" s="78">
        <f t="shared" ca="1" si="27"/>
        <v>2.2630818576959535</v>
      </c>
      <c r="Z99" s="78">
        <f ca="1">(Target!$D$10/COS(U99*(2*PI()/360)))</f>
        <v>0.11922178522774524</v>
      </c>
      <c r="AA99" s="46">
        <f t="shared" ca="1" si="28"/>
        <v>48.999999999999993</v>
      </c>
      <c r="AB99" s="46">
        <f t="shared" ca="1" si="29"/>
        <v>79.994662660387505</v>
      </c>
      <c r="AF99" s="267"/>
      <c r="AG99" s="268">
        <f ca="1">AG98+1</f>
        <v>41</v>
      </c>
      <c r="AI99" s="45"/>
    </row>
    <row r="100" spans="19:35" x14ac:dyDescent="0.2">
      <c r="S100" s="45">
        <v>99</v>
      </c>
      <c r="T100" s="76">
        <f t="shared" ca="1" si="24"/>
        <v>49.499999999999993</v>
      </c>
      <c r="U100" s="76">
        <f t="shared" ca="1" si="25"/>
        <v>79.001101473862846</v>
      </c>
      <c r="V100" s="78">
        <f t="shared" ca="1" si="26"/>
        <v>0.13417264967814543</v>
      </c>
      <c r="W100" s="78">
        <f ca="1">(Target!$D$10/COS(T100*(2*PI()/360)))</f>
        <v>3.1894133772924577E-2</v>
      </c>
      <c r="X100" s="78"/>
      <c r="Y100" s="78">
        <f t="shared" ca="1" si="27"/>
        <v>2.2658273503218522</v>
      </c>
      <c r="Z100" s="78">
        <f ca="1">(Target!$D$10/COS(U100*(2*PI()/360)))</f>
        <v>0.10856737485097287</v>
      </c>
      <c r="AA100" s="46">
        <f t="shared" ca="1" si="28"/>
        <v>49.499999999999993</v>
      </c>
      <c r="AB100" s="46">
        <f t="shared" ca="1" si="29"/>
        <v>79.001101473862846</v>
      </c>
      <c r="AF100" s="269">
        <f ca="1">INDEX('SRIM Data'!$Z$9:$Z$140,AG98)</f>
        <v>0.3</v>
      </c>
      <c r="AG100" s="268">
        <f ca="1">INDEX('SRIM Data'!$AA$9:$AA$140,AG98)</f>
        <v>0.84179999999999999</v>
      </c>
      <c r="AI100" s="45"/>
    </row>
    <row r="101" spans="19:35" x14ac:dyDescent="0.2">
      <c r="S101" s="45">
        <v>100</v>
      </c>
      <c r="T101" s="76">
        <f t="shared" ca="1" si="24"/>
        <v>49.999999999999993</v>
      </c>
      <c r="U101" s="76">
        <f t="shared" ca="1" si="25"/>
        <v>78.008137162536485</v>
      </c>
      <c r="V101" s="78">
        <f t="shared" ca="1" si="26"/>
        <v>0.13143473621652851</v>
      </c>
      <c r="W101" s="78">
        <f ca="1">(Target!$D$10/COS(T101*(2*PI()/360)))</f>
        <v>3.2224614506973483E-2</v>
      </c>
      <c r="X101" s="78"/>
      <c r="Y101" s="78">
        <f t="shared" ca="1" si="27"/>
        <v>2.268565263783469</v>
      </c>
      <c r="Z101" s="78">
        <f ca="1">(Target!$D$10/COS(U101*(2*PI()/360)))</f>
        <v>9.9693442696429893E-2</v>
      </c>
      <c r="AA101" s="46">
        <f t="shared" ca="1" si="28"/>
        <v>49.999999999999993</v>
      </c>
      <c r="AB101" s="46">
        <f t="shared" ca="1" si="29"/>
        <v>78.008137162536485</v>
      </c>
      <c r="AF101" s="280">
        <f ca="1">INDEX('SRIM Data'!$Z$9:$Z$140,AG99)</f>
        <v>0.32500000000000001</v>
      </c>
      <c r="AG101" s="271">
        <f ca="1">INDEX('SRIM Data'!$AA$9:$AA$140,AG99)</f>
        <v>0.89990000000000003</v>
      </c>
      <c r="AI101" s="45"/>
    </row>
    <row r="102" spans="19:35" x14ac:dyDescent="0.2">
      <c r="S102" s="45">
        <v>101</v>
      </c>
      <c r="T102" s="76">
        <f t="shared" ca="1" si="24"/>
        <v>50.499999999999993</v>
      </c>
      <c r="U102" s="76">
        <f t="shared" ca="1" si="25"/>
        <v>77.015766550070367</v>
      </c>
      <c r="V102" s="78">
        <f t="shared" ca="1" si="26"/>
        <v>0.12870523591415733</v>
      </c>
      <c r="W102" s="78">
        <f ca="1">(Target!$D$10/COS(T102*(2*PI()/360)))</f>
        <v>3.2564521581893519E-2</v>
      </c>
      <c r="X102" s="78"/>
      <c r="Y102" s="78">
        <f t="shared" ca="1" si="27"/>
        <v>2.271294764085841</v>
      </c>
      <c r="Z102" s="78">
        <f ca="1">(Target!$D$10/COS(U102*(2*PI()/360)))</f>
        <v>9.219028706467175E-2</v>
      </c>
      <c r="AA102" s="46">
        <f t="shared" ca="1" si="28"/>
        <v>50.499999999999993</v>
      </c>
      <c r="AB102" s="46">
        <f t="shared" ca="1" si="29"/>
        <v>77.015766550070367</v>
      </c>
      <c r="AF102" s="278">
        <f ca="1">MATCH(AD12,'SRIM Data'!$Z$9:$Z$140)</f>
        <v>40</v>
      </c>
      <c r="AG102" s="279"/>
      <c r="AI102" s="45"/>
    </row>
    <row r="103" spans="19:35" x14ac:dyDescent="0.2">
      <c r="S103" s="45">
        <v>102</v>
      </c>
      <c r="T103" s="76">
        <f t="shared" ca="1" si="24"/>
        <v>51</v>
      </c>
      <c r="U103" s="76">
        <f t="shared" ca="1" si="25"/>
        <v>76.023986297659491</v>
      </c>
      <c r="V103" s="78">
        <f t="shared" ca="1" si="26"/>
        <v>0.12598498020326518</v>
      </c>
      <c r="W103" s="78">
        <f ca="1">(Target!$D$10/COS(T103*(2*PI()/360)))</f>
        <v>3.2914209084268023E-2</v>
      </c>
      <c r="X103" s="78"/>
      <c r="Y103" s="78">
        <f t="shared" ca="1" si="27"/>
        <v>2.2740150197967335</v>
      </c>
      <c r="Z103" s="78">
        <f ca="1">(Target!$D$10/COS(U103*(2*PI()/360)))</f>
        <v>8.5764964805463362E-2</v>
      </c>
      <c r="AA103" s="46">
        <f t="shared" ca="1" si="28"/>
        <v>51</v>
      </c>
      <c r="AB103" s="46">
        <f t="shared" ca="1" si="29"/>
        <v>76.023986297659491</v>
      </c>
      <c r="AF103" s="267">
        <f ca="1">AF102+1</f>
        <v>41</v>
      </c>
      <c r="AG103" s="268"/>
      <c r="AI103" s="45"/>
    </row>
    <row r="104" spans="19:35" x14ac:dyDescent="0.2">
      <c r="S104" s="45">
        <v>103</v>
      </c>
      <c r="T104" s="76">
        <f t="shared" ca="1" si="24"/>
        <v>51.499999999999993</v>
      </c>
      <c r="U104" s="76">
        <f t="shared" ca="1" si="25"/>
        <v>75.032792906180802</v>
      </c>
      <c r="V104" s="78">
        <f t="shared" ca="1" si="26"/>
        <v>0.12327479770009338</v>
      </c>
      <c r="W104" s="78">
        <f ca="1">(Target!$D$10/COS(T104*(2*PI()/360)))</f>
        <v>3.327404965751115E-2</v>
      </c>
      <c r="X104" s="78"/>
      <c r="Y104" s="78">
        <f t="shared" ca="1" si="27"/>
        <v>2.2767252022999047</v>
      </c>
      <c r="Z104" s="78">
        <f ca="1">(Target!$D$10/COS(U104*(2*PI()/360)))</f>
        <v>8.0202465839514778E-2</v>
      </c>
      <c r="AA104" s="46">
        <f t="shared" ca="1" si="28"/>
        <v>51.499999999999993</v>
      </c>
      <c r="AB104" s="46">
        <f t="shared" ca="1" si="29"/>
        <v>75.032792906180802</v>
      </c>
      <c r="AF104" s="269">
        <f ca="1">INDEX('SRIM Data'!$Z$9:$Z$140,AF102)</f>
        <v>0.3</v>
      </c>
      <c r="AG104" s="268">
        <f ca="1">INDEX('SRIM Data'!$AA$9:$AA$140,AF102)</f>
        <v>0.84179999999999999</v>
      </c>
    </row>
    <row r="105" spans="19:35" x14ac:dyDescent="0.2">
      <c r="S105" s="45">
        <v>104</v>
      </c>
      <c r="T105" s="76">
        <f t="shared" ca="1" si="24"/>
        <v>52</v>
      </c>
      <c r="U105" s="76">
        <f t="shared" ca="1" si="25"/>
        <v>74.04218271836119</v>
      </c>
      <c r="V105" s="78">
        <f t="shared" ca="1" si="26"/>
        <v>0.12057551395248638</v>
      </c>
      <c r="W105" s="78">
        <f ca="1">(Target!$D$10/COS(T105*(2*PI()/360)))</f>
        <v>3.3644435720216338E-2</v>
      </c>
      <c r="X105" s="78"/>
      <c r="Y105" s="78">
        <f t="shared" ca="1" si="27"/>
        <v>2.2794244860475112</v>
      </c>
      <c r="Z105" s="78">
        <f ca="1">(Target!$D$10/COS(U105*(2*PI()/360)))</f>
        <v>7.5341414263191714E-2</v>
      </c>
      <c r="AA105" s="46">
        <f t="shared" ca="1" si="28"/>
        <v>52</v>
      </c>
      <c r="AB105" s="46">
        <f t="shared" ca="1" si="29"/>
        <v>74.04218271836119</v>
      </c>
      <c r="AF105" s="269">
        <f ca="1">INDEX('SRIM Data'!$Z$9:$Z$140,AF103)</f>
        <v>0.32500000000000001</v>
      </c>
      <c r="AG105" s="268">
        <f ca="1">INDEX('SRIM Data'!$AA$9:$AA$140,AF103)</f>
        <v>0.89990000000000003</v>
      </c>
      <c r="AI105" s="45"/>
    </row>
    <row r="106" spans="19:35" x14ac:dyDescent="0.2">
      <c r="S106" s="45">
        <v>105</v>
      </c>
      <c r="T106" s="76">
        <f t="shared" ca="1" si="24"/>
        <v>52.5</v>
      </c>
      <c r="U106" s="76">
        <f t="shared" ca="1" si="25"/>
        <v>73.052151920963112</v>
      </c>
      <c r="V106" s="78">
        <f t="shared" ca="1" si="26"/>
        <v>0.11788795118842249</v>
      </c>
      <c r="W106" s="78">
        <f ca="1">(Target!$D$10/COS(T106*(2*PI()/360)))</f>
        <v>3.4025780782032659E-2</v>
      </c>
      <c r="X106" s="78"/>
      <c r="Y106" s="78">
        <f t="shared" ca="1" si="27"/>
        <v>2.2821120488115758</v>
      </c>
      <c r="Z106" s="78">
        <f ca="1">(Target!$D$10/COS(U106*(2*PI()/360)))</f>
        <v>7.1058327253972903E-2</v>
      </c>
      <c r="AA106" s="46">
        <f t="shared" ca="1" si="28"/>
        <v>52.5</v>
      </c>
      <c r="AB106" s="46">
        <f t="shared" ca="1" si="29"/>
        <v>73.052151920963112</v>
      </c>
      <c r="AF106" s="267">
        <f ca="1">(AF105-AD12)/(AF105-AF104)</f>
        <v>0.39255415928799187</v>
      </c>
      <c r="AG106" s="268">
        <f ca="1">AG105-AF106*(AG105-AG104)</f>
        <v>0.87709260334536765</v>
      </c>
      <c r="AI106" s="45"/>
    </row>
    <row r="107" spans="19:35" x14ac:dyDescent="0.2">
      <c r="S107" s="45">
        <v>106</v>
      </c>
      <c r="T107" s="76">
        <f t="shared" ca="1" si="24"/>
        <v>52.999999999999993</v>
      </c>
      <c r="U107" s="76">
        <f t="shared" ca="1" si="25"/>
        <v>72.062696546985919</v>
      </c>
      <c r="V107" s="78">
        <f t="shared" ca="1" si="26"/>
        <v>0.11521292806555451</v>
      </c>
      <c r="W107" s="78">
        <f ca="1">(Target!$D$10/COS(T107*(2*PI()/360)))</f>
        <v>3.4418520866293476E-2</v>
      </c>
      <c r="X107" s="78"/>
      <c r="Y107" s="78">
        <f t="shared" ca="1" si="27"/>
        <v>2.2847870719344434</v>
      </c>
      <c r="Z107" s="78">
        <f ca="1">(Target!$D$10/COS(U107*(2*PI()/360)))</f>
        <v>6.7257110444665508E-2</v>
      </c>
      <c r="AA107" s="46">
        <f t="shared" ca="1" si="28"/>
        <v>52.999999999999993</v>
      </c>
      <c r="AB107" s="46">
        <f t="shared" ca="1" si="29"/>
        <v>72.062696546985919</v>
      </c>
      <c r="AF107" s="267"/>
      <c r="AG107" s="268">
        <f ca="1">AG106-AE12</f>
        <v>0.85628321813173547</v>
      </c>
      <c r="AI107" s="45"/>
    </row>
    <row r="108" spans="19:35" x14ac:dyDescent="0.2">
      <c r="S108" s="45">
        <v>107</v>
      </c>
      <c r="T108" s="76">
        <f t="shared" ca="1" si="24"/>
        <v>53.499999999999993</v>
      </c>
      <c r="U108" s="76">
        <f t="shared" ca="1" si="25"/>
        <v>71.073812477881617</v>
      </c>
      <c r="V108" s="78">
        <f t="shared" ca="1" si="26"/>
        <v>0.11255125942183913</v>
      </c>
      <c r="W108" s="78">
        <f ca="1">(Target!$D$10/COS(T108*(2*PI()/360)))</f>
        <v>3.4823116049632334E-2</v>
      </c>
      <c r="X108" s="78"/>
      <c r="Y108" s="78">
        <f t="shared" ca="1" si="27"/>
        <v>2.2874487405781587</v>
      </c>
      <c r="Z108" s="78">
        <f ca="1">(Target!$D$10/COS(U108*(2*PI()/360)))</f>
        <v>6.3861864221866183E-2</v>
      </c>
      <c r="AA108" s="46">
        <f t="shared" ca="1" si="28"/>
        <v>53.499999999999993</v>
      </c>
      <c r="AB108" s="46">
        <f t="shared" ca="1" si="29"/>
        <v>71.073812477881617</v>
      </c>
      <c r="AF108" s="267"/>
      <c r="AG108" s="268">
        <f ca="1">MATCH(AG107,'SRIM Data'!$AA$9:$AA$140)</f>
        <v>40</v>
      </c>
      <c r="AI108" s="45"/>
    </row>
    <row r="109" spans="19:35" x14ac:dyDescent="0.2">
      <c r="S109" s="45">
        <v>108</v>
      </c>
      <c r="T109" s="76">
        <f t="shared" ca="1" si="24"/>
        <v>53.999999999999993</v>
      </c>
      <c r="U109" s="76">
        <f t="shared" ca="1" si="25"/>
        <v>70.085495445783181</v>
      </c>
      <c r="V109" s="78">
        <f t="shared" ca="1" si="26"/>
        <v>0.10990375602732955</v>
      </c>
      <c r="W109" s="78">
        <f ca="1">(Target!$D$10/COS(T109*(2*PI()/360)))</f>
        <v>3.524005212995867E-2</v>
      </c>
      <c r="X109" s="78"/>
      <c r="Y109" s="78">
        <f t="shared" ca="1" si="27"/>
        <v>2.2900962439726693</v>
      </c>
      <c r="Z109" s="78">
        <f ca="1">(Target!$D$10/COS(U109*(2*PI()/360)))</f>
        <v>6.0811844225810138E-2</v>
      </c>
      <c r="AA109" s="46">
        <f t="shared" ca="1" si="28"/>
        <v>53.999999999999993</v>
      </c>
      <c r="AB109" s="46">
        <f t="shared" ca="1" si="29"/>
        <v>70.085495445783181</v>
      </c>
      <c r="AF109" s="267"/>
      <c r="AG109" s="268">
        <f ca="1">AG108+1</f>
        <v>41</v>
      </c>
      <c r="AI109" s="45"/>
    </row>
    <row r="110" spans="19:35" x14ac:dyDescent="0.2">
      <c r="S110" s="45">
        <v>109</v>
      </c>
      <c r="T110" s="76">
        <f t="shared" ca="1" si="24"/>
        <v>54.499999999999993</v>
      </c>
      <c r="U110" s="76">
        <f t="shared" ca="1" si="25"/>
        <v>69.097741035744335</v>
      </c>
      <c r="V110" s="78">
        <f t="shared" ca="1" si="26"/>
        <v>0.10727122433720652</v>
      </c>
      <c r="W110" s="78">
        <f ca="1">(Target!$D$10/COS(T110*(2*PI()/360)))</f>
        <v>3.5669842435447144E-2</v>
      </c>
      <c r="X110" s="78"/>
      <c r="Y110" s="78">
        <f t="shared" ca="1" si="27"/>
        <v>2.2927287756627921</v>
      </c>
      <c r="Z110" s="78">
        <f ca="1">(Target!$D$10/COS(U110*(2*PI()/360)))</f>
        <v>5.805785922428814E-2</v>
      </c>
      <c r="AA110" s="46">
        <f t="shared" ca="1" si="28"/>
        <v>54.499999999999993</v>
      </c>
      <c r="AB110" s="46">
        <f t="shared" ca="1" si="29"/>
        <v>69.097741035744335</v>
      </c>
      <c r="AF110" s="269">
        <f ca="1">INDEX('SRIM Data'!$Z$9:$Z$140,AG108)</f>
        <v>0.3</v>
      </c>
      <c r="AG110" s="268">
        <f ca="1">INDEX('SRIM Data'!$AA$9:$AA$140,AG108)</f>
        <v>0.84179999999999999</v>
      </c>
      <c r="AI110" s="45"/>
    </row>
    <row r="111" spans="19:35" x14ac:dyDescent="0.2">
      <c r="S111" s="45">
        <v>110</v>
      </c>
      <c r="T111" s="76">
        <f t="shared" ca="1" si="24"/>
        <v>54.999999999999986</v>
      </c>
      <c r="U111" s="76">
        <f t="shared" ca="1" si="25"/>
        <v>68.110544687988877</v>
      </c>
      <c r="V111" s="78">
        <f t="shared" ca="1" si="26"/>
        <v>0.10465446624612487</v>
      </c>
      <c r="W111" s="78">
        <f ca="1">(Target!$D$10/COS(T111*(2*PI()/360)))</f>
        <v>3.6113029788640623E-2</v>
      </c>
      <c r="X111" s="78"/>
      <c r="Y111" s="78">
        <f t="shared" ca="1" si="27"/>
        <v>2.2953455337538737</v>
      </c>
      <c r="Z111" s="78">
        <f ca="1">(Target!$D$10/COS(U111*(2*PI()/360)))</f>
        <v>5.5559649768180591E-2</v>
      </c>
      <c r="AA111" s="46">
        <f t="shared" ca="1" si="28"/>
        <v>54.999999999999986</v>
      </c>
      <c r="AB111" s="46">
        <f t="shared" ca="1" si="29"/>
        <v>68.110544687988877</v>
      </c>
      <c r="AF111" s="280">
        <f ca="1">INDEX('SRIM Data'!$Z$9:$Z$140,AG109)</f>
        <v>0.32500000000000001</v>
      </c>
      <c r="AG111" s="271">
        <f ca="1">INDEX('SRIM Data'!$AA$9:$AA$140,AG109)</f>
        <v>0.89990000000000003</v>
      </c>
      <c r="AI111" s="45"/>
    </row>
    <row r="112" spans="19:35" x14ac:dyDescent="0.2">
      <c r="S112" s="45">
        <v>111</v>
      </c>
      <c r="T112" s="76">
        <f t="shared" ca="1" si="24"/>
        <v>55.499999999999986</v>
      </c>
      <c r="U112" s="76">
        <f t="shared" ca="1" si="25"/>
        <v>67.123901700168574</v>
      </c>
      <c r="V112" s="78">
        <f t="shared" ca="1" si="26"/>
        <v>0.10205427884394815</v>
      </c>
      <c r="W112" s="78">
        <f ca="1">(Target!$D$10/COS(T112*(2*PI()/360)))</f>
        <v>3.6570188641401803E-2</v>
      </c>
      <c r="X112" s="78"/>
      <c r="Y112" s="78">
        <f t="shared" ca="1" si="27"/>
        <v>2.2979457211560499</v>
      </c>
      <c r="Z112" s="78">
        <f ca="1">(Target!$D$10/COS(U112*(2*PI()/360)))</f>
        <v>5.3283949600539234E-2</v>
      </c>
      <c r="AA112" s="46">
        <f t="shared" ca="1" si="28"/>
        <v>55.499999999999986</v>
      </c>
      <c r="AB112" s="46">
        <f t="shared" ca="1" si="29"/>
        <v>67.123901700168574</v>
      </c>
      <c r="AF112" s="278">
        <f ca="1">MATCH(AD13,'SRIM Data'!$Z$9:$Z$140)</f>
        <v>40</v>
      </c>
      <c r="AG112" s="279"/>
      <c r="AI112" s="45"/>
    </row>
    <row r="113" spans="19:35" x14ac:dyDescent="0.2">
      <c r="S113" s="45">
        <v>112</v>
      </c>
      <c r="T113" s="76">
        <f t="shared" ca="1" si="24"/>
        <v>55.999999999999993</v>
      </c>
      <c r="U113" s="76">
        <f t="shared" ca="1" si="25"/>
        <v>66.137807229628052</v>
      </c>
      <c r="V113" s="78">
        <f t="shared" ca="1" si="26"/>
        <v>9.9471454172947726E-2</v>
      </c>
      <c r="W113" s="78">
        <f ca="1">(Target!$D$10/COS(T113*(2*PI()/360)))</f>
        <v>3.704192739829943E-2</v>
      </c>
      <c r="X113" s="78"/>
      <c r="Y113" s="78">
        <f t="shared" ca="1" si="27"/>
        <v>2.3005285458270506</v>
      </c>
      <c r="Z113" s="78">
        <f ca="1">(Target!$D$10/COS(U113*(2*PI()/360)))</f>
        <v>5.1203030983733681E-2</v>
      </c>
      <c r="AA113" s="46">
        <f t="shared" ca="1" si="28"/>
        <v>55.999999999999993</v>
      </c>
      <c r="AB113" s="46">
        <f t="shared" ca="1" si="29"/>
        <v>66.137807229628052</v>
      </c>
      <c r="AF113" s="267">
        <f ca="1">AF112+1</f>
        <v>41</v>
      </c>
      <c r="AG113" s="268"/>
      <c r="AI113" s="45"/>
    </row>
    <row r="114" spans="19:35" x14ac:dyDescent="0.2">
      <c r="S114" s="45">
        <v>113</v>
      </c>
      <c r="T114" s="76">
        <f t="shared" ca="1" si="24"/>
        <v>56.499999999999993</v>
      </c>
      <c r="U114" s="76">
        <f t="shared" ca="1" si="25"/>
        <v>65.152256295675457</v>
      </c>
      <c r="V114" s="78">
        <f t="shared" ca="1" si="26"/>
        <v>9.6906778986538725E-2</v>
      </c>
      <c r="W114" s="78">
        <f ca="1">(Target!$D$10/COS(T114*(2*PI()/360)))</f>
        <v>3.7528890948115151E-2</v>
      </c>
      <c r="X114" s="78"/>
      <c r="Y114" s="78">
        <f t="shared" ca="1" si="27"/>
        <v>2.3030932210134591</v>
      </c>
      <c r="Z114" s="78">
        <f ca="1">(Target!$D$10/COS(U114*(2*PI()/360)))</f>
        <v>4.929359864423713E-2</v>
      </c>
      <c r="AA114" s="46">
        <f t="shared" ca="1" si="28"/>
        <v>56.499999999999993</v>
      </c>
      <c r="AB114" s="46">
        <f t="shared" ca="1" si="29"/>
        <v>65.152256295675457</v>
      </c>
      <c r="AF114" s="269">
        <f ca="1">INDEX('SRIM Data'!$Z$9:$Z$140,AF112)</f>
        <v>0.3</v>
      </c>
      <c r="AG114" s="268">
        <f ca="1">INDEX('SRIM Data'!$AA$9:$AA$140,AF112)</f>
        <v>0.84179999999999999</v>
      </c>
    </row>
    <row r="115" spans="19:35" x14ac:dyDescent="0.2">
      <c r="S115" s="45">
        <v>114</v>
      </c>
      <c r="T115" s="76">
        <f t="shared" ca="1" si="24"/>
        <v>57</v>
      </c>
      <c r="U115" s="76">
        <f t="shared" ca="1" si="25"/>
        <v>64.167243781857394</v>
      </c>
      <c r="V115" s="78">
        <f t="shared" ca="1" si="26"/>
        <v>9.4361034509627559E-2</v>
      </c>
      <c r="W115" s="78">
        <f ca="1">(Target!$D$10/COS(T115*(2*PI()/360)))</f>
        <v>3.8031763425543229E-2</v>
      </c>
      <c r="X115" s="78"/>
      <c r="Y115" s="78">
        <f t="shared" ca="1" si="27"/>
        <v>2.3056389654903708</v>
      </c>
      <c r="Z115" s="78">
        <f ca="1">(Target!$D$10/COS(U115*(2*PI()/360)))</f>
        <v>4.7535938607458278E-2</v>
      </c>
      <c r="AA115" s="46">
        <f t="shared" ca="1" si="28"/>
        <v>57</v>
      </c>
      <c r="AB115" s="46">
        <f t="shared" ca="1" si="29"/>
        <v>64.167243781857394</v>
      </c>
      <c r="AF115" s="269">
        <f ca="1">INDEX('SRIM Data'!$Z$9:$Z$140,AF113)</f>
        <v>0.32500000000000001</v>
      </c>
      <c r="AG115" s="268">
        <f ca="1">INDEX('SRIM Data'!$AA$9:$AA$140,AF113)</f>
        <v>0.89990000000000003</v>
      </c>
      <c r="AI115" s="45"/>
    </row>
    <row r="116" spans="19:35" x14ac:dyDescent="0.2">
      <c r="S116" s="45">
        <v>115</v>
      </c>
      <c r="T116" s="76">
        <f t="shared" ca="1" si="24"/>
        <v>57.499999999999986</v>
      </c>
      <c r="U116" s="76">
        <f t="shared" ca="1" si="25"/>
        <v>63.182764438237463</v>
      </c>
      <c r="V116" s="78">
        <f t="shared" ca="1" si="26"/>
        <v>9.183499620064306E-2</v>
      </c>
      <c r="W116" s="78">
        <f ca="1">(Target!$D$10/COS(T116*(2*PI()/360)))</f>
        <v>3.8551271227871726E-2</v>
      </c>
      <c r="X116" s="78"/>
      <c r="Y116" s="78">
        <f t="shared" ca="1" si="27"/>
        <v>2.3081650037993549</v>
      </c>
      <c r="Z116" s="78">
        <f ca="1">(Target!$D$10/COS(U116*(2*PI()/360)))</f>
        <v>4.5913255928863902E-2</v>
      </c>
      <c r="AA116" s="46">
        <f t="shared" ca="1" si="28"/>
        <v>57.499999999999986</v>
      </c>
      <c r="AB116" s="46">
        <f t="shared" ca="1" si="29"/>
        <v>63.182764438237463</v>
      </c>
      <c r="AF116" s="267">
        <f ca="1">(AF115-AD13)/(AF115-AF114)</f>
        <v>0.41469185046405471</v>
      </c>
      <c r="AG116" s="268">
        <f ca="1">AG115-AF116*(AG115-AG114)</f>
        <v>0.8758064034880384</v>
      </c>
      <c r="AI116" s="45"/>
    </row>
    <row r="117" spans="19:35" x14ac:dyDescent="0.2">
      <c r="S117" s="45">
        <v>116</v>
      </c>
      <c r="T117" s="76">
        <f t="shared" ca="1" si="24"/>
        <v>57.999999999999993</v>
      </c>
      <c r="U117" s="76">
        <f t="shared" ca="1" si="25"/>
        <v>62.198812883676531</v>
      </c>
      <c r="V117" s="78">
        <f t="shared" ca="1" si="26"/>
        <v>8.9329433515324339E-2</v>
      </c>
      <c r="W117" s="78">
        <f ca="1">(Target!$D$10/COS(T117*(2*PI()/360)))</f>
        <v>3.9088186314532813E-2</v>
      </c>
      <c r="X117" s="78"/>
      <c r="Y117" s="78">
        <f t="shared" ca="1" si="27"/>
        <v>2.3106705664846743</v>
      </c>
      <c r="Z117" s="78">
        <f ca="1">(Target!$D$10/COS(U117*(2*PI()/360)))</f>
        <v>4.4411154158573857E-2</v>
      </c>
      <c r="AA117" s="46">
        <f t="shared" ca="1" si="28"/>
        <v>57.999999999999993</v>
      </c>
      <c r="AB117" s="46">
        <f t="shared" ca="1" si="29"/>
        <v>62.198812883676531</v>
      </c>
      <c r="AF117" s="267"/>
      <c r="AG117" s="268">
        <f ca="1">AG116-AE13</f>
        <v>0.85497872435047917</v>
      </c>
      <c r="AI117" s="45"/>
    </row>
    <row r="118" spans="19:35" x14ac:dyDescent="0.2">
      <c r="S118" s="45">
        <v>117</v>
      </c>
      <c r="T118" s="76">
        <f t="shared" ca="1" si="24"/>
        <v>58.499999999999986</v>
      </c>
      <c r="U118" s="76">
        <f t="shared" ca="1" si="25"/>
        <v>61.21538360811433</v>
      </c>
      <c r="V118" s="78">
        <f t="shared" ca="1" si="26"/>
        <v>8.6845109672337314E-2</v>
      </c>
      <c r="W118" s="78">
        <f ca="1">(Target!$D$10/COS(T118*(2*PI()/360)))</f>
        <v>3.964332982095059E-2</v>
      </c>
      <c r="X118" s="78"/>
      <c r="Y118" s="78">
        <f t="shared" ca="1" si="27"/>
        <v>2.3131548903276604</v>
      </c>
      <c r="Z118" s="78">
        <f ca="1">(Target!$D$10/COS(U118*(2*PI()/360)))</f>
        <v>4.3017222370775487E-2</v>
      </c>
      <c r="AA118" s="46">
        <f t="shared" ca="1" si="28"/>
        <v>58.499999999999986</v>
      </c>
      <c r="AB118" s="46">
        <f t="shared" ca="1" si="29"/>
        <v>61.21538360811433</v>
      </c>
      <c r="AF118" s="267"/>
      <c r="AG118" s="268">
        <f ca="1">MATCH(AG117,'SRIM Data'!$AA$9:$AA$140)</f>
        <v>40</v>
      </c>
      <c r="AI118" s="45"/>
    </row>
    <row r="119" spans="19:35" x14ac:dyDescent="0.2">
      <c r="S119" s="45">
        <v>118</v>
      </c>
      <c r="T119" s="76">
        <f t="shared" ca="1" si="24"/>
        <v>59.000000000000007</v>
      </c>
      <c r="U119" s="76">
        <f t="shared" ca="1" si="25"/>
        <v>60.232470974850557</v>
      </c>
      <c r="V119" s="78">
        <f t="shared" ca="1" si="26"/>
        <v>8.4382781420790753E-2</v>
      </c>
      <c r="W119" s="78">
        <f ca="1">(Target!$D$10/COS(T119*(2*PI()/360)))</f>
        <v>4.0217576022170923E-2</v>
      </c>
      <c r="X119" s="78"/>
      <c r="Y119" s="78">
        <f t="shared" ca="1" si="27"/>
        <v>2.3156172185792072</v>
      </c>
      <c r="Z119" s="78">
        <f ca="1">(Target!$D$10/COS(U119*(2*PI()/360)))</f>
        <v>4.1720704689931172E-2</v>
      </c>
      <c r="AA119" s="46">
        <f t="shared" ca="1" si="28"/>
        <v>59.000000000000007</v>
      </c>
      <c r="AB119" s="46">
        <f t="shared" ca="1" si="29"/>
        <v>60.232470974850557</v>
      </c>
      <c r="AF119" s="267"/>
      <c r="AG119" s="268">
        <f ca="1">AG118+1</f>
        <v>41</v>
      </c>
      <c r="AI119" s="45"/>
    </row>
    <row r="120" spans="19:35" x14ac:dyDescent="0.2">
      <c r="S120" s="45">
        <v>119</v>
      </c>
      <c r="T120" s="76">
        <f t="shared" ca="1" si="24"/>
        <v>59.499999999999986</v>
      </c>
      <c r="U120" s="76">
        <f t="shared" ca="1" si="25"/>
        <v>59.250069222825296</v>
      </c>
      <c r="V120" s="78">
        <f t="shared" ca="1" si="26"/>
        <v>8.1943198809723297E-2</v>
      </c>
      <c r="W120" s="78">
        <f ca="1">(Target!$D$10/COS(T120*(2*PI()/360)))</f>
        <v>4.0811856686410505E-2</v>
      </c>
      <c r="X120" s="78"/>
      <c r="Y120" s="78">
        <f t="shared" ca="1" si="27"/>
        <v>2.3180568011902758</v>
      </c>
      <c r="Z120" s="78">
        <f ca="1">(Target!$D$10/COS(U120*(2*PI()/360)))</f>
        <v>4.051223370735791E-2</v>
      </c>
      <c r="AA120" s="46">
        <f t="shared" ca="1" si="28"/>
        <v>59.499999999999986</v>
      </c>
      <c r="AB120" s="46">
        <f t="shared" ca="1" si="29"/>
        <v>59.250069222825296</v>
      </c>
      <c r="AF120" s="269">
        <f ca="1">INDEX('SRIM Data'!$Z$9:$Z$140,AG118)</f>
        <v>0.3</v>
      </c>
      <c r="AG120" s="268">
        <f ca="1">INDEX('SRIM Data'!$AA$9:$AA$140,AG118)</f>
        <v>0.84179999999999999</v>
      </c>
      <c r="AI120" s="45"/>
    </row>
    <row r="121" spans="19:35" x14ac:dyDescent="0.2">
      <c r="S121" s="45">
        <v>120</v>
      </c>
      <c r="T121" s="76">
        <f t="shared" ca="1" si="24"/>
        <v>59.999999999999986</v>
      </c>
      <c r="U121" s="76">
        <f t="shared" ca="1" si="25"/>
        <v>58.268172468896871</v>
      </c>
      <c r="V121" s="78">
        <f t="shared" ca="1" si="26"/>
        <v>7.9527104959630904E-2</v>
      </c>
      <c r="W121" s="78">
        <f ca="1">(Target!$D$10/COS(T121*(2*PI()/360)))</f>
        <v>4.1427165864015306E-2</v>
      </c>
      <c r="X121" s="78"/>
      <c r="Y121" s="78">
        <f t="shared" ca="1" si="27"/>
        <v>2.3204728950403668</v>
      </c>
      <c r="Z121" s="78">
        <f ca="1">(Target!$D$10/COS(U121*(2*PI()/360)))</f>
        <v>3.938361382809287E-2</v>
      </c>
      <c r="AA121" s="46">
        <f t="shared" ca="1" si="28"/>
        <v>59.999999999999986</v>
      </c>
      <c r="AB121" s="46">
        <f t="shared" ca="1" si="29"/>
        <v>58.268172468896871</v>
      </c>
      <c r="AF121" s="280">
        <f ca="1">INDEX('SRIM Data'!$Z$9:$Z$140,AG119)</f>
        <v>0.32500000000000001</v>
      </c>
      <c r="AG121" s="271">
        <f ca="1">INDEX('SRIM Data'!$AA$9:$AA$140,AG119)</f>
        <v>0.89990000000000003</v>
      </c>
      <c r="AI121" s="45"/>
    </row>
    <row r="122" spans="19:35" x14ac:dyDescent="0.2">
      <c r="S122" s="45">
        <v>121</v>
      </c>
      <c r="T122" s="76">
        <f t="shared" ca="1" si="24"/>
        <v>60.5</v>
      </c>
      <c r="U122" s="76">
        <f t="shared" ca="1" si="25"/>
        <v>57.286774710117044</v>
      </c>
      <c r="V122" s="78">
        <f t="shared" ca="1" si="26"/>
        <v>7.7135235836105515E-2</v>
      </c>
      <c r="W122" s="78">
        <f ca="1">(Target!$D$10/COS(T122*(2*PI()/360)))</f>
        <v>4.206456516348521E-2</v>
      </c>
      <c r="X122" s="78"/>
      <c r="Y122" s="78">
        <f t="shared" ca="1" si="27"/>
        <v>2.3228647641638926</v>
      </c>
      <c r="Z122" s="78">
        <f ca="1">(Target!$D$10/COS(U122*(2*PI()/360)))</f>
        <v>3.8327643968509087E-2</v>
      </c>
      <c r="AA122" s="46">
        <f t="shared" ca="1" si="28"/>
        <v>60.5</v>
      </c>
      <c r="AB122" s="46">
        <f t="shared" ca="1" si="29"/>
        <v>57.286774710117044</v>
      </c>
      <c r="AF122" s="267">
        <f ca="1">MATCH(AD14,'SRIM Data'!$Z$9:$Z$140)</f>
        <v>40</v>
      </c>
      <c r="AG122" s="268"/>
      <c r="AI122" s="45"/>
    </row>
    <row r="123" spans="19:35" x14ac:dyDescent="0.2">
      <c r="S123" s="45">
        <v>122</v>
      </c>
      <c r="T123" s="76">
        <f t="shared" ca="1" si="24"/>
        <v>60.999999999999986</v>
      </c>
      <c r="U123" s="76">
        <f t="shared" ca="1" si="25"/>
        <v>56.305869826002095</v>
      </c>
      <c r="V123" s="78">
        <f t="shared" ca="1" si="26"/>
        <v>7.4768320025652882E-2</v>
      </c>
      <c r="W123" s="78">
        <f ca="1">(Target!$D$10/COS(T123*(2*PI()/360)))</f>
        <v>4.2725189573348109E-2</v>
      </c>
      <c r="X123" s="78"/>
      <c r="Y123" s="78">
        <f t="shared" ca="1" si="27"/>
        <v>2.3252316799743462</v>
      </c>
      <c r="Z123" s="78">
        <f ca="1">(Target!$D$10/COS(U123*(2*PI()/360)))</f>
        <v>3.7337971511795909E-2</v>
      </c>
      <c r="AA123" s="46">
        <f t="shared" ca="1" si="28"/>
        <v>60.999999999999986</v>
      </c>
      <c r="AB123" s="46">
        <f t="shared" ca="1" si="29"/>
        <v>56.305869826002095</v>
      </c>
      <c r="AF123" s="267">
        <f ca="1">AF122+1</f>
        <v>41</v>
      </c>
      <c r="AG123" s="268"/>
      <c r="AI123" s="45"/>
    </row>
    <row r="124" spans="19:35" x14ac:dyDescent="0.2">
      <c r="S124" s="45">
        <v>123</v>
      </c>
      <c r="T124" s="76">
        <f t="shared" ca="1" si="24"/>
        <v>61.499999999999993</v>
      </c>
      <c r="U124" s="76">
        <f t="shared" ca="1" si="25"/>
        <v>55.325451580799054</v>
      </c>
      <c r="V124" s="78">
        <f t="shared" ca="1" si="26"/>
        <v>7.2427078513757459E-2</v>
      </c>
      <c r="W124" s="78">
        <f ca="1">(Target!$D$10/COS(T124*(2*PI()/360)))</f>
        <v>4.3410253896916808E-2</v>
      </c>
      <c r="X124" s="78"/>
      <c r="Y124" s="78">
        <f t="shared" ca="1" si="27"/>
        <v>2.3275729214862397</v>
      </c>
      <c r="Z124" s="78">
        <f ca="1">(Target!$D$10/COS(U124*(2*PI()/360)))</f>
        <v>3.6408971276310223E-2</v>
      </c>
      <c r="AA124" s="46">
        <f t="shared" ca="1" si="28"/>
        <v>61.499999999999993</v>
      </c>
      <c r="AB124" s="46">
        <f t="shared" ca="1" si="29"/>
        <v>55.325451580799054</v>
      </c>
      <c r="AF124" s="269">
        <f ca="1">INDEX('SRIM Data'!$Z$9:$Z$140,AF122)</f>
        <v>0.3</v>
      </c>
      <c r="AG124" s="268">
        <f ca="1">INDEX('SRIM Data'!$AA$9:$AA$140,AF122)</f>
        <v>0.84179999999999999</v>
      </c>
      <c r="AI124" s="45"/>
    </row>
    <row r="125" spans="19:35" x14ac:dyDescent="0.2">
      <c r="S125" s="45">
        <v>124</v>
      </c>
      <c r="T125" s="76">
        <f t="shared" ca="1" si="24"/>
        <v>61.999999999999986</v>
      </c>
      <c r="U125" s="76">
        <f t="shared" ca="1" si="25"/>
        <v>54.345513625746641</v>
      </c>
      <c r="V125" s="78">
        <f t="shared" ca="1" si="26"/>
        <v>7.0112224465264134E-2</v>
      </c>
      <c r="W125" s="78">
        <f ca="1">(Target!$D$10/COS(T125*(2*PI()/360)))</f>
        <v>4.4121059876536937E-2</v>
      </c>
      <c r="X125" s="78"/>
      <c r="Y125" s="78">
        <f t="shared" ca="1" si="27"/>
        <v>2.3298877755347336</v>
      </c>
      <c r="Z125" s="78">
        <f ca="1">(Target!$D$10/COS(U125*(2*PI()/360)))</f>
        <v>3.5535644638188202E-2</v>
      </c>
      <c r="AA125" s="46">
        <f t="shared" ca="1" si="28"/>
        <v>61.999999999999986</v>
      </c>
      <c r="AB125" s="46">
        <f t="shared" ca="1" si="29"/>
        <v>54.345513625746641</v>
      </c>
      <c r="AF125" s="269">
        <f ca="1">INDEX('SRIM Data'!$Z$9:$Z$140,AF123)</f>
        <v>0.32500000000000001</v>
      </c>
      <c r="AG125" s="268">
        <f ca="1">INDEX('SRIM Data'!$AA$9:$AA$140,AF123)</f>
        <v>0.89990000000000003</v>
      </c>
    </row>
    <row r="126" spans="19:35" x14ac:dyDescent="0.2">
      <c r="S126" s="45">
        <v>125</v>
      </c>
      <c r="T126" s="76">
        <f t="shared" ca="1" si="24"/>
        <v>62.499999999999993</v>
      </c>
      <c r="U126" s="76">
        <f t="shared" ca="1" si="25"/>
        <v>53.366049501329428</v>
      </c>
      <c r="V126" s="78">
        <f t="shared" ca="1" si="26"/>
        <v>6.7824463007140359E-2</v>
      </c>
      <c r="W126" s="78">
        <f ca="1">(Target!$D$10/COS(T126*(2*PI()/360)))</f>
        <v>4.4859004095079487E-2</v>
      </c>
      <c r="X126" s="78"/>
      <c r="Y126" s="78">
        <f t="shared" ca="1" si="27"/>
        <v>2.3321755369928572</v>
      </c>
      <c r="Z126" s="78">
        <f ca="1">(Target!$D$10/COS(U126*(2*PI()/360)))</f>
        <v>3.4713534999092903E-2</v>
      </c>
      <c r="AA126" s="46">
        <f t="shared" ca="1" si="28"/>
        <v>62.499999999999993</v>
      </c>
      <c r="AB126" s="46">
        <f t="shared" ca="1" si="29"/>
        <v>53.366049501329428</v>
      </c>
      <c r="AF126" s="267">
        <f ca="1">(AF125-AD14)/(AF125-AF124)</f>
        <v>0.43872517029371189</v>
      </c>
      <c r="AG126" s="268">
        <f ca="1">AG125-AF126*(AG125-AG124)</f>
        <v>0.87441006760593531</v>
      </c>
      <c r="AI126" s="45"/>
    </row>
    <row r="127" spans="19:35" x14ac:dyDescent="0.2">
      <c r="S127" s="45">
        <v>126</v>
      </c>
      <c r="T127" s="76">
        <f t="shared" ca="1" si="24"/>
        <v>62.999999999999986</v>
      </c>
      <c r="U127" s="76">
        <f t="shared" ca="1" si="25"/>
        <v>52.387052639525528</v>
      </c>
      <c r="V127" s="78">
        <f t="shared" ca="1" si="26"/>
        <v>6.5564491013688483E-2</v>
      </c>
      <c r="W127" s="78">
        <f ca="1">(Target!$D$10/COS(T127*(2*PI()/360)))</f>
        <v>4.5625586755429874E-2</v>
      </c>
      <c r="X127" s="78"/>
      <c r="Y127" s="78">
        <f t="shared" ca="1" si="27"/>
        <v>2.3344355089863091</v>
      </c>
      <c r="Z127" s="78">
        <f ca="1">(Target!$D$10/COS(U127*(2*PI()/360)))</f>
        <v>3.3938656591135784E-2</v>
      </c>
      <c r="AA127" s="46">
        <f t="shared" ca="1" si="28"/>
        <v>62.999999999999986</v>
      </c>
      <c r="AB127" s="46">
        <f t="shared" ca="1" si="29"/>
        <v>52.387052639525528</v>
      </c>
      <c r="AF127" s="267"/>
      <c r="AG127" s="268">
        <f ca="1">AG126-AE14</f>
        <v>0.85356247332912039</v>
      </c>
      <c r="AI127" s="45"/>
    </row>
    <row r="128" spans="19:35" x14ac:dyDescent="0.2">
      <c r="S128" s="45">
        <v>127</v>
      </c>
      <c r="T128" s="76">
        <f t="shared" ca="1" si="24"/>
        <v>63.499999999999993</v>
      </c>
      <c r="U128" s="76">
        <f t="shared" ca="1" si="25"/>
        <v>51.408516366045944</v>
      </c>
      <c r="V128" s="78">
        <f t="shared" ca="1" si="26"/>
        <v>6.333299689427048E-2</v>
      </c>
      <c r="W128" s="78">
        <f ca="1">(Target!$D$10/COS(T128*(2*PI()/360)))</f>
        <v>4.6422421453934985E-2</v>
      </c>
      <c r="X128" s="78"/>
      <c r="Y128" s="78">
        <f t="shared" ca="1" si="27"/>
        <v>2.3366670031057279</v>
      </c>
      <c r="Z128" s="78">
        <f ca="1">(Target!$D$10/COS(U128*(2*PI()/360)))</f>
        <v>3.3207434227458865E-2</v>
      </c>
      <c r="AA128" s="46">
        <f t="shared" ca="1" si="28"/>
        <v>63.499999999999993</v>
      </c>
      <c r="AB128" s="46">
        <f t="shared" ca="1" si="29"/>
        <v>51.408516366045944</v>
      </c>
      <c r="AF128" s="267"/>
      <c r="AG128" s="268">
        <f ca="1">MATCH(AG127,'SRIM Data'!$AA$9:$AA$140)</f>
        <v>40</v>
      </c>
      <c r="AI128" s="45"/>
    </row>
    <row r="129" spans="19:35" x14ac:dyDescent="0.2">
      <c r="S129" s="45">
        <v>128</v>
      </c>
      <c r="T129" s="76">
        <f t="shared" ca="1" si="24"/>
        <v>63.999999999999986</v>
      </c>
      <c r="U129" s="76">
        <f t="shared" ca="1" si="25"/>
        <v>50.430433902566172</v>
      </c>
      <c r="V129" s="78">
        <f t="shared" ca="1" si="26"/>
        <v>6.1130660383612104E-2</v>
      </c>
      <c r="W129" s="78">
        <f ca="1">(Target!$D$10/COS(T129*(2*PI()/360)))</f>
        <v>4.7251246081608585E-2</v>
      </c>
      <c r="X129" s="78"/>
      <c r="Y129" s="78">
        <f t="shared" ca="1" si="27"/>
        <v>2.3388693396163869</v>
      </c>
      <c r="Z129" s="78">
        <f ca="1">(Target!$D$10/COS(U129*(2*PI()/360)))</f>
        <v>3.2516652084841481E-2</v>
      </c>
      <c r="AA129" s="46">
        <f t="shared" ca="1" si="28"/>
        <v>63.999999999999986</v>
      </c>
      <c r="AB129" s="46">
        <f t="shared" ca="1" si="29"/>
        <v>50.430433902566172</v>
      </c>
      <c r="AF129" s="267"/>
      <c r="AG129" s="268">
        <f ca="1">AG128+1</f>
        <v>41</v>
      </c>
      <c r="AI129" s="45"/>
    </row>
    <row r="130" spans="19:35" x14ac:dyDescent="0.2">
      <c r="S130" s="45">
        <v>129</v>
      </c>
      <c r="T130" s="76">
        <f t="shared" ref="T130:T161" ca="1" si="30">AA130-180*(-1+SIGN(AA130))/2</f>
        <v>64.499999999999986</v>
      </c>
      <c r="U130" s="76">
        <f t="shared" ref="U130:U161" ca="1" si="31">AB130-180*(-1+SIGN(AB130))/2</f>
        <v>49.452798368948365</v>
      </c>
      <c r="V130" s="78">
        <f t="shared" ref="V130:V161" ca="1" si="32">(($R$10*SIN(RADIANS(S130))/SIN(RADIANS(AA130)))^2)/(2*$O$8)</f>
        <v>5.8958152334749027E-2</v>
      </c>
      <c r="W130" s="78">
        <f ca="1">(Target!$D$10/COS(T130*(2*PI()/360)))</f>
        <v>4.811393500788512E-2</v>
      </c>
      <c r="X130" s="78"/>
      <c r="Y130" s="78">
        <f t="shared" ref="Y130:Y161" ca="1" si="33">(($R$10*SIN(RADIANS(S130))/SIN(RADIANS(AB130)))^2)/(2*$O$9)</f>
        <v>2.3410418476652493</v>
      </c>
      <c r="Z130" s="78">
        <f ca="1">(Target!$D$10/COS(U130*(2*PI()/360)))</f>
        <v>3.1863409977762616E-2</v>
      </c>
      <c r="AA130" s="46">
        <f t="shared" ref="AA130:AA161" ca="1" si="34">DEGREES(ATAN(SIN(RADIANS(S130))/($R$11/$R$10+COS(RADIANS(S130)))))</f>
        <v>64.499999999999986</v>
      </c>
      <c r="AB130" s="46">
        <f t="shared" ref="AB130:AB161" ca="1" si="35">DEGREES(ATAN(SIN(RADIANS(S130))/($R$11/$R$12-COS(RADIANS(S130)))))</f>
        <v>49.452798368948365</v>
      </c>
      <c r="AF130" s="269">
        <f ca="1">INDEX('SRIM Data'!$Z$9:$Z$140,AG128)</f>
        <v>0.3</v>
      </c>
      <c r="AG130" s="268">
        <f ca="1">INDEX('SRIM Data'!$AA$9:$AA$140,AG128)</f>
        <v>0.84179999999999999</v>
      </c>
      <c r="AI130" s="45"/>
    </row>
    <row r="131" spans="19:35" x14ac:dyDescent="0.2">
      <c r="S131" s="45">
        <v>130</v>
      </c>
      <c r="T131" s="76">
        <f t="shared" ca="1" si="30"/>
        <v>64.999999999999986</v>
      </c>
      <c r="U131" s="76">
        <f t="shared" ca="1" si="31"/>
        <v>48.475602785454392</v>
      </c>
      <c r="V131" s="78">
        <f t="shared" ca="1" si="32"/>
        <v>5.6816134514678429E-2</v>
      </c>
      <c r="W131" s="78">
        <f ca="1">(Target!$D$10/COS(T131*(2*PI()/360)))</f>
        <v>4.9012512726477095E-2</v>
      </c>
      <c r="X131" s="78"/>
      <c r="Y131" s="78">
        <f t="shared" ca="1" si="33"/>
        <v>2.3431838654853197</v>
      </c>
      <c r="Z131" s="78">
        <f ca="1">(Target!$D$10/COS(U131*(2*PI()/360)))</f>
        <v>3.1245085876546744E-2</v>
      </c>
      <c r="AA131" s="46">
        <f t="shared" ca="1" si="34"/>
        <v>64.999999999999986</v>
      </c>
      <c r="AB131" s="46">
        <f t="shared" ca="1" si="35"/>
        <v>48.475602785454392</v>
      </c>
      <c r="AF131" s="269">
        <f ca="1">INDEX('SRIM Data'!$Z$9:$Z$140,AG129)</f>
        <v>0.32500000000000001</v>
      </c>
      <c r="AG131" s="268">
        <f ca="1">INDEX('SRIM Data'!$AA$9:$AA$140,AG129)</f>
        <v>0.89990000000000003</v>
      </c>
      <c r="AI131" s="45"/>
    </row>
    <row r="132" spans="19:35" x14ac:dyDescent="0.2">
      <c r="S132" s="45">
        <v>131</v>
      </c>
      <c r="T132" s="76">
        <f t="shared" ca="1" si="30"/>
        <v>65.499999999999986</v>
      </c>
      <c r="U132" s="76">
        <f t="shared" ca="1" si="31"/>
        <v>47.498840074948802</v>
      </c>
      <c r="V132" s="78">
        <f t="shared" ca="1" si="32"/>
        <v>5.4705259402778574E-2</v>
      </c>
      <c r="W132" s="78">
        <f ca="1">(Target!$D$10/COS(T132*(2*PI()/360)))</f>
        <v>4.9949169172207188E-2</v>
      </c>
      <c r="X132" s="78"/>
      <c r="Y132" s="78">
        <f t="shared" ca="1" si="33"/>
        <v>2.3452947405972195</v>
      </c>
      <c r="Z132" s="78">
        <f ca="1">(Target!$D$10/COS(U132*(2*PI()/360)))</f>
        <v>3.0659303654100759E-2</v>
      </c>
      <c r="AA132" s="46">
        <f t="shared" ca="1" si="34"/>
        <v>65.499999999999986</v>
      </c>
      <c r="AB132" s="46">
        <f t="shared" ca="1" si="35"/>
        <v>47.498840074948802</v>
      </c>
      <c r="AF132" s="278">
        <f ca="1">MATCH(AD15,'SRIM Data'!$Z$9:$Z$140)</f>
        <v>40</v>
      </c>
      <c r="AG132" s="279"/>
      <c r="AI132" s="45"/>
    </row>
    <row r="133" spans="19:35" x14ac:dyDescent="0.2">
      <c r="S133" s="45">
        <v>132</v>
      </c>
      <c r="T133" s="76">
        <f t="shared" ca="1" si="30"/>
        <v>65.999999999999986</v>
      </c>
      <c r="U133" s="76">
        <f t="shared" ca="1" si="31"/>
        <v>46.522503065091207</v>
      </c>
      <c r="V133" s="78">
        <f t="shared" ca="1" si="32"/>
        <v>5.2626169992056993E-2</v>
      </c>
      <c r="W133" s="78">
        <f ca="1">(Target!$D$10/COS(T133*(2*PI()/360)))</f>
        <v>5.0926276952498316E-2</v>
      </c>
      <c r="X133" s="78"/>
      <c r="Y133" s="78">
        <f t="shared" ca="1" si="33"/>
        <v>2.3473738300079412</v>
      </c>
      <c r="Z133" s="78">
        <f ca="1">(Target!$D$10/COS(U133*(2*PI()/360)))</f>
        <v>3.010390523024031E-2</v>
      </c>
      <c r="AA133" s="46">
        <f t="shared" ca="1" si="34"/>
        <v>65.999999999999986</v>
      </c>
      <c r="AB133" s="46">
        <f t="shared" ca="1" si="35"/>
        <v>46.522503065091207</v>
      </c>
      <c r="AF133" s="267">
        <f ca="1">AF132+1</f>
        <v>41</v>
      </c>
      <c r="AG133" s="268"/>
      <c r="AI133" s="45"/>
    </row>
    <row r="134" spans="19:35" x14ac:dyDescent="0.2">
      <c r="S134" s="45">
        <v>133</v>
      </c>
      <c r="T134" s="76">
        <f t="shared" ca="1" si="30"/>
        <v>66.499999999999986</v>
      </c>
      <c r="U134" s="76">
        <f t="shared" ca="1" si="31"/>
        <v>45.546584490518136</v>
      </c>
      <c r="V134" s="78">
        <f t="shared" ca="1" si="32"/>
        <v>5.0579499593288869E-2</v>
      </c>
      <c r="W134" s="78">
        <f ca="1">(Target!$D$10/COS(T134*(2*PI()/360)))</f>
        <v>5.1946410778681576E-2</v>
      </c>
      <c r="X134" s="78"/>
      <c r="Y134" s="78">
        <f t="shared" ca="1" si="33"/>
        <v>2.3494205004067088</v>
      </c>
      <c r="Z134" s="78">
        <f ca="1">(Target!$D$10/COS(U134*(2*PI()/360)))</f>
        <v>2.9576926430226729E-2</v>
      </c>
      <c r="AA134" s="46">
        <f t="shared" ca="1" si="34"/>
        <v>66.499999999999986</v>
      </c>
      <c r="AB134" s="46">
        <f t="shared" ca="1" si="35"/>
        <v>45.546584490518136</v>
      </c>
      <c r="AF134" s="269">
        <f ca="1">INDEX('SRIM Data'!$Z$9:$Z$140,AF132)</f>
        <v>0.3</v>
      </c>
      <c r="AG134" s="268">
        <f ca="1">INDEX('SRIM Data'!$AA$9:$AA$140,AF132)</f>
        <v>0.84179999999999999</v>
      </c>
      <c r="AI134" s="45"/>
    </row>
    <row r="135" spans="19:35" x14ac:dyDescent="0.2">
      <c r="S135" s="45">
        <v>134</v>
      </c>
      <c r="T135" s="76">
        <f t="shared" ca="1" si="30"/>
        <v>66.999999999999986</v>
      </c>
      <c r="U135" s="76">
        <f t="shared" ca="1" si="31"/>
        <v>44.5710769950132</v>
      </c>
      <c r="V135" s="78">
        <f t="shared" ca="1" si="32"/>
        <v>4.8565871642104089E-2</v>
      </c>
      <c r="W135" s="78">
        <f ca="1">(Target!$D$10/COS(T135*(2*PI()/360)))</f>
        <v>5.3012369431877197E-2</v>
      </c>
      <c r="X135" s="78"/>
      <c r="Y135" s="78">
        <f t="shared" ca="1" si="33"/>
        <v>2.3514341283578948</v>
      </c>
      <c r="Z135" s="78">
        <f ca="1">(Target!$D$10/COS(U135*(2*PI()/360)))</f>
        <v>2.9076575992897945E-2</v>
      </c>
      <c r="AA135" s="46">
        <f t="shared" ca="1" si="34"/>
        <v>66.999999999999986</v>
      </c>
      <c r="AB135" s="46">
        <f t="shared" ca="1" si="35"/>
        <v>44.5710769950132</v>
      </c>
      <c r="AF135" s="269">
        <f ca="1">INDEX('SRIM Data'!$Z$9:$Z$140,AF133)</f>
        <v>0.32500000000000001</v>
      </c>
      <c r="AG135" s="268">
        <f ca="1">INDEX('SRIM Data'!$AA$9:$AA$140,AF133)</f>
        <v>0.89990000000000003</v>
      </c>
      <c r="AI135" s="45"/>
    </row>
    <row r="136" spans="19:35" x14ac:dyDescent="0.2">
      <c r="S136" s="45">
        <v>135</v>
      </c>
      <c r="T136" s="76">
        <f t="shared" ca="1" si="30"/>
        <v>67.499999999999986</v>
      </c>
      <c r="U136" s="76">
        <f t="shared" ca="1" si="31"/>
        <v>43.595973133666149</v>
      </c>
      <c r="V136" s="78">
        <f t="shared" ca="1" si="32"/>
        <v>4.6585899509083137E-2</v>
      </c>
      <c r="W136" s="78">
        <f ca="1">(Target!$D$10/COS(T136*(2*PI()/360)))</f>
        <v>5.4127200657713259E-2</v>
      </c>
      <c r="X136" s="78"/>
      <c r="Y136" s="78">
        <f t="shared" ca="1" si="33"/>
        <v>2.353414100490915</v>
      </c>
      <c r="Z136" s="78">
        <f ca="1">(Target!$D$10/COS(U136*(2*PI()/360)))</f>
        <v>2.8601217259817072E-2</v>
      </c>
      <c r="AA136" s="46">
        <f t="shared" ca="1" si="34"/>
        <v>67.499999999999986</v>
      </c>
      <c r="AB136" s="46">
        <f t="shared" ca="1" si="35"/>
        <v>43.595973133666149</v>
      </c>
      <c r="AF136" s="267">
        <f ca="1">(AF135-AD15)/(AF135-AF134)</f>
        <v>0.46464679799493608</v>
      </c>
      <c r="AG136" s="268">
        <f ca="1">AG135-AF136*(AG135-AG134)</f>
        <v>0.87290402103649423</v>
      </c>
      <c r="AI136" s="45"/>
    </row>
    <row r="137" spans="19:35" x14ac:dyDescent="0.2">
      <c r="S137" s="45">
        <v>136</v>
      </c>
      <c r="T137" s="76">
        <f t="shared" ca="1" si="30"/>
        <v>67.999999999999986</v>
      </c>
      <c r="U137" s="76">
        <f t="shared" ca="1" si="31"/>
        <v>42.621265375019519</v>
      </c>
      <c r="V137" s="78">
        <f t="shared" ca="1" si="32"/>
        <v>4.4640186312918072E-2</v>
      </c>
      <c r="W137" s="78">
        <f ca="1">(Target!$D$10/COS(T137*(2*PI()/360)))</f>
        <v>5.5294229455833711E-2</v>
      </c>
      <c r="X137" s="78"/>
      <c r="Y137" s="78">
        <f t="shared" ca="1" si="33"/>
        <v>2.3553598136870799</v>
      </c>
      <c r="Z137" s="78">
        <f ca="1">(Target!$D$10/COS(U137*(2*PI()/360)))</f>
        <v>2.8149352154907478E-2</v>
      </c>
      <c r="AA137" s="46">
        <f t="shared" ca="1" si="34"/>
        <v>67.999999999999986</v>
      </c>
      <c r="AB137" s="46">
        <f t="shared" ca="1" si="35"/>
        <v>42.621265375019519</v>
      </c>
      <c r="AF137" s="267"/>
      <c r="AG137" s="268">
        <f ca="1">AG136-AE15</f>
        <v>0.85203488271203975</v>
      </c>
    </row>
    <row r="138" spans="19:35" x14ac:dyDescent="0.2">
      <c r="S138" s="45">
        <v>137</v>
      </c>
      <c r="T138" s="76">
        <f t="shared" ca="1" si="30"/>
        <v>68.499999999999986</v>
      </c>
      <c r="U138" s="76">
        <f t="shared" ca="1" si="31"/>
        <v>41.646946103203561</v>
      </c>
      <c r="V138" s="78">
        <f t="shared" ca="1" si="32"/>
        <v>4.2729324736697077E-2</v>
      </c>
      <c r="W138" s="78">
        <f ca="1">(Target!$D$10/COS(T138*(2*PI()/360)))</f>
        <v>5.6517090316834245E-2</v>
      </c>
      <c r="X138" s="78"/>
      <c r="Y138" s="78">
        <f t="shared" ca="1" si="33"/>
        <v>2.3572706752633015</v>
      </c>
      <c r="Z138" s="78">
        <f ca="1">(Target!$D$10/COS(U138*(2*PI()/360)))</f>
        <v>2.771960712776636E-2</v>
      </c>
      <c r="AA138" s="46">
        <f t="shared" ca="1" si="34"/>
        <v>68.499999999999986</v>
      </c>
      <c r="AB138" s="46">
        <f t="shared" ca="1" si="35"/>
        <v>41.646946103203561</v>
      </c>
      <c r="AF138" s="267"/>
      <c r="AG138" s="268">
        <f ca="1">MATCH(AG137,'SRIM Data'!$AA$9:$AA$140)</f>
        <v>40</v>
      </c>
      <c r="AI138" s="45"/>
    </row>
    <row r="139" spans="19:35" x14ac:dyDescent="0.2">
      <c r="S139" s="45">
        <v>138</v>
      </c>
      <c r="T139" s="76">
        <f t="shared" ca="1" si="30"/>
        <v>68.999999999999972</v>
      </c>
      <c r="U139" s="76">
        <f t="shared" ca="1" si="31"/>
        <v>40.673007620058378</v>
      </c>
      <c r="V139" s="78">
        <f t="shared" ca="1" si="32"/>
        <v>4.0853896847367163E-2</v>
      </c>
      <c r="W139" s="78">
        <f ca="1">(Target!$D$10/COS(T139*(2*PI()/360)))</f>
        <v>5.7799764064529691E-2</v>
      </c>
      <c r="X139" s="78"/>
      <c r="Y139" s="78">
        <f t="shared" ca="1" si="33"/>
        <v>2.35914610315263</v>
      </c>
      <c r="Z139" s="78">
        <f ca="1">(Target!$D$10/COS(U139*(2*PI()/360)))</f>
        <v>2.7310720786109161E-2</v>
      </c>
      <c r="AA139" s="46">
        <f t="shared" ca="1" si="34"/>
        <v>68.999999999999972</v>
      </c>
      <c r="AB139" s="46">
        <f t="shared" ca="1" si="35"/>
        <v>40.673007620058378</v>
      </c>
      <c r="AF139" s="267"/>
      <c r="AG139" s="268">
        <f ca="1">AG138+1</f>
        <v>41</v>
      </c>
      <c r="AI139" s="45"/>
    </row>
    <row r="140" spans="19:35" x14ac:dyDescent="0.2">
      <c r="S140" s="45">
        <v>139</v>
      </c>
      <c r="T140" s="76">
        <f t="shared" ca="1" si="30"/>
        <v>69.499999999999986</v>
      </c>
      <c r="U140" s="76">
        <f t="shared" ca="1" si="31"/>
        <v>39.699442147243566</v>
      </c>
      <c r="V140" s="78">
        <f t="shared" ca="1" si="32"/>
        <v>3.901447391843104E-2</v>
      </c>
      <c r="W140" s="78">
        <f ca="1">(Target!$D$10/COS(T140*(2*PI()/360)))</f>
        <v>5.9146620089829093E-2</v>
      </c>
      <c r="X140" s="78"/>
      <c r="Y140" s="78">
        <f t="shared" ca="1" si="33"/>
        <v>2.3609855260815675</v>
      </c>
      <c r="Z140" s="78">
        <f ca="1">(Target!$D$10/COS(U140*(2*PI()/360)))</f>
        <v>2.6921532985843735E-2</v>
      </c>
      <c r="AA140" s="46">
        <f t="shared" ca="1" si="34"/>
        <v>69.499999999999986</v>
      </c>
      <c r="AB140" s="46">
        <f t="shared" ca="1" si="35"/>
        <v>39.699442147243566</v>
      </c>
      <c r="AF140" s="269">
        <f ca="1">INDEX('SRIM Data'!$Z$9:$Z$140,AG138)</f>
        <v>0.3</v>
      </c>
      <c r="AG140" s="268">
        <f ca="1">INDEX('SRIM Data'!$AA$9:$AA$140,AG138)</f>
        <v>0.84179999999999999</v>
      </c>
      <c r="AI140" s="45"/>
    </row>
    <row r="141" spans="19:35" x14ac:dyDescent="0.2">
      <c r="S141" s="45">
        <v>140</v>
      </c>
      <c r="T141" s="76">
        <f t="shared" ca="1" si="30"/>
        <v>69.999999999999972</v>
      </c>
      <c r="U141" s="76">
        <f t="shared" ca="1" si="31"/>
        <v>38.726241828335226</v>
      </c>
      <c r="V141" s="78">
        <f t="shared" ca="1" si="32"/>
        <v>3.7211616255931869E-2</v>
      </c>
      <c r="W141" s="78">
        <f ca="1">(Target!$D$10/COS(T141*(2*PI()/360)))</f>
        <v>6.0562464919746942E-2</v>
      </c>
      <c r="X141" s="78"/>
      <c r="Y141" s="78">
        <f t="shared" ca="1" si="33"/>
        <v>2.3627883837440664</v>
      </c>
      <c r="Z141" s="78">
        <f ca="1">(Target!$D$10/COS(U141*(2*PI()/360)))</f>
        <v>2.6550975182874262E-2</v>
      </c>
      <c r="AA141" s="46">
        <f t="shared" ca="1" si="34"/>
        <v>69.999999999999972</v>
      </c>
      <c r="AB141" s="46">
        <f t="shared" ca="1" si="35"/>
        <v>38.726241828335226</v>
      </c>
      <c r="AF141" s="280">
        <f ca="1">INDEX('SRIM Data'!$Z$9:$Z$140,AG139)</f>
        <v>0.32500000000000001</v>
      </c>
      <c r="AG141" s="271">
        <f ca="1">INDEX('SRIM Data'!$AA$9:$AA$140,AG139)</f>
        <v>0.89990000000000003</v>
      </c>
      <c r="AI141" s="45"/>
    </row>
    <row r="142" spans="19:35" x14ac:dyDescent="0.2">
      <c r="S142" s="45">
        <v>141</v>
      </c>
      <c r="T142" s="76">
        <f t="shared" ca="1" si="30"/>
        <v>70.499999999999972</v>
      </c>
      <c r="U142" s="76">
        <f t="shared" ca="1" si="31"/>
        <v>37.753398730909595</v>
      </c>
      <c r="V142" s="78">
        <f t="shared" ca="1" si="32"/>
        <v>3.5445873027778199E-2</v>
      </c>
      <c r="W142" s="78">
        <f ca="1">(Target!$D$10/COS(T142*(2*PI()/360)))</f>
        <v>6.2052598258628196E-2</v>
      </c>
      <c r="X142" s="78"/>
      <c r="Y142" s="78">
        <f t="shared" ca="1" si="33"/>
        <v>2.3645541269722194</v>
      </c>
      <c r="Z142" s="78">
        <f ca="1">(Target!$D$10/COS(U142*(2*PI()/360)))</f>
        <v>2.6198061880295574E-2</v>
      </c>
      <c r="AA142" s="46">
        <f t="shared" ca="1" si="34"/>
        <v>70.499999999999972</v>
      </c>
      <c r="AB142" s="46">
        <f t="shared" ca="1" si="35"/>
        <v>37.753398730909595</v>
      </c>
      <c r="AF142" s="278">
        <f ca="1">MATCH(AD16,'SRIM Data'!$Z$9:$Z$140)</f>
        <v>40</v>
      </c>
      <c r="AG142" s="279"/>
    </row>
    <row r="143" spans="19:35" x14ac:dyDescent="0.2">
      <c r="S143" s="45">
        <v>142</v>
      </c>
      <c r="T143" s="76">
        <f t="shared" ca="1" si="30"/>
        <v>70.999999999999986</v>
      </c>
      <c r="U143" s="76">
        <f t="shared" ca="1" si="31"/>
        <v>36.780904848614135</v>
      </c>
      <c r="V143" s="78">
        <f t="shared" ca="1" si="32"/>
        <v>3.3717782096462555E-2</v>
      </c>
      <c r="W143" s="78">
        <f ca="1">(Target!$D$10/COS(T143*(2*PI()/360)))</f>
        <v>6.3622877878043396E-2</v>
      </c>
      <c r="X143" s="78"/>
      <c r="Y143" s="78">
        <f t="shared" ca="1" si="33"/>
        <v>2.3662822179035361</v>
      </c>
      <c r="Z143" s="78">
        <f ca="1">(Target!$D$10/COS(U143*(2*PI()/360)))</f>
        <v>2.5861883029277138E-2</v>
      </c>
      <c r="AA143" s="46">
        <f t="shared" ca="1" si="34"/>
        <v>70.999999999999986</v>
      </c>
      <c r="AB143" s="46">
        <f t="shared" ca="1" si="35"/>
        <v>36.780904848614135</v>
      </c>
      <c r="AF143" s="267">
        <f ca="1">AF142+1</f>
        <v>41</v>
      </c>
      <c r="AG143" s="268"/>
    </row>
    <row r="144" spans="19:35" x14ac:dyDescent="0.2">
      <c r="S144" s="45">
        <v>143</v>
      </c>
      <c r="T144" s="76">
        <f t="shared" ca="1" si="30"/>
        <v>71.499999999999986</v>
      </c>
      <c r="U144" s="76">
        <f t="shared" ca="1" si="31"/>
        <v>35.808752103225004</v>
      </c>
      <c r="V144" s="78">
        <f t="shared" ca="1" si="32"/>
        <v>3.2027869855222935E-2</v>
      </c>
      <c r="W144" s="78">
        <f ca="1">(Target!$D$10/COS(T144*(2*PI()/360)))</f>
        <v>6.5279795029428517E-2</v>
      </c>
      <c r="X144" s="78"/>
      <c r="Y144" s="78">
        <f t="shared" ca="1" si="33"/>
        <v>2.3679721301447749</v>
      </c>
      <c r="Z144" s="78">
        <f ca="1">(Target!$D$10/COS(U144*(2*PI()/360)))</f>
        <v>2.5541597262545099E-2</v>
      </c>
      <c r="AA144" s="46">
        <f t="shared" ca="1" si="34"/>
        <v>71.499999999999986</v>
      </c>
      <c r="AB144" s="46">
        <f t="shared" ca="1" si="35"/>
        <v>35.808752103225004</v>
      </c>
      <c r="AF144" s="269">
        <f ca="1">INDEX('SRIM Data'!$Z$9:$Z$140,AF142)</f>
        <v>0.3</v>
      </c>
      <c r="AG144" s="268">
        <f ca="1">INDEX('SRIM Data'!$AA$9:$AA$140,AF142)</f>
        <v>0.84179999999999999</v>
      </c>
    </row>
    <row r="145" spans="19:33" x14ac:dyDescent="0.2">
      <c r="S145" s="45">
        <v>144</v>
      </c>
      <c r="T145" s="76">
        <f t="shared" ca="1" si="30"/>
        <v>71.999999999999972</v>
      </c>
      <c r="U145" s="76">
        <f t="shared" ca="1" si="31"/>
        <v>34.836932346691825</v>
      </c>
      <c r="V145" s="78">
        <f t="shared" ca="1" si="32"/>
        <v>3.0376651067698671E-2</v>
      </c>
      <c r="W145" s="78">
        <f ca="1">(Target!$D$10/COS(T145*(2*PI()/360)))</f>
        <v>6.7030562425556106E-2</v>
      </c>
      <c r="X145" s="78"/>
      <c r="Y145" s="78">
        <f t="shared" ca="1" si="33"/>
        <v>2.3696233489322993</v>
      </c>
      <c r="Z145" s="78">
        <f ca="1">(Target!$D$10/COS(U145*(2*PI()/360)))</f>
        <v>2.5236425856671959E-2</v>
      </c>
      <c r="AA145" s="46">
        <f t="shared" ca="1" si="34"/>
        <v>71.999999999999972</v>
      </c>
      <c r="AB145" s="46">
        <f t="shared" ca="1" si="35"/>
        <v>34.836932346691825</v>
      </c>
      <c r="AF145" s="269">
        <f ca="1">INDEX('SRIM Data'!$Z$9:$Z$140,AF143)</f>
        <v>0.32500000000000001</v>
      </c>
      <c r="AG145" s="268">
        <f ca="1">INDEX('SRIM Data'!$AA$9:$AA$140,AF143)</f>
        <v>0.89990000000000003</v>
      </c>
    </row>
    <row r="146" spans="19:33" x14ac:dyDescent="0.2">
      <c r="S146" s="45">
        <v>145</v>
      </c>
      <c r="T146" s="76">
        <f t="shared" ca="1" si="30"/>
        <v>72.5</v>
      </c>
      <c r="U146" s="76">
        <f t="shared" ca="1" si="31"/>
        <v>33.865437363168716</v>
      </c>
      <c r="V146" s="78">
        <f t="shared" ca="1" si="32"/>
        <v>2.8764628711128025E-2</v>
      </c>
      <c r="W146" s="78">
        <f ca="1">(Target!$D$10/COS(T146*(2*PI()/360)))</f>
        <v>6.8883217304604477E-2</v>
      </c>
      <c r="X146" s="78"/>
      <c r="Y146" s="78">
        <f t="shared" ca="1" si="33"/>
        <v>2.3712353712888699</v>
      </c>
      <c r="Z146" s="78">
        <f ca="1">(Target!$D$10/COS(U146*(2*PI()/360)))</f>
        <v>2.4945647333954355E-2</v>
      </c>
      <c r="AA146" s="46">
        <f t="shared" ca="1" si="34"/>
        <v>72.5</v>
      </c>
      <c r="AB146" s="46">
        <f t="shared" ca="1" si="35"/>
        <v>33.865437363168716</v>
      </c>
      <c r="AF146" s="267">
        <f ca="1">(AF145-AD16)/(AF145-AF144)</f>
        <v>0.4924488375888143</v>
      </c>
      <c r="AG146" s="268">
        <f ca="1">AG145-AF146*(AG145-AG144)</f>
        <v>0.87128872253608991</v>
      </c>
    </row>
    <row r="147" spans="19:33" x14ac:dyDescent="0.2">
      <c r="S147" s="45">
        <v>146</v>
      </c>
      <c r="T147" s="76">
        <f t="shared" ca="1" si="30"/>
        <v>72.999999999999972</v>
      </c>
      <c r="U147" s="76">
        <f t="shared" ca="1" si="31"/>
        <v>32.894258871032747</v>
      </c>
      <c r="V147" s="78">
        <f t="shared" ca="1" si="32"/>
        <v>2.7192293823136961E-2</v>
      </c>
      <c r="W147" s="78">
        <f ca="1">(Target!$D$10/COS(T147*(2*PI()/360)))</f>
        <v>7.0846742682062328E-2</v>
      </c>
      <c r="X147" s="78"/>
      <c r="Y147" s="78">
        <f t="shared" ca="1" si="33"/>
        <v>2.3728077061768609</v>
      </c>
      <c r="Z147" s="78">
        <f ca="1">(Target!$D$10/COS(U147*(2*PI()/360)))</f>
        <v>2.4668592626972755E-2</v>
      </c>
      <c r="AA147" s="46">
        <f t="shared" ca="1" si="34"/>
        <v>72.999999999999972</v>
      </c>
      <c r="AB147" s="46">
        <f t="shared" ca="1" si="35"/>
        <v>32.894258871032747</v>
      </c>
      <c r="AF147" s="267"/>
      <c r="AG147" s="268">
        <f ca="1">AG146-AE16</f>
        <v>0.85039640291348828</v>
      </c>
    </row>
    <row r="148" spans="19:33" x14ac:dyDescent="0.2">
      <c r="S148" s="45">
        <v>147</v>
      </c>
      <c r="T148" s="76">
        <f t="shared" ca="1" si="30"/>
        <v>73.499999999999986</v>
      </c>
      <c r="U148" s="76">
        <f t="shared" ca="1" si="31"/>
        <v>31.923388524888647</v>
      </c>
      <c r="V148" s="78">
        <f t="shared" ca="1" si="32"/>
        <v>2.5660125352163825E-2</v>
      </c>
      <c r="W148" s="78">
        <f ca="1">(Target!$D$10/COS(T148*(2*PI()/360)))</f>
        <v>7.2931210648498335E-2</v>
      </c>
      <c r="X148" s="78"/>
      <c r="Y148" s="78">
        <f t="shared" ca="1" si="33"/>
        <v>2.3743398746478341</v>
      </c>
      <c r="Z148" s="78">
        <f ca="1">(Target!$D$10/COS(U148*(2*PI()/360)))</f>
        <v>2.4404640739363076E-2</v>
      </c>
      <c r="AA148" s="46">
        <f t="shared" ca="1" si="34"/>
        <v>73.499999999999986</v>
      </c>
      <c r="AB148" s="46">
        <f t="shared" ca="1" si="35"/>
        <v>31.923388524888647</v>
      </c>
      <c r="AF148" s="267"/>
      <c r="AG148" s="268">
        <f ca="1">MATCH(AG147,'SRIM Data'!$AA$9:$AA$140)</f>
        <v>40</v>
      </c>
    </row>
    <row r="149" spans="19:33" x14ac:dyDescent="0.2">
      <c r="S149" s="45">
        <v>148</v>
      </c>
      <c r="T149" s="76">
        <f t="shared" ca="1" si="30"/>
        <v>73.999999999999972</v>
      </c>
      <c r="U149" s="76">
        <f t="shared" ca="1" si="31"/>
        <v>30.952817917560843</v>
      </c>
      <c r="V149" s="78">
        <f t="shared" ca="1" si="32"/>
        <v>2.4168590011567292E-2</v>
      </c>
      <c r="W149" s="78">
        <f ca="1">(Target!$D$10/COS(T149*(2*PI()/360)))</f>
        <v>7.5147952535721513E-2</v>
      </c>
      <c r="X149" s="78"/>
      <c r="Y149" s="78">
        <f t="shared" ca="1" si="33"/>
        <v>2.375831409988431</v>
      </c>
      <c r="Z149" s="78">
        <f ca="1">(Target!$D$10/COS(U149*(2*PI()/360)))</f>
        <v>2.4153214845203844E-2</v>
      </c>
      <c r="AA149" s="46">
        <f t="shared" ca="1" si="34"/>
        <v>73.999999999999972</v>
      </c>
      <c r="AB149" s="46">
        <f t="shared" ca="1" si="35"/>
        <v>30.952817917560843</v>
      </c>
      <c r="AF149" s="267"/>
      <c r="AG149" s="268">
        <f ca="1">AG148+1</f>
        <v>41</v>
      </c>
    </row>
    <row r="150" spans="19:33" x14ac:dyDescent="0.2">
      <c r="S150" s="45">
        <v>149</v>
      </c>
      <c r="T150" s="76">
        <f t="shared" ca="1" si="30"/>
        <v>74.499999999999972</v>
      </c>
      <c r="U150" s="76">
        <f t="shared" ca="1" si="31"/>
        <v>29.982538582072443</v>
      </c>
      <c r="V150" s="78">
        <f t="shared" ca="1" si="32"/>
        <v>2.2718142137461039E-2</v>
      </c>
      <c r="W150" s="78">
        <f ca="1">(Target!$D$10/COS(T150*(2*PI()/360)))</f>
        <v>7.7509762018393477E-2</v>
      </c>
      <c r="X150" s="78"/>
      <c r="Y150" s="78">
        <f t="shared" ca="1" si="33"/>
        <v>2.377281857862537</v>
      </c>
      <c r="Z150" s="78">
        <f ca="1">(Target!$D$10/COS(U150*(2*PI()/360)))</f>
        <v>2.3913778776988373E-2</v>
      </c>
      <c r="AA150" s="46">
        <f t="shared" ca="1" si="34"/>
        <v>74.499999999999972</v>
      </c>
      <c r="AB150" s="46">
        <f t="shared" ca="1" si="35"/>
        <v>29.982538582072443</v>
      </c>
      <c r="AF150" s="269">
        <f ca="1">INDEX('SRIM Data'!$Z$9:$Z$140,AG148)</f>
        <v>0.3</v>
      </c>
      <c r="AG150" s="268">
        <f ca="1">INDEX('SRIM Data'!$AA$9:$AA$140,AG148)</f>
        <v>0.84179999999999999</v>
      </c>
    </row>
    <row r="151" spans="19:33" x14ac:dyDescent="0.2">
      <c r="S151" s="45">
        <v>150</v>
      </c>
      <c r="T151" s="76">
        <f t="shared" ca="1" si="30"/>
        <v>74.999999999999972</v>
      </c>
      <c r="U151" s="76">
        <f t="shared" ca="1" si="31"/>
        <v>29.012541993611062</v>
      </c>
      <c r="V151" s="78">
        <f t="shared" ca="1" si="32"/>
        <v>2.1309223550318213E-2</v>
      </c>
      <c r="W151" s="78">
        <f ca="1">(Target!$D$10/COS(T151*(2*PI()/360)))</f>
        <v>8.0031138836026458E-2</v>
      </c>
      <c r="X151" s="78"/>
      <c r="Y151" s="78">
        <f t="shared" ca="1" si="33"/>
        <v>2.3786907764496803</v>
      </c>
      <c r="Z151" s="78">
        <f ca="1">(Target!$D$10/COS(U151*(2*PI()/360)))</f>
        <v>2.3685833858620744E-2</v>
      </c>
      <c r="AA151" s="46">
        <f t="shared" ca="1" si="34"/>
        <v>74.999999999999972</v>
      </c>
      <c r="AB151" s="46">
        <f t="shared" ca="1" si="35"/>
        <v>29.012541993611062</v>
      </c>
      <c r="AF151" s="280">
        <f ca="1">INDEX('SRIM Data'!$Z$9:$Z$140,AG149)</f>
        <v>0.32500000000000001</v>
      </c>
      <c r="AG151" s="271">
        <f ca="1">INDEX('SRIM Data'!$AA$9:$AA$140,AG149)</f>
        <v>0.89990000000000003</v>
      </c>
    </row>
    <row r="152" spans="19:33" x14ac:dyDescent="0.2">
      <c r="S152" s="45">
        <v>151</v>
      </c>
      <c r="T152" s="76">
        <f t="shared" ca="1" si="30"/>
        <v>75.499999999999972</v>
      </c>
      <c r="U152" s="76">
        <f t="shared" ca="1" si="31"/>
        <v>28.04281957148239</v>
      </c>
      <c r="V152" s="78">
        <f t="shared" ca="1" si="32"/>
        <v>1.9942263420389066E-2</v>
      </c>
      <c r="W152" s="78">
        <f ca="1">(Target!$D$10/COS(T152*(2*PI()/360)))</f>
        <v>8.2728582940288481E-2</v>
      </c>
      <c r="X152" s="78"/>
      <c r="Y152" s="78">
        <f t="shared" ca="1" si="33"/>
        <v>2.3800577365796092</v>
      </c>
      <c r="Z152" s="78">
        <f ca="1">(Target!$D$10/COS(U152*(2*PI()/360)))</f>
        <v>2.3468916045422089E-2</v>
      </c>
      <c r="AA152" s="46">
        <f t="shared" ca="1" si="34"/>
        <v>75.499999999999972</v>
      </c>
      <c r="AB152" s="46">
        <f t="shared" ca="1" si="35"/>
        <v>28.04281957148239</v>
      </c>
      <c r="AF152" s="278">
        <f ca="1">MATCH(AD17,'SRIM Data'!$Z$9:$Z$140)</f>
        <v>40</v>
      </c>
      <c r="AG152" s="279"/>
    </row>
    <row r="153" spans="19:33" x14ac:dyDescent="0.2">
      <c r="S153" s="45">
        <v>152</v>
      </c>
      <c r="T153" s="76">
        <f t="shared" ca="1" si="30"/>
        <v>75.999999999999986</v>
      </c>
      <c r="U153" s="76">
        <f t="shared" ca="1" si="31"/>
        <v>27.073362681050678</v>
      </c>
      <c r="V153" s="78">
        <f t="shared" ca="1" si="32"/>
        <v>1.8617678136971114E-2</v>
      </c>
      <c r="W153" s="78">
        <f ca="1">(Target!$D$10/COS(T153*(2*PI()/360)))</f>
        <v>8.562095167394225E-2</v>
      </c>
      <c r="X153" s="78"/>
      <c r="Y153" s="78">
        <f t="shared" ca="1" si="33"/>
        <v>2.3813823218630277</v>
      </c>
      <c r="Z153" s="78">
        <f ca="1">(Target!$D$10/COS(U153*(2*PI()/360)))</f>
        <v>2.3262593337901916E-2</v>
      </c>
      <c r="AA153" s="46">
        <f t="shared" ca="1" si="34"/>
        <v>75.999999999999986</v>
      </c>
      <c r="AB153" s="46">
        <f t="shared" ca="1" si="35"/>
        <v>27.073362681050678</v>
      </c>
      <c r="AF153" s="267">
        <f ca="1">AF152+1</f>
        <v>41</v>
      </c>
      <c r="AG153" s="268"/>
    </row>
    <row r="154" spans="19:33" x14ac:dyDescent="0.2">
      <c r="S154" s="45">
        <v>153</v>
      </c>
      <c r="T154" s="76">
        <f t="shared" ca="1" si="30"/>
        <v>76.499999999999972</v>
      </c>
      <c r="U154" s="76">
        <f t="shared" ca="1" si="31"/>
        <v>26.104162635667336</v>
      </c>
      <c r="V154" s="78">
        <f t="shared" ca="1" si="32"/>
        <v>1.7335871181573318E-2</v>
      </c>
      <c r="W154" s="78">
        <f ca="1">(Target!$D$10/COS(T154*(2*PI()/360)))</f>
        <v>8.8729896322949128E-2</v>
      </c>
      <c r="X154" s="78"/>
      <c r="Y154" s="78">
        <f t="shared" ca="1" si="33"/>
        <v>2.382664128818424</v>
      </c>
      <c r="Z154" s="78">
        <f ca="1">(Target!$D$10/COS(U154*(2*PI()/360)))</f>
        <v>2.306646344016023E-2</v>
      </c>
      <c r="AA154" s="46">
        <f t="shared" ca="1" si="34"/>
        <v>76.499999999999972</v>
      </c>
      <c r="AB154" s="46">
        <f t="shared" ca="1" si="35"/>
        <v>26.104162635667336</v>
      </c>
      <c r="AF154" s="269">
        <f ca="1">INDEX('SRIM Data'!$Z$9:$Z$140,AF152)</f>
        <v>0.3</v>
      </c>
      <c r="AG154" s="268">
        <f ca="1">INDEX('SRIM Data'!$AA$9:$AA$140,AF152)</f>
        <v>0.84179999999999999</v>
      </c>
    </row>
    <row r="155" spans="19:33" x14ac:dyDescent="0.2">
      <c r="S155" s="45">
        <v>154</v>
      </c>
      <c r="T155" s="76">
        <f t="shared" ca="1" si="30"/>
        <v>76.999999999999986</v>
      </c>
      <c r="U155" s="76">
        <f t="shared" ca="1" si="31"/>
        <v>25.135210698586903</v>
      </c>
      <c r="V155" s="78">
        <f t="shared" ca="1" si="32"/>
        <v>1.6097233005011372E-2</v>
      </c>
      <c r="W155" s="78">
        <f ca="1">(Target!$D$10/COS(T155*(2*PI()/360)))</f>
        <v>9.208039941144E-2</v>
      </c>
      <c r="X155" s="78"/>
      <c r="Y155" s="78">
        <f t="shared" ca="1" si="33"/>
        <v>2.3839027669949866</v>
      </c>
      <c r="Z155" s="78">
        <f ca="1">(Target!$D$10/COS(U155*(2*PI()/360)))</f>
        <v>2.2880151637337622E-2</v>
      </c>
      <c r="AA155" s="46">
        <f t="shared" ca="1" si="34"/>
        <v>76.999999999999986</v>
      </c>
      <c r="AB155" s="46">
        <f t="shared" ca="1" si="35"/>
        <v>25.135210698586903</v>
      </c>
      <c r="AF155" s="269">
        <f ca="1">INDEX('SRIM Data'!$Z$9:$Z$140,AF153)</f>
        <v>0.32500000000000001</v>
      </c>
      <c r="AG155" s="268">
        <f ca="1">INDEX('SRIM Data'!$AA$9:$AA$140,AF153)</f>
        <v>0.89990000000000003</v>
      </c>
    </row>
    <row r="156" spans="19:33" x14ac:dyDescent="0.2">
      <c r="S156" s="45">
        <v>155</v>
      </c>
      <c r="T156" s="76">
        <f t="shared" ca="1" si="30"/>
        <v>77.499999999999972</v>
      </c>
      <c r="U156" s="76">
        <f t="shared" ca="1" si="31"/>
        <v>24.166498084871506</v>
      </c>
      <c r="V156" s="78">
        <f t="shared" ca="1" si="32"/>
        <v>1.4902140908472857E-2</v>
      </c>
      <c r="W156" s="78">
        <f ca="1">(Target!$D$10/COS(T156*(2*PI()/360)))</f>
        <v>9.5701440947548844E-2</v>
      </c>
      <c r="X156" s="78"/>
      <c r="Y156" s="78">
        <f t="shared" ca="1" si="33"/>
        <v>2.3850978590915255</v>
      </c>
      <c r="Z156" s="78">
        <f ca="1">(Target!$D$10/COS(U156*(2*PI()/360)))</f>
        <v>2.2703308869607416E-2</v>
      </c>
      <c r="AA156" s="46">
        <f t="shared" ca="1" si="34"/>
        <v>77.499999999999972</v>
      </c>
      <c r="AB156" s="46">
        <f t="shared" ca="1" si="35"/>
        <v>24.166498084871506</v>
      </c>
      <c r="AF156" s="267">
        <f ca="1">(AF155-AD17)/(AF155-AF154)</f>
        <v>0.52212282030477297</v>
      </c>
      <c r="AG156" s="268">
        <f ca="1">AG155-AF156*(AG155-AG154)</f>
        <v>0.86956466414029265</v>
      </c>
    </row>
    <row r="157" spans="19:33" x14ac:dyDescent="0.2">
      <c r="S157" s="45">
        <v>156</v>
      </c>
      <c r="T157" s="76">
        <f t="shared" ca="1" si="30"/>
        <v>77.999999999999957</v>
      </c>
      <c r="U157" s="76">
        <f t="shared" ca="1" si="31"/>
        <v>23.198015963283247</v>
      </c>
      <c r="V157" s="78">
        <f t="shared" ca="1" si="32"/>
        <v>1.375095892858748E-2</v>
      </c>
      <c r="W157" s="78">
        <f ca="1">(Target!$D$10/COS(T157*(2*PI()/360)))</f>
        <v>9.9626831230782725E-2</v>
      </c>
      <c r="X157" s="78"/>
      <c r="Y157" s="78">
        <f t="shared" ca="1" si="33"/>
        <v>2.3862490410714101</v>
      </c>
      <c r="Z157" s="78">
        <f ca="1">(Target!$D$10/COS(U157*(2*PI()/360)))</f>
        <v>2.2535609982875151E-2</v>
      </c>
      <c r="AA157" s="46">
        <f t="shared" ca="1" si="34"/>
        <v>77.999999999999957</v>
      </c>
      <c r="AB157" s="46">
        <f t="shared" ca="1" si="35"/>
        <v>23.198015963283247</v>
      </c>
      <c r="AF157" s="267"/>
      <c r="AG157" s="268">
        <f ca="1">AG156-AE17</f>
        <v>0.84864751696990026</v>
      </c>
    </row>
    <row r="158" spans="19:33" x14ac:dyDescent="0.2">
      <c r="S158" s="45">
        <v>157</v>
      </c>
      <c r="T158" s="76">
        <f t="shared" ca="1" si="30"/>
        <v>78.499999999999972</v>
      </c>
      <c r="U158" s="76">
        <f t="shared" ca="1" si="31"/>
        <v>22.229755458165432</v>
      </c>
      <c r="V158" s="78">
        <f t="shared" ca="1" si="32"/>
        <v>1.2644037726538033E-2</v>
      </c>
      <c r="W158" s="78">
        <f ca="1">(Target!$D$10/COS(T158*(2*PI()/360)))</f>
        <v>0.10389626091356495</v>
      </c>
      <c r="X158" s="78"/>
      <c r="Y158" s="78">
        <f t="shared" ca="1" si="33"/>
        <v>2.3873559622734599</v>
      </c>
      <c r="Z158" s="78">
        <f ca="1">(Target!$D$10/COS(U158*(2*PI()/360)))</f>
        <v>2.237675213867615E-2</v>
      </c>
      <c r="AA158" s="46">
        <f t="shared" ca="1" si="34"/>
        <v>78.499999999999972</v>
      </c>
      <c r="AB158" s="46">
        <f t="shared" ca="1" si="35"/>
        <v>22.229755458165432</v>
      </c>
      <c r="AF158" s="267"/>
      <c r="AG158" s="268">
        <f ca="1">MATCH(AG157,'SRIM Data'!$AA$9:$AA$140)</f>
        <v>40</v>
      </c>
    </row>
    <row r="159" spans="19:33" x14ac:dyDescent="0.2">
      <c r="S159" s="45">
        <v>158</v>
      </c>
      <c r="T159" s="76">
        <f t="shared" ca="1" si="30"/>
        <v>78.999999999999957</v>
      </c>
      <c r="U159" s="76">
        <f t="shared" ca="1" si="31"/>
        <v>21.261707651312655</v>
      </c>
      <c r="V159" s="78">
        <f t="shared" ca="1" si="32"/>
        <v>1.1581714481245705E-2</v>
      </c>
      <c r="W159" s="78">
        <f ca="1">(Target!$D$10/COS(T159*(2*PI()/360)))</f>
        <v>0.1085566374432775</v>
      </c>
      <c r="X159" s="78"/>
      <c r="Y159" s="78">
        <f t="shared" ca="1" si="33"/>
        <v>2.3884182855187528</v>
      </c>
      <c r="Z159" s="78">
        <f ca="1">(Target!$D$10/COS(U159*(2*PI()/360)))</f>
        <v>2.2226453367789948E-2</v>
      </c>
      <c r="AA159" s="46">
        <f t="shared" ca="1" si="34"/>
        <v>78.999999999999957</v>
      </c>
      <c r="AB159" s="46">
        <f t="shared" ca="1" si="35"/>
        <v>21.261707651312655</v>
      </c>
      <c r="AF159" s="267"/>
      <c r="AG159" s="268">
        <f ca="1">AG158+1</f>
        <v>41</v>
      </c>
    </row>
    <row r="160" spans="19:33" x14ac:dyDescent="0.2">
      <c r="S160" s="45">
        <v>159</v>
      </c>
      <c r="T160" s="76">
        <f t="shared" ca="1" si="30"/>
        <v>79.499999999999972</v>
      </c>
      <c r="U160" s="76">
        <f t="shared" ca="1" si="31"/>
        <v>20.293863583829836</v>
      </c>
      <c r="V160" s="78">
        <f t="shared" ca="1" si="32"/>
        <v>1.05643127866619E-2</v>
      </c>
      <c r="W160" s="78">
        <f ca="1">(Target!$D$10/COS(T160*(2*PI()/360)))</f>
        <v>0.11366380334497495</v>
      </c>
      <c r="X160" s="78"/>
      <c r="Y160" s="78">
        <f t="shared" ca="1" si="33"/>
        <v>2.3894356872133349</v>
      </c>
      <c r="Z160" s="78">
        <f ca="1">(Target!$D$10/COS(U160*(2*PI()/360)))</f>
        <v>2.2084451253864289E-2</v>
      </c>
      <c r="AA160" s="46">
        <f t="shared" ca="1" si="34"/>
        <v>79.499999999999972</v>
      </c>
      <c r="AB160" s="46">
        <f t="shared" ca="1" si="35"/>
        <v>20.293863583829836</v>
      </c>
      <c r="AF160" s="269">
        <f ca="1">INDEX('SRIM Data'!$Z$9:$Z$140,AG158)</f>
        <v>0.3</v>
      </c>
      <c r="AG160" s="268">
        <f ca="1">INDEX('SRIM Data'!$AA$9:$AA$140,AG158)</f>
        <v>0.84179999999999999</v>
      </c>
    </row>
    <row r="161" spans="19:33" x14ac:dyDescent="0.2">
      <c r="S161" s="45">
        <v>160</v>
      </c>
      <c r="T161" s="76">
        <f t="shared" ca="1" si="30"/>
        <v>79.999999999999957</v>
      </c>
      <c r="U161" s="76">
        <f t="shared" ca="1" si="31"/>
        <v>19.326214257981114</v>
      </c>
      <c r="V161" s="78">
        <f t="shared" ca="1" si="32"/>
        <v>9.5921425531986567E-3</v>
      </c>
      <c r="W161" s="78">
        <f ca="1">(Target!$D$10/COS(T161*(2*PI()/360)))</f>
        <v>0.11928476998899301</v>
      </c>
      <c r="X161" s="78"/>
      <c r="Y161" s="78">
        <f t="shared" ca="1" si="33"/>
        <v>2.3904078574467991</v>
      </c>
      <c r="Z161" s="78">
        <f ca="1">(Target!$D$10/COS(U161*(2*PI()/360)))</f>
        <v>2.1950501734895701E-2</v>
      </c>
      <c r="AA161" s="46">
        <f t="shared" ca="1" si="34"/>
        <v>79.999999999999957</v>
      </c>
      <c r="AB161" s="46">
        <f t="shared" ca="1" si="35"/>
        <v>19.326214257981114</v>
      </c>
      <c r="AF161" s="280">
        <f ca="1">INDEX('SRIM Data'!$Z$9:$Z$140,AG159)</f>
        <v>0.32500000000000001</v>
      </c>
      <c r="AG161" s="271">
        <f ca="1">INDEX('SRIM Data'!$AA$9:$AA$140,AG159)</f>
        <v>0.89990000000000003</v>
      </c>
    </row>
    <row r="162" spans="19:33" x14ac:dyDescent="0.2">
      <c r="S162" s="45">
        <v>161</v>
      </c>
      <c r="T162" s="76">
        <f t="shared" ref="T162:T181" ca="1" si="36">AA162-180*(-1+SIGN(AA162))/2</f>
        <v>80.499999999999972</v>
      </c>
      <c r="U162" s="76">
        <f t="shared" ref="U162:U181" ca="1" si="37">AB162-180*(-1+SIGN(AB162))/2</f>
        <v>18.358750639028212</v>
      </c>
      <c r="V162" s="78">
        <f t="shared" ref="V162:V181" ca="1" si="38">(($R$10*SIN(RADIANS(S162))/SIN(RADIANS(AA162)))^2)/(2*$O$8)</f>
        <v>8.6654999133266471E-3</v>
      </c>
      <c r="W162" s="78">
        <f ca="1">(Target!$D$10/COS(T162*(2*PI()/360)))</f>
        <v>0.12550065675895133</v>
      </c>
      <c r="X162" s="78"/>
      <c r="Y162" s="78">
        <f t="shared" ref="Y162:Y181" ca="1" si="39">(($R$10*SIN(RADIANS(S162))/SIN(RADIANS(AB162)))^2)/(2*$O$9)</f>
        <v>2.3913345000866708</v>
      </c>
      <c r="Z162" s="78">
        <f ca="1">(Target!$D$10/COS(U162*(2*PI()/360)))</f>
        <v>2.1824378011779083E-2</v>
      </c>
      <c r="AA162" s="46">
        <f t="shared" ref="AA162:AA181" ca="1" si="40">DEGREES(ATAN(SIN(RADIANS(S162))/($R$11/$R$10+COS(RADIANS(S162)))))</f>
        <v>80.499999999999972</v>
      </c>
      <c r="AB162" s="46">
        <f t="shared" ref="AB162:AB181" ca="1" si="41">DEGREES(ATAN(SIN(RADIANS(S162))/($R$11/$R$12-COS(RADIANS(S162)))))</f>
        <v>18.358750639028212</v>
      </c>
      <c r="AF162" s="278">
        <f ca="1">MATCH(AD18,'SRIM Data'!$Z$9:$Z$140)</f>
        <v>40</v>
      </c>
      <c r="AG162" s="279"/>
    </row>
    <row r="163" spans="19:33" x14ac:dyDescent="0.2">
      <c r="S163" s="45">
        <v>162</v>
      </c>
      <c r="T163" s="76">
        <f t="shared" ca="1" si="36"/>
        <v>80.999999999999957</v>
      </c>
      <c r="U163" s="76">
        <f t="shared" ca="1" si="37"/>
        <v>17.391463657059376</v>
      </c>
      <c r="V163" s="78">
        <f t="shared" ca="1" si="38"/>
        <v>7.7846671313706144E-3</v>
      </c>
      <c r="W163" s="78">
        <f ca="1">(Target!$D$10/COS(T163*(2*PI()/360)))</f>
        <v>0.13241060994251219</v>
      </c>
      <c r="X163" s="78"/>
      <c r="Y163" s="78">
        <f t="shared" ca="1" si="39"/>
        <v>2.3922153328686271</v>
      </c>
      <c r="Z163" s="78">
        <f ca="1">(Target!$D$10/COS(U163*(2*PI()/360)))</f>
        <v>2.1705869554341121E-2</v>
      </c>
      <c r="AA163" s="46">
        <f t="shared" ca="1" si="40"/>
        <v>80.999999999999957</v>
      </c>
      <c r="AB163" s="46">
        <f t="shared" ca="1" si="41"/>
        <v>17.391463657059376</v>
      </c>
      <c r="AF163" s="267">
        <f ca="1">AF162+1</f>
        <v>41</v>
      </c>
      <c r="AG163" s="268"/>
    </row>
    <row r="164" spans="19:33" x14ac:dyDescent="0.2">
      <c r="S164" s="45">
        <v>163</v>
      </c>
      <c r="T164" s="76">
        <f t="shared" ca="1" si="36"/>
        <v>81.499999999999972</v>
      </c>
      <c r="U164" s="76">
        <f t="shared" ca="1" si="37"/>
        <v>16.424344208808517</v>
      </c>
      <c r="V164" s="78">
        <f t="shared" ca="1" si="38"/>
        <v>6.9499125175287186E-3</v>
      </c>
      <c r="W164" s="78">
        <f ca="1">(Target!$D$10/COS(T164*(2*PI()/360)))</f>
        <v>0.1401371047601585</v>
      </c>
      <c r="X164" s="78"/>
      <c r="Y164" s="78">
        <f t="shared" ca="1" si="39"/>
        <v>2.3930500874824694</v>
      </c>
      <c r="Z164" s="78">
        <f ca="1">(Target!$D$10/COS(U164*(2*PI()/360)))</f>
        <v>2.1594781196333124E-2</v>
      </c>
      <c r="AA164" s="46">
        <f t="shared" ca="1" si="40"/>
        <v>81.499999999999972</v>
      </c>
      <c r="AB164" s="46">
        <f t="shared" ca="1" si="41"/>
        <v>16.424344208808517</v>
      </c>
      <c r="AF164" s="269">
        <f ca="1">INDEX('SRIM Data'!$Z$9:$Z$140,AF162)</f>
        <v>0.3</v>
      </c>
      <c r="AG164" s="268">
        <f ca="1">INDEX('SRIM Data'!$AA$9:$AA$140,AF162)</f>
        <v>0.84179999999999999</v>
      </c>
    </row>
    <row r="165" spans="19:33" x14ac:dyDescent="0.2">
      <c r="S165" s="45">
        <v>164</v>
      </c>
      <c r="T165" s="76">
        <f t="shared" ca="1" si="36"/>
        <v>81.999999999999957</v>
      </c>
      <c r="U165" s="76">
        <f t="shared" ca="1" si="37"/>
        <v>15.457383159465687</v>
      </c>
      <c r="V165" s="78">
        <f t="shared" ca="1" si="38"/>
        <v>6.1614903461428231E-3</v>
      </c>
      <c r="W165" s="78">
        <f ca="1">(Target!$D$10/COS(T165*(2*PI()/360)))</f>
        <v>0.14883323565486375</v>
      </c>
      <c r="X165" s="78"/>
      <c r="Y165" s="78">
        <f t="shared" ca="1" si="39"/>
        <v>2.3938385096538553</v>
      </c>
      <c r="Z165" s="78">
        <f ca="1">(Target!$D$10/COS(U165*(2*PI()/360)))</f>
        <v>2.1490932311797731E-2</v>
      </c>
      <c r="AA165" s="46">
        <f t="shared" ca="1" si="40"/>
        <v>81.999999999999957</v>
      </c>
      <c r="AB165" s="46">
        <f t="shared" ca="1" si="41"/>
        <v>15.457383159465687</v>
      </c>
      <c r="AF165" s="269">
        <f ca="1">INDEX('SRIM Data'!$Z$9:$Z$140,AF163)</f>
        <v>0.32500000000000001</v>
      </c>
      <c r="AG165" s="268">
        <f ca="1">INDEX('SRIM Data'!$AA$9:$AA$140,AF163)</f>
        <v>0.89990000000000003</v>
      </c>
    </row>
    <row r="166" spans="19:33" x14ac:dyDescent="0.2">
      <c r="S166" s="45">
        <v>165</v>
      </c>
      <c r="T166" s="76">
        <f t="shared" ca="1" si="36"/>
        <v>82.499999999999943</v>
      </c>
      <c r="U166" s="76">
        <f t="shared" ca="1" si="37"/>
        <v>14.49057134447856</v>
      </c>
      <c r="V166" s="78">
        <f t="shared" ca="1" si="38"/>
        <v>5.4196407782439327E-3</v>
      </c>
      <c r="W166" s="78">
        <f ca="1">(Target!$D$10/COS(T166*(2*PI()/360)))</f>
        <v>0.15869292269774388</v>
      </c>
      <c r="X166" s="78"/>
      <c r="Y166" s="78">
        <f t="shared" ca="1" si="39"/>
        <v>2.3945803592217545</v>
      </c>
      <c r="Z166" s="78">
        <f ca="1">(Target!$D$10/COS(U166*(2*PI()/360)))</f>
        <v>2.1394156066056186E-2</v>
      </c>
      <c r="AA166" s="46">
        <f t="shared" ca="1" si="40"/>
        <v>82.499999999999943</v>
      </c>
      <c r="AB166" s="46">
        <f t="shared" ca="1" si="41"/>
        <v>14.49057134447856</v>
      </c>
      <c r="AF166" s="267">
        <f ca="1">(AF165-AD18)/(AF165-AF164)</f>
        <v>0.55365970716020962</v>
      </c>
      <c r="AG166" s="268">
        <f ca="1">AG165-AF166*(AG165-AG164)</f>
        <v>0.86773237101399181</v>
      </c>
    </row>
    <row r="167" spans="19:33" x14ac:dyDescent="0.2">
      <c r="S167" s="45">
        <v>166</v>
      </c>
      <c r="T167" s="76">
        <f t="shared" ca="1" si="36"/>
        <v>82.999999999999957</v>
      </c>
      <c r="U167" s="76">
        <f t="shared" ca="1" si="37"/>
        <v>13.523899571345913</v>
      </c>
      <c r="V167" s="78">
        <f t="shared" ca="1" si="38"/>
        <v>4.7245897883968664E-3</v>
      </c>
      <c r="W167" s="78">
        <f ca="1">(Target!$D$10/COS(T167*(2*PI()/360)))</f>
        <v>0.16996549216767715</v>
      </c>
      <c r="X167" s="78"/>
      <c r="Y167" s="78">
        <f t="shared" ca="1" si="39"/>
        <v>2.3952754102116018</v>
      </c>
      <c r="Z167" s="78">
        <f ca="1">(Target!$D$10/COS(U167*(2*PI()/360)))</f>
        <v>2.1304298735303252E-2</v>
      </c>
      <c r="AA167" s="46">
        <f t="shared" ca="1" si="40"/>
        <v>82.999999999999957</v>
      </c>
      <c r="AB167" s="46">
        <f t="shared" ca="1" si="41"/>
        <v>13.523899571345913</v>
      </c>
      <c r="AF167" s="267"/>
      <c r="AG167" s="268">
        <f ca="1">AG166-AE18</f>
        <v>0.84678874038141838</v>
      </c>
    </row>
    <row r="168" spans="19:33" x14ac:dyDescent="0.2">
      <c r="S168" s="45">
        <v>167</v>
      </c>
      <c r="T168" s="76">
        <f t="shared" ca="1" si="36"/>
        <v>83.499999999999929</v>
      </c>
      <c r="U168" s="76">
        <f t="shared" ca="1" si="37"/>
        <v>12.557358621403329</v>
      </c>
      <c r="V168" s="78">
        <f t="shared" ca="1" si="38"/>
        <v>4.0765490958662824E-3</v>
      </c>
      <c r="W168" s="78">
        <f ca="1">(Target!$D$10/COS(T168*(2*PI()/360)))</f>
        <v>0.18297698662932993</v>
      </c>
      <c r="X168" s="78"/>
      <c r="Y168" s="78">
        <f t="shared" ca="1" si="39"/>
        <v>2.3959234509041316</v>
      </c>
      <c r="Z168" s="78">
        <f ca="1">(Target!$D$10/COS(U168*(2*PI()/360)))</f>
        <v>2.1221219089456525E-2</v>
      </c>
      <c r="AA168" s="46">
        <f t="shared" ca="1" si="40"/>
        <v>83.499999999999929</v>
      </c>
      <c r="AB168" s="46">
        <f t="shared" ca="1" si="41"/>
        <v>12.557358621403329</v>
      </c>
      <c r="AF168" s="267"/>
      <c r="AG168" s="268">
        <f ca="1">MATCH(AG167,'SRIM Data'!$AA$9:$AA$140)</f>
        <v>40</v>
      </c>
    </row>
    <row r="169" spans="19:33" x14ac:dyDescent="0.2">
      <c r="S169" s="45">
        <v>168</v>
      </c>
      <c r="T169" s="76">
        <f t="shared" ca="1" si="36"/>
        <v>83.999999999999957</v>
      </c>
      <c r="U169" s="76">
        <f t="shared" ca="1" si="37"/>
        <v>11.59093925160124</v>
      </c>
      <c r="V169" s="78">
        <f t="shared" ca="1" si="38"/>
        <v>3.4757161001247976E-3</v>
      </c>
      <c r="W169" s="78">
        <f ca="1">(Target!$D$10/COS(T169*(2*PI()/360)))</f>
        <v>0.19816213005034536</v>
      </c>
      <c r="X169" s="78"/>
      <c r="Y169" s="78">
        <f t="shared" ca="1" si="39"/>
        <v>2.3965242838998724</v>
      </c>
      <c r="Z169" s="78">
        <f ca="1">(Target!$D$10/COS(U169*(2*PI()/360)))</f>
        <v>2.1144787833497224E-2</v>
      </c>
      <c r="AA169" s="46">
        <f t="shared" ca="1" si="40"/>
        <v>83.999999999999957</v>
      </c>
      <c r="AB169" s="46">
        <f t="shared" ca="1" si="41"/>
        <v>11.59093925160124</v>
      </c>
      <c r="AF169" s="267"/>
      <c r="AG169" s="268">
        <f ca="1">AG168+1</f>
        <v>41</v>
      </c>
    </row>
    <row r="170" spans="19:33" x14ac:dyDescent="0.2">
      <c r="S170" s="45">
        <v>169</v>
      </c>
      <c r="T170" s="76">
        <f t="shared" ca="1" si="36"/>
        <v>84.499999999999943</v>
      </c>
      <c r="U170" s="76">
        <f t="shared" ca="1" si="37"/>
        <v>10.624632196276456</v>
      </c>
      <c r="V170" s="78">
        <f t="shared" ca="1" si="38"/>
        <v>2.9222738207233486E-3</v>
      </c>
      <c r="W170" s="78">
        <f ca="1">(Target!$D$10/COS(T170*(2*PI()/360)))</f>
        <v>0.21611372843712376</v>
      </c>
      <c r="X170" s="78"/>
      <c r="Y170" s="78">
        <f t="shared" ca="1" si="39"/>
        <v>2.3970777261792739</v>
      </c>
      <c r="Z170" s="78">
        <f ca="1">(Target!$D$10/COS(U170*(2*PI()/360)))</f>
        <v>2.1074887103068735E-2</v>
      </c>
      <c r="AA170" s="46">
        <f t="shared" ca="1" si="40"/>
        <v>84.499999999999943</v>
      </c>
      <c r="AB170" s="46">
        <f t="shared" ca="1" si="41"/>
        <v>10.624632196276456</v>
      </c>
      <c r="AF170" s="269">
        <f ca="1">INDEX('SRIM Data'!$Z$9:$Z$140,AG168)</f>
        <v>0.3</v>
      </c>
      <c r="AG170" s="268">
        <f ca="1">INDEX('SRIM Data'!$AA$9:$AA$140,AG168)</f>
        <v>0.84179999999999999</v>
      </c>
    </row>
    <row r="171" spans="19:33" x14ac:dyDescent="0.2">
      <c r="S171" s="45">
        <v>170</v>
      </c>
      <c r="T171" s="76">
        <f t="shared" ca="1" si="36"/>
        <v>84.999999999999915</v>
      </c>
      <c r="U171" s="76">
        <f t="shared" ca="1" si="37"/>
        <v>9.6584281689167977</v>
      </c>
      <c r="V171" s="78">
        <f t="shared" ca="1" si="38"/>
        <v>2.4163908415415288E-3</v>
      </c>
      <c r="W171" s="78">
        <f ca="1">(Target!$D$10/COS(T171*(2*PI()/360)))</f>
        <v>0.23766171085225329</v>
      </c>
      <c r="X171" s="78"/>
      <c r="Y171" s="78">
        <f t="shared" ca="1" si="39"/>
        <v>2.3975836091584566</v>
      </c>
      <c r="Z171" s="78">
        <f ca="1">(Target!$D$10/COS(U171*(2*PI()/360)))</f>
        <v>2.1011410010575614E-2</v>
      </c>
      <c r="AA171" s="46">
        <f t="shared" ca="1" si="40"/>
        <v>84.999999999999915</v>
      </c>
      <c r="AB171" s="46">
        <f t="shared" ca="1" si="41"/>
        <v>9.6584281689167977</v>
      </c>
      <c r="AF171" s="280">
        <f ca="1">INDEX('SRIM Data'!$Z$9:$Z$140,AG169)</f>
        <v>0.32500000000000001</v>
      </c>
      <c r="AG171" s="271">
        <f ca="1">INDEX('SRIM Data'!$AA$9:$AA$140,AG169)</f>
        <v>0.89990000000000003</v>
      </c>
    </row>
    <row r="172" spans="19:33" x14ac:dyDescent="0.2">
      <c r="S172" s="45">
        <v>171</v>
      </c>
      <c r="T172" s="76">
        <f t="shared" ca="1" si="36"/>
        <v>85.499999999999901</v>
      </c>
      <c r="U172" s="76">
        <f t="shared" ca="1" si="37"/>
        <v>8.6923178639201293</v>
      </c>
      <c r="V172" s="78">
        <f t="shared" ca="1" si="38"/>
        <v>1.9582212594354193E-3</v>
      </c>
      <c r="W172" s="78">
        <f ca="1">(Target!$D$10/COS(T172*(2*PI()/360)))</f>
        <v>0.264004864443728</v>
      </c>
      <c r="X172" s="78"/>
      <c r="Y172" s="78">
        <f t="shared" ca="1" si="39"/>
        <v>2.3980417787405632</v>
      </c>
      <c r="Z172" s="78">
        <f ca="1">(Target!$D$10/COS(U172*(2*PI()/360)))</f>
        <v>2.0954260238456097E-2</v>
      </c>
      <c r="AA172" s="46">
        <f t="shared" ca="1" si="40"/>
        <v>85.499999999999901</v>
      </c>
      <c r="AB172" s="46">
        <f t="shared" ca="1" si="41"/>
        <v>8.6923178639201293</v>
      </c>
      <c r="AF172" s="278">
        <f ca="1">MATCH(AD19,'SRIM Data'!$Z$9:$Z$140)</f>
        <v>40</v>
      </c>
      <c r="AG172" s="279"/>
    </row>
    <row r="173" spans="19:33" x14ac:dyDescent="0.2">
      <c r="S173" s="45">
        <v>172</v>
      </c>
      <c r="T173" s="76">
        <f t="shared" ca="1" si="36"/>
        <v>85.999999999999929</v>
      </c>
      <c r="U173" s="76">
        <f t="shared" ca="1" si="37"/>
        <v>7.7262919583474581</v>
      </c>
      <c r="V173" s="78">
        <f t="shared" ca="1" si="38"/>
        <v>1.547904637298097E-3</v>
      </c>
      <c r="W173" s="78">
        <f ca="1">(Target!$D$10/COS(T173*(2*PI()/360)))</f>
        <v>0.29694137074627763</v>
      </c>
      <c r="X173" s="78"/>
      <c r="Y173" s="78">
        <f t="shared" ca="1" si="39"/>
        <v>2.3984520953627002</v>
      </c>
      <c r="Z173" s="78">
        <f ca="1">(Target!$D$10/COS(U173*(2*PI()/360)))</f>
        <v>2.090335167669145E-2</v>
      </c>
      <c r="AA173" s="46">
        <f t="shared" ca="1" si="40"/>
        <v>85.999999999999929</v>
      </c>
      <c r="AB173" s="46">
        <f t="shared" ca="1" si="41"/>
        <v>7.7262919583474581</v>
      </c>
      <c r="AF173" s="267">
        <f ca="1">AF172+1</f>
        <v>41</v>
      </c>
      <c r="AG173" s="268"/>
    </row>
    <row r="174" spans="19:33" x14ac:dyDescent="0.2">
      <c r="S174" s="45">
        <v>173</v>
      </c>
      <c r="T174" s="76">
        <f t="shared" ca="1" si="36"/>
        <v>86.499999999999872</v>
      </c>
      <c r="U174" s="76">
        <f t="shared" ca="1" si="37"/>
        <v>6.760341113671358</v>
      </c>
      <c r="V174" s="78">
        <f t="shared" ca="1" si="38"/>
        <v>1.1855659615475109E-3</v>
      </c>
      <c r="W174" s="78">
        <f ca="1">(Target!$D$10/COS(T174*(2*PI()/360)))</f>
        <v>0.33929694452690506</v>
      </c>
      <c r="X174" s="78"/>
      <c r="Y174" s="78">
        <f t="shared" ca="1" si="39"/>
        <v>2.3988144340384498</v>
      </c>
      <c r="Z174" s="78">
        <f ca="1">(Target!$D$10/COS(U174*(2*PI()/360)))</f>
        <v>2.0858608101971245E-2</v>
      </c>
      <c r="AA174" s="46">
        <f t="shared" ca="1" si="40"/>
        <v>86.499999999999872</v>
      </c>
      <c r="AB174" s="46">
        <f t="shared" ca="1" si="41"/>
        <v>6.760341113671358</v>
      </c>
      <c r="AF174" s="269">
        <f ca="1">INDEX('SRIM Data'!$Z$9:$Z$140,AF172)</f>
        <v>0.3</v>
      </c>
      <c r="AG174" s="268">
        <f ca="1">INDEX('SRIM Data'!$AA$9:$AA$140,AF172)</f>
        <v>0.84179999999999999</v>
      </c>
    </row>
    <row r="175" spans="19:33" x14ac:dyDescent="0.2">
      <c r="S175" s="45">
        <v>174</v>
      </c>
      <c r="T175" s="76">
        <f t="shared" ca="1" si="36"/>
        <v>86.999999999999872</v>
      </c>
      <c r="U175" s="76">
        <f t="shared" ca="1" si="37"/>
        <v>5.7944559775194842</v>
      </c>
      <c r="V175" s="78">
        <f t="shared" ca="1" si="38"/>
        <v>8.7131560405433726E-4</v>
      </c>
      <c r="W175" s="78">
        <f ca="1">(Target!$D$10/COS(T175*(2*PI()/360)))</f>
        <v>0.39578111147628903</v>
      </c>
      <c r="X175" s="78"/>
      <c r="Y175" s="78">
        <f t="shared" ca="1" si="39"/>
        <v>2.3991286843959436</v>
      </c>
      <c r="Z175" s="78">
        <f ca="1">(Target!$D$10/COS(U175*(2*PI()/360)))</f>
        <v>2.0819962896259085E-2</v>
      </c>
      <c r="AA175" s="46">
        <f t="shared" ca="1" si="40"/>
        <v>86.999999999999872</v>
      </c>
      <c r="AB175" s="46">
        <f t="shared" ca="1" si="41"/>
        <v>5.7944559775194842</v>
      </c>
      <c r="AF175" s="269">
        <f ca="1">INDEX('SRIM Data'!$Z$9:$Z$140,AF173)</f>
        <v>0.32500000000000001</v>
      </c>
      <c r="AG175" s="268">
        <f ca="1">INDEX('SRIM Data'!$AA$9:$AA$140,AF173)</f>
        <v>0.89990000000000003</v>
      </c>
    </row>
    <row r="176" spans="19:33" x14ac:dyDescent="0.2">
      <c r="S176" s="45">
        <v>175</v>
      </c>
      <c r="T176" s="76">
        <f t="shared" ca="1" si="36"/>
        <v>87.499999999999858</v>
      </c>
      <c r="U176" s="76">
        <f t="shared" ca="1" si="37"/>
        <v>4.82862718541422</v>
      </c>
      <c r="V176" s="78">
        <f t="shared" ca="1" si="38"/>
        <v>6.0524928852167354E-4</v>
      </c>
      <c r="W176" s="78">
        <f ca="1">(Target!$D$10/COS(T176*(2*PI()/360)))</f>
        <v>0.47487101913007224</v>
      </c>
      <c r="X176" s="78"/>
      <c r="Y176" s="78">
        <f t="shared" ca="1" si="39"/>
        <v>2.399394750711477</v>
      </c>
      <c r="Z176" s="78">
        <f ca="1">(Target!$D$10/COS(U176*(2*PI()/360)))</f>
        <v>2.078735880280335E-2</v>
      </c>
      <c r="AA176" s="46">
        <f t="shared" ca="1" si="40"/>
        <v>87.499999999999858</v>
      </c>
      <c r="AB176" s="46">
        <f t="shared" ca="1" si="41"/>
        <v>4.82862718541422</v>
      </c>
      <c r="AF176" s="267">
        <f ca="1">(AF175-AD19)/(AF175-AF174)</f>
        <v>0.58704989171388833</v>
      </c>
      <c r="AG176" s="268">
        <f ca="1">AG175-AF176*(AG175-AG174)</f>
        <v>0.8657924012914231</v>
      </c>
    </row>
    <row r="177" spans="19:35" x14ac:dyDescent="0.2">
      <c r="S177" s="45">
        <v>176</v>
      </c>
      <c r="T177" s="76">
        <f t="shared" ca="1" si="36"/>
        <v>87.999999999999787</v>
      </c>
      <c r="U177" s="76">
        <f t="shared" ca="1" si="37"/>
        <v>3.8628453625087671</v>
      </c>
      <c r="V177" s="78">
        <f t="shared" ca="1" si="38"/>
        <v>3.8744806132668758E-4</v>
      </c>
      <c r="W177" s="78">
        <f ca="1">(Target!$D$10/COS(T177*(2*PI()/360)))</f>
        <v>0.59352096417256106</v>
      </c>
      <c r="X177" s="78"/>
      <c r="Y177" s="78">
        <f t="shared" ca="1" si="39"/>
        <v>2.3996125519386711</v>
      </c>
      <c r="Z177" s="78">
        <f ca="1">(Target!$D$10/COS(U177*(2*PI()/360)))</f>
        <v>2.0760747717914977E-2</v>
      </c>
      <c r="AA177" s="46">
        <f t="shared" ca="1" si="40"/>
        <v>87.999999999999787</v>
      </c>
      <c r="AB177" s="46">
        <f t="shared" ca="1" si="41"/>
        <v>3.8628453625087671</v>
      </c>
      <c r="AF177" s="267"/>
      <c r="AG177" s="268">
        <f ca="1">AG176-AE19</f>
        <v>0.84482062094264776</v>
      </c>
    </row>
    <row r="178" spans="19:35" x14ac:dyDescent="0.2">
      <c r="S178" s="45">
        <v>177</v>
      </c>
      <c r="T178" s="76">
        <f t="shared" ca="1" si="36"/>
        <v>88.499999999999716</v>
      </c>
      <c r="U178" s="76">
        <f t="shared" ca="1" si="37"/>
        <v>2.8971011253199013</v>
      </c>
      <c r="V178" s="78">
        <f t="shared" ca="1" si="38"/>
        <v>2.1797826683305941E-4</v>
      </c>
      <c r="W178" s="78">
        <f ca="1">(Target!$D$10/COS(T178*(2*PI()/360)))</f>
        <v>0.79129097434836138</v>
      </c>
      <c r="X178" s="78"/>
      <c r="Y178" s="78">
        <f t="shared" ca="1" si="39"/>
        <v>2.3997820217331651</v>
      </c>
      <c r="Z178" s="78">
        <f ca="1">(Target!$D$10/COS(U178*(2*PI()/360)))</f>
        <v>2.0740090517093603E-2</v>
      </c>
      <c r="AA178" s="46">
        <f t="shared" ca="1" si="40"/>
        <v>88.499999999999716</v>
      </c>
      <c r="AB178" s="46">
        <f t="shared" ca="1" si="41"/>
        <v>2.8971011253199013</v>
      </c>
      <c r="AF178" s="267"/>
      <c r="AG178" s="268">
        <f ca="1">MATCH(AG177,'SRIM Data'!$AA$9:$AA$140)</f>
        <v>40</v>
      </c>
    </row>
    <row r="179" spans="19:35" x14ac:dyDescent="0.2">
      <c r="S179" s="45">
        <v>178</v>
      </c>
      <c r="T179" s="76">
        <f t="shared" ca="1" si="36"/>
        <v>88.999999999999687</v>
      </c>
      <c r="U179" s="76">
        <f t="shared" ca="1" si="37"/>
        <v>1.9313850834585291</v>
      </c>
      <c r="V179" s="78">
        <f t="shared" ca="1" si="38"/>
        <v>9.6891527181891109E-5</v>
      </c>
      <c r="W179" s="78">
        <f ca="1">(Target!$D$10/COS(T179*(2*PI()/360)))</f>
        <v>1.1868611361096248</v>
      </c>
      <c r="X179" s="78"/>
      <c r="Y179" s="78">
        <f t="shared" ca="1" si="39"/>
        <v>2.3999031084728166</v>
      </c>
      <c r="Z179" s="78">
        <f ca="1">(Target!$D$10/COS(U179*(2*PI()/360)))</f>
        <v>2.0725356914326528E-2</v>
      </c>
      <c r="AA179" s="46">
        <f t="shared" ca="1" si="40"/>
        <v>88.999999999999687</v>
      </c>
      <c r="AB179" s="46">
        <f t="shared" ca="1" si="41"/>
        <v>1.9313850834585291</v>
      </c>
      <c r="AF179" s="267"/>
      <c r="AG179" s="268">
        <f ca="1">AG178+1</f>
        <v>41</v>
      </c>
    </row>
    <row r="180" spans="19:35" x14ac:dyDescent="0.2">
      <c r="S180" s="45">
        <v>179</v>
      </c>
      <c r="T180" s="76">
        <f t="shared" ca="1" si="36"/>
        <v>89.499999999999375</v>
      </c>
      <c r="U180" s="76">
        <f t="shared" ca="1" si="37"/>
        <v>0.96568784135779107</v>
      </c>
      <c r="V180" s="78">
        <f t="shared" ca="1" si="38"/>
        <v>2.4224726567067968E-5</v>
      </c>
      <c r="W180" s="78">
        <f ca="1">(Target!$D$10/COS(T180*(2*PI()/360)))</f>
        <v>2.3736318881464027</v>
      </c>
      <c r="X180" s="78"/>
      <c r="Y180" s="78">
        <f t="shared" ca="1" si="39"/>
        <v>2.3999757752734316</v>
      </c>
      <c r="Z180" s="78">
        <f ca="1">(Target!$D$10/COS(U180*(2*PI()/360)))</f>
        <v>2.071652535361564E-2</v>
      </c>
      <c r="AA180" s="46">
        <f t="shared" ca="1" si="40"/>
        <v>89.499999999999375</v>
      </c>
      <c r="AB180" s="46">
        <f t="shared" ca="1" si="41"/>
        <v>0.96568784135779107</v>
      </c>
      <c r="AF180" s="269">
        <f ca="1">INDEX('SRIM Data'!$Z$9:$Z$140,AG178)</f>
        <v>0.3</v>
      </c>
      <c r="AG180" s="268">
        <f ca="1">INDEX('SRIM Data'!$AA$9:$AA$140,AG178)</f>
        <v>0.84179999999999999</v>
      </c>
    </row>
    <row r="181" spans="19:35" x14ac:dyDescent="0.2">
      <c r="S181" s="45">
        <v>180</v>
      </c>
      <c r="T181" s="76">
        <f t="shared" ca="1" si="36"/>
        <v>28.888060902069228</v>
      </c>
      <c r="U181" s="76">
        <f t="shared" ca="1" si="37"/>
        <v>6.7787155104989418E-15</v>
      </c>
      <c r="V181" s="78">
        <f t="shared" ca="1" si="38"/>
        <v>5.1146818884640673E-33</v>
      </c>
      <c r="W181" s="78">
        <f ca="1">(Target!$D$10/COS(T181*(2*PI()/360)))</f>
        <v>2.3657384545605096E-2</v>
      </c>
      <c r="X181" s="78"/>
      <c r="Y181" s="78">
        <f t="shared" ca="1" si="39"/>
        <v>2.3999999999999981</v>
      </c>
      <c r="Z181" s="78">
        <f ca="1">(Target!$D$10/COS(U181*(2*PI()/360)))</f>
        <v>2.0713582932007667E-2</v>
      </c>
      <c r="AA181" s="46">
        <f t="shared" ca="1" si="40"/>
        <v>28.888060902069228</v>
      </c>
      <c r="AB181" s="46">
        <f t="shared" ca="1" si="41"/>
        <v>6.7787155104989418E-15</v>
      </c>
      <c r="AF181" s="280">
        <f ca="1">INDEX('SRIM Data'!$Z$9:$Z$140,AG179)</f>
        <v>0.32500000000000001</v>
      </c>
      <c r="AG181" s="271">
        <f ca="1">INDEX('SRIM Data'!$AA$9:$AA$140,AG179)</f>
        <v>0.89990000000000003</v>
      </c>
    </row>
    <row r="182" spans="19:35" x14ac:dyDescent="0.2">
      <c r="AF182" s="278">
        <f ca="1">MATCH(AD20,'SRIM Data'!$Z$9:$Z$140)</f>
        <v>40</v>
      </c>
      <c r="AG182" s="279"/>
    </row>
    <row r="183" spans="19:35" x14ac:dyDescent="0.2">
      <c r="AF183" s="267">
        <f ca="1">AF182+1</f>
        <v>41</v>
      </c>
      <c r="AG183" s="268"/>
    </row>
    <row r="184" spans="19:35" x14ac:dyDescent="0.2">
      <c r="AF184" s="269">
        <f ca="1">INDEX('SRIM Data'!$Z$9:$Z$140,AF182)</f>
        <v>0.3</v>
      </c>
      <c r="AG184" s="268">
        <f ca="1">INDEX('SRIM Data'!$AA$9:$AA$140,AF182)</f>
        <v>0.84179999999999999</v>
      </c>
    </row>
    <row r="185" spans="19:35" x14ac:dyDescent="0.2">
      <c r="AF185" s="269">
        <f ca="1">INDEX('SRIM Data'!$Z$9:$Z$140,AF183)</f>
        <v>0.32500000000000001</v>
      </c>
      <c r="AG185" s="268">
        <f ca="1">INDEX('SRIM Data'!$AA$9:$AA$140,AF183)</f>
        <v>0.89990000000000003</v>
      </c>
    </row>
    <row r="186" spans="19:35" x14ac:dyDescent="0.2">
      <c r="AF186" s="267">
        <f ca="1">(AF185-AD20)/(AF185-AF184)</f>
        <v>0.62228320299213047</v>
      </c>
      <c r="AG186" s="268">
        <f ca="1">AG185-AF186*(AG185-AG184)</f>
        <v>0.86374534590615726</v>
      </c>
    </row>
    <row r="187" spans="19:35" x14ac:dyDescent="0.2">
      <c r="AF187" s="267"/>
      <c r="AG187" s="268">
        <f ca="1">AG186-AE20</f>
        <v>0.84274373856268259</v>
      </c>
    </row>
    <row r="188" spans="19:35" x14ac:dyDescent="0.2">
      <c r="AF188" s="267"/>
      <c r="AG188" s="268">
        <f ca="1">MATCH(AG187,'SRIM Data'!$AA$9:$AA$140)</f>
        <v>40</v>
      </c>
    </row>
    <row r="189" spans="19:35" x14ac:dyDescent="0.2">
      <c r="AF189" s="267"/>
      <c r="AG189" s="268">
        <f ca="1">AG188+1</f>
        <v>41</v>
      </c>
    </row>
    <row r="190" spans="19:35" x14ac:dyDescent="0.2">
      <c r="AF190" s="269">
        <f ca="1">INDEX('SRIM Data'!$Z$9:$Z$140,AG188)</f>
        <v>0.3</v>
      </c>
      <c r="AG190" s="268">
        <f ca="1">INDEX('SRIM Data'!$AA$9:$AA$140,AG188)</f>
        <v>0.84179999999999999</v>
      </c>
    </row>
    <row r="191" spans="19:35" x14ac:dyDescent="0.2">
      <c r="AF191" s="280">
        <f ca="1">INDEX('SRIM Data'!$Z$9:$Z$140,AG189)</f>
        <v>0.32500000000000001</v>
      </c>
      <c r="AG191" s="271">
        <f ca="1">INDEX('SRIM Data'!$AA$9:$AA$140,AG189)</f>
        <v>0.89990000000000003</v>
      </c>
    </row>
    <row r="192" spans="19:35" x14ac:dyDescent="0.2">
      <c r="AF192" s="278">
        <f ca="1">MATCH(AD21,'SRIM Data'!$Z$9:$Z$140)</f>
        <v>40</v>
      </c>
      <c r="AG192" s="279"/>
      <c r="AH192" s="270">
        <f ca="1">AF211-AI192*(AF211-AF210)</f>
        <v>0.29852511019753036</v>
      </c>
      <c r="AI192" s="271">
        <f ca="1">(AG211-AG207)/(AG211-AG210)</f>
        <v>5.8995592098784543E-2</v>
      </c>
    </row>
    <row r="193" spans="32:33" x14ac:dyDescent="0.2">
      <c r="AF193" s="267">
        <f ca="1">AF192+1</f>
        <v>41</v>
      </c>
      <c r="AG193" s="268"/>
    </row>
    <row r="194" spans="32:33" x14ac:dyDescent="0.2">
      <c r="AF194" s="269">
        <f ca="1">INDEX('SRIM Data'!$Z$9:$Z$140,AF192)</f>
        <v>0.3</v>
      </c>
      <c r="AG194" s="268">
        <f ca="1">INDEX('SRIM Data'!$AA$9:$AA$140,AF192)</f>
        <v>0.84179999999999999</v>
      </c>
    </row>
    <row r="195" spans="32:33" x14ac:dyDescent="0.2">
      <c r="AF195" s="269">
        <f ca="1">INDEX('SRIM Data'!$Z$9:$Z$140,AF193)</f>
        <v>0.32500000000000001</v>
      </c>
      <c r="AG195" s="268">
        <f ca="1">INDEX('SRIM Data'!$AA$9:$AA$140,AF193)</f>
        <v>0.89990000000000003</v>
      </c>
    </row>
    <row r="196" spans="32:33" x14ac:dyDescent="0.2">
      <c r="AF196" s="267">
        <f ca="1">(AF195-AD21)/(AF195-AF194)</f>
        <v>0.65934890858700468</v>
      </c>
      <c r="AG196" s="268">
        <f ca="1">AG195-AF196*(AG195-AG194)</f>
        <v>0.86159182841109505</v>
      </c>
    </row>
    <row r="197" spans="32:33" x14ac:dyDescent="0.2">
      <c r="AF197" s="267"/>
      <c r="AG197" s="268">
        <f ca="1">AG196-AE21</f>
        <v>0.84055870507443209</v>
      </c>
    </row>
    <row r="198" spans="32:33" x14ac:dyDescent="0.2">
      <c r="AF198" s="267"/>
      <c r="AG198" s="268">
        <f ca="1">MATCH(AG197,'SRIM Data'!$AA$9:$AA$140)</f>
        <v>39</v>
      </c>
    </row>
    <row r="199" spans="32:33" x14ac:dyDescent="0.2">
      <c r="AF199" s="267"/>
      <c r="AG199" s="268">
        <f ca="1">AG198+1</f>
        <v>40</v>
      </c>
    </row>
    <row r="200" spans="32:33" x14ac:dyDescent="0.2">
      <c r="AF200" s="269">
        <f ca="1">INDEX('SRIM Data'!$Z$9:$Z$140,AG198)</f>
        <v>0.27500000000000002</v>
      </c>
      <c r="AG200" s="268">
        <f ca="1">INDEX('SRIM Data'!$AA$9:$AA$140,AG198)</f>
        <v>0.78190000000000004</v>
      </c>
    </row>
    <row r="201" spans="32:33" x14ac:dyDescent="0.2">
      <c r="AF201" s="280">
        <f ca="1">INDEX('SRIM Data'!$Z$9:$Z$140,AG199)</f>
        <v>0.3</v>
      </c>
      <c r="AG201" s="271">
        <f ca="1">INDEX('SRIM Data'!$AA$9:$AA$140,AG199)</f>
        <v>0.84179999999999999</v>
      </c>
    </row>
    <row r="202" spans="32:33" x14ac:dyDescent="0.2">
      <c r="AF202" s="278">
        <f ca="1">MATCH(AD22,'SRIM Data'!$Z$9:$Z$140)</f>
        <v>40</v>
      </c>
      <c r="AG202" s="279"/>
    </row>
    <row r="203" spans="32:33" x14ac:dyDescent="0.2">
      <c r="AF203" s="267">
        <f ca="1">AF202+1</f>
        <v>41</v>
      </c>
      <c r="AG203" s="268"/>
    </row>
    <row r="204" spans="32:33" x14ac:dyDescent="0.2">
      <c r="AF204" s="269">
        <f ca="1">INDEX('SRIM Data'!$Z$9:$Z$140,AF202)</f>
        <v>0.3</v>
      </c>
      <c r="AG204" s="268">
        <f ca="1">INDEX('SRIM Data'!$AA$9:$AA$140,AF202)</f>
        <v>0.84179999999999999</v>
      </c>
    </row>
    <row r="205" spans="32:33" x14ac:dyDescent="0.2">
      <c r="AF205" s="269">
        <f ca="1">INDEX('SRIM Data'!$Z$9:$Z$140,AF203)</f>
        <v>0.32500000000000001</v>
      </c>
      <c r="AG205" s="268">
        <f ca="1">INDEX('SRIM Data'!$AA$9:$AA$140,AF203)</f>
        <v>0.89990000000000003</v>
      </c>
    </row>
    <row r="206" spans="32:33" x14ac:dyDescent="0.2">
      <c r="AF206" s="267">
        <f ca="1">(AF205-AD22)/(AF205-AF204)</f>
        <v>0.69823571792553651</v>
      </c>
      <c r="AG206" s="268">
        <f ca="1">AG205-AF206*(AG205-AG204)</f>
        <v>0.8593325047885263</v>
      </c>
    </row>
    <row r="207" spans="32:33" x14ac:dyDescent="0.2">
      <c r="AF207" s="267"/>
      <c r="AG207" s="268">
        <f ca="1">AG206-AE22</f>
        <v>0.8382661640332828</v>
      </c>
    </row>
    <row r="208" spans="32:33" x14ac:dyDescent="0.2">
      <c r="AF208" s="267"/>
      <c r="AG208" s="268">
        <f ca="1">MATCH(AG207,'SRIM Data'!$AA$9:$AA$140)</f>
        <v>39</v>
      </c>
    </row>
    <row r="209" spans="32:33" x14ac:dyDescent="0.2">
      <c r="AF209" s="267"/>
      <c r="AG209" s="268">
        <f ca="1">AG208+1</f>
        <v>40</v>
      </c>
    </row>
    <row r="210" spans="32:33" x14ac:dyDescent="0.2">
      <c r="AF210" s="269">
        <f ca="1">INDEX('SRIM Data'!$Z$9:$Z$140,AG208)</f>
        <v>0.27500000000000002</v>
      </c>
      <c r="AG210" s="268">
        <f ca="1">INDEX('SRIM Data'!$AA$9:$AA$140,AG208)</f>
        <v>0.78190000000000004</v>
      </c>
    </row>
    <row r="211" spans="32:33" x14ac:dyDescent="0.2">
      <c r="AF211" s="280">
        <f ca="1">INDEX('SRIM Data'!$Z$9:$Z$140,AG209)</f>
        <v>0.3</v>
      </c>
      <c r="AG211" s="271">
        <f ca="1">INDEX('SRIM Data'!$AA$9:$AA$140,AG209)</f>
        <v>0.84179999999999999</v>
      </c>
    </row>
    <row r="247" spans="30:31" x14ac:dyDescent="0.2">
      <c r="AD247" s="267">
        <f ca="1">MATCH(AD23,'SRIM Data'!$Z$9:$Z$140)</f>
        <v>40</v>
      </c>
      <c r="AE247" s="268"/>
    </row>
    <row r="248" spans="30:31" x14ac:dyDescent="0.2">
      <c r="AD248" s="267">
        <f ca="1">AD247+1</f>
        <v>41</v>
      </c>
      <c r="AE248" s="268"/>
    </row>
    <row r="249" spans="30:31" x14ac:dyDescent="0.2">
      <c r="AD249" s="269">
        <f ca="1">INDEX('SRIM Data'!$Z$9:$Z$140,AD247)</f>
        <v>0.3</v>
      </c>
      <c r="AE249" s="268">
        <f ca="1">INDEX('SRIM Data'!$AA$9:$AA$140,AD247)</f>
        <v>0.84179999999999999</v>
      </c>
    </row>
    <row r="250" spans="30:31" x14ac:dyDescent="0.2">
      <c r="AD250" s="269">
        <f ca="1">INDEX('SRIM Data'!$Z$9:$Z$140,AD248)</f>
        <v>0.32500000000000001</v>
      </c>
      <c r="AE250" s="268">
        <f ca="1">INDEX('SRIM Data'!$AA$9:$AA$140,AD248)</f>
        <v>0.89990000000000003</v>
      </c>
    </row>
    <row r="251" spans="30:31" x14ac:dyDescent="0.2">
      <c r="AD251" s="267">
        <f ca="1">(AD250-AD23)/(AD250-AD249)</f>
        <v>0.73893178570888662</v>
      </c>
      <c r="AE251" s="268">
        <f ca="1">AE250-AD251*(AE250-AE249)</f>
        <v>0.85696806325031372</v>
      </c>
    </row>
    <row r="252" spans="30:31" x14ac:dyDescent="0.2">
      <c r="AD252" s="267"/>
      <c r="AE252" s="268">
        <f ca="1">AE251-AE23</f>
        <v>0.83586679050513812</v>
      </c>
    </row>
    <row r="253" spans="30:31" x14ac:dyDescent="0.2">
      <c r="AD253" s="267"/>
      <c r="AE253" s="268">
        <f ca="1">MATCH(AE252,'SRIM Data'!$AA$9:$AA$140)</f>
        <v>39</v>
      </c>
    </row>
    <row r="254" spans="30:31" x14ac:dyDescent="0.2">
      <c r="AD254" s="267"/>
      <c r="AE254" s="268">
        <f ca="1">AE253+1</f>
        <v>40</v>
      </c>
    </row>
    <row r="255" spans="30:31" x14ac:dyDescent="0.2">
      <c r="AD255" s="269">
        <f ca="1">INDEX('SRIM Data'!$Z$9:$Z$140,AE253)</f>
        <v>0.27500000000000002</v>
      </c>
      <c r="AE255" s="268">
        <f ca="1">INDEX('SRIM Data'!$AA$9:$AA$140,AE253)</f>
        <v>0.78190000000000004</v>
      </c>
    </row>
    <row r="256" spans="30:31" x14ac:dyDescent="0.2">
      <c r="AD256" s="269">
        <f ca="1">INDEX('SRIM Data'!$Z$9:$Z$140,AE254)</f>
        <v>0.3</v>
      </c>
      <c r="AE256" s="268">
        <f ca="1">INDEX('SRIM Data'!$AA$9:$AA$140,AE254)</f>
        <v>0.84179999999999999</v>
      </c>
    </row>
    <row r="257" spans="30:31" x14ac:dyDescent="0.2">
      <c r="AD257" s="270">
        <f ca="1">AD256-AE257*(AD256-AD255)</f>
        <v>0.29752370221416446</v>
      </c>
      <c r="AE257" s="271">
        <f ca="1">(AE256-AE252)/(AE256-AE255)</f>
        <v>9.9051911433420251E-2</v>
      </c>
    </row>
    <row r="258" spans="30:31" x14ac:dyDescent="0.2">
      <c r="AD258" s="272">
        <f>V258</f>
        <v>0</v>
      </c>
      <c r="AE258" s="273">
        <f>W258</f>
        <v>0</v>
      </c>
    </row>
    <row r="259" spans="30:31" x14ac:dyDescent="0.2">
      <c r="AD259" s="267" t="e">
        <f>MATCH(AD258,'SRIM Data'!$Z$9:$Z$140)</f>
        <v>#N/A</v>
      </c>
      <c r="AE259" s="268"/>
    </row>
    <row r="260" spans="30:31" x14ac:dyDescent="0.2">
      <c r="AD260" s="267" t="e">
        <f>AD259+1</f>
        <v>#N/A</v>
      </c>
      <c r="AE260" s="268"/>
    </row>
    <row r="261" spans="30:31" x14ac:dyDescent="0.2">
      <c r="AD261" s="269" t="e">
        <f>INDEX('SRIM Data'!$Z$9:$Z$140,AD259)</f>
        <v>#N/A</v>
      </c>
      <c r="AE261" s="268" t="e">
        <f>INDEX('SRIM Data'!$AA$9:$AA$140,AD259)</f>
        <v>#N/A</v>
      </c>
    </row>
    <row r="262" spans="30:31" x14ac:dyDescent="0.2">
      <c r="AD262" s="269" t="e">
        <f>INDEX('SRIM Data'!$Z$9:$Z$140,AD260)</f>
        <v>#N/A</v>
      </c>
      <c r="AE262" s="268" t="e">
        <f>INDEX('SRIM Data'!$AA$9:$AA$140,AD260)</f>
        <v>#N/A</v>
      </c>
    </row>
    <row r="263" spans="30:31" x14ac:dyDescent="0.2">
      <c r="AD263" s="267" t="e">
        <f>(AD262-AD258)/(AD262-AD261)</f>
        <v>#N/A</v>
      </c>
      <c r="AE263" s="268" t="e">
        <f>AE262-AD263*(AE262-AE261)</f>
        <v>#N/A</v>
      </c>
    </row>
    <row r="264" spans="30:31" x14ac:dyDescent="0.2">
      <c r="AD264" s="267"/>
      <c r="AE264" s="268" t="e">
        <f>AE263-AE258</f>
        <v>#N/A</v>
      </c>
    </row>
    <row r="265" spans="30:31" x14ac:dyDescent="0.2">
      <c r="AD265" s="267"/>
      <c r="AE265" s="268" t="e">
        <f>MATCH(AE264,'SRIM Data'!$AA$9:$AA$140)</f>
        <v>#N/A</v>
      </c>
    </row>
    <row r="266" spans="30:31" x14ac:dyDescent="0.2">
      <c r="AD266" s="267"/>
      <c r="AE266" s="268" t="e">
        <f>AE265+1</f>
        <v>#N/A</v>
      </c>
    </row>
    <row r="267" spans="30:31" x14ac:dyDescent="0.2">
      <c r="AD267" s="269" t="e">
        <f>INDEX('SRIM Data'!$Z$9:$Z$140,AE265)</f>
        <v>#N/A</v>
      </c>
      <c r="AE267" s="268" t="e">
        <f>INDEX('SRIM Data'!$AA$9:$AA$140,AE265)</f>
        <v>#N/A</v>
      </c>
    </row>
    <row r="268" spans="30:31" x14ac:dyDescent="0.2">
      <c r="AD268" s="269" t="e">
        <f>INDEX('SRIM Data'!$Z$9:$Z$140,AE266)</f>
        <v>#N/A</v>
      </c>
      <c r="AE268" s="268" t="e">
        <f>INDEX('SRIM Data'!$AA$9:$AA$140,AE266)</f>
        <v>#N/A</v>
      </c>
    </row>
    <row r="269" spans="30:31" x14ac:dyDescent="0.2">
      <c r="AD269" s="270" t="e">
        <f>AD268-AE269*(AD268-AD267)</f>
        <v>#N/A</v>
      </c>
      <c r="AE269" s="271" t="e">
        <f>(AE268-AE264)/(AE268-AE267)</f>
        <v>#N/A</v>
      </c>
    </row>
    <row r="270" spans="30:31" x14ac:dyDescent="0.2">
      <c r="AD270" s="272">
        <f>V259</f>
        <v>0</v>
      </c>
      <c r="AE270" s="273">
        <f>W259</f>
        <v>0</v>
      </c>
    </row>
    <row r="271" spans="30:31" x14ac:dyDescent="0.2">
      <c r="AD271" s="267" t="e">
        <f>MATCH(AD270,'SRIM Data'!$Z$9:$Z$140)</f>
        <v>#N/A</v>
      </c>
      <c r="AE271" s="268"/>
    </row>
    <row r="272" spans="30:31" x14ac:dyDescent="0.2">
      <c r="AD272" s="267" t="e">
        <f>AD271+1</f>
        <v>#N/A</v>
      </c>
      <c r="AE272" s="268"/>
    </row>
    <row r="273" spans="30:31" x14ac:dyDescent="0.2">
      <c r="AD273" s="269" t="e">
        <f>INDEX('SRIM Data'!$Z$9:$Z$140,AD271)</f>
        <v>#N/A</v>
      </c>
      <c r="AE273" s="268" t="e">
        <f>INDEX('SRIM Data'!$AA$9:$AA$140,AD271)</f>
        <v>#N/A</v>
      </c>
    </row>
    <row r="274" spans="30:31" x14ac:dyDescent="0.2">
      <c r="AD274" s="269" t="e">
        <f>INDEX('SRIM Data'!$Z$9:$Z$140,AD272)</f>
        <v>#N/A</v>
      </c>
      <c r="AE274" s="268" t="e">
        <f>INDEX('SRIM Data'!$AA$9:$AA$140,AD272)</f>
        <v>#N/A</v>
      </c>
    </row>
    <row r="275" spans="30:31" x14ac:dyDescent="0.2">
      <c r="AD275" s="267" t="e">
        <f>(AD274-AD270)/(AD274-AD273)</f>
        <v>#N/A</v>
      </c>
      <c r="AE275" s="268" t="e">
        <f>AE274-AD275*(AE274-AE273)</f>
        <v>#N/A</v>
      </c>
    </row>
    <row r="276" spans="30:31" x14ac:dyDescent="0.2">
      <c r="AD276" s="267"/>
      <c r="AE276" s="268" t="e">
        <f>AE275-AE270</f>
        <v>#N/A</v>
      </c>
    </row>
    <row r="277" spans="30:31" x14ac:dyDescent="0.2">
      <c r="AD277" s="267"/>
      <c r="AE277" s="268" t="e">
        <f>MATCH(AE276,'SRIM Data'!$AA$9:$AA$140)</f>
        <v>#N/A</v>
      </c>
    </row>
    <row r="278" spans="30:31" x14ac:dyDescent="0.2">
      <c r="AD278" s="267"/>
      <c r="AE278" s="268" t="e">
        <f>AE277+1</f>
        <v>#N/A</v>
      </c>
    </row>
    <row r="279" spans="30:31" x14ac:dyDescent="0.2">
      <c r="AD279" s="269" t="e">
        <f>INDEX('SRIM Data'!$Z$9:$Z$140,AE277)</f>
        <v>#N/A</v>
      </c>
      <c r="AE279" s="268" t="e">
        <f>INDEX('SRIM Data'!$AA$9:$AA$140,AE277)</f>
        <v>#N/A</v>
      </c>
    </row>
    <row r="280" spans="30:31" x14ac:dyDescent="0.2">
      <c r="AD280" s="269" t="e">
        <f>INDEX('SRIM Data'!$Z$9:$Z$140,AE278)</f>
        <v>#N/A</v>
      </c>
      <c r="AE280" s="268" t="e">
        <f>INDEX('SRIM Data'!$AA$9:$AA$140,AE278)</f>
        <v>#N/A</v>
      </c>
    </row>
    <row r="281" spans="30:31" x14ac:dyDescent="0.2">
      <c r="AD281" s="270" t="e">
        <f>AD280-AE281*(AD280-AD279)</f>
        <v>#N/A</v>
      </c>
      <c r="AE281" s="271" t="e">
        <f>(AE280-AE276)/(AE280-AE279)</f>
        <v>#N/A</v>
      </c>
    </row>
    <row r="282" spans="30:31" x14ac:dyDescent="0.2">
      <c r="AD282" s="272">
        <f>V282</f>
        <v>0</v>
      </c>
      <c r="AE282" s="273">
        <f>W282</f>
        <v>0</v>
      </c>
    </row>
    <row r="283" spans="30:31" x14ac:dyDescent="0.2">
      <c r="AD283" s="267" t="e">
        <f>MATCH(AD282,'SRIM Data'!$Z$9:$Z$140)</f>
        <v>#N/A</v>
      </c>
      <c r="AE283" s="268"/>
    </row>
    <row r="284" spans="30:31" x14ac:dyDescent="0.2">
      <c r="AD284" s="267" t="e">
        <f>AD283+1</f>
        <v>#N/A</v>
      </c>
      <c r="AE284" s="268"/>
    </row>
    <row r="285" spans="30:31" x14ac:dyDescent="0.2">
      <c r="AD285" s="269" t="e">
        <f>INDEX('SRIM Data'!$Z$9:$Z$140,AD283)</f>
        <v>#N/A</v>
      </c>
      <c r="AE285" s="268" t="e">
        <f>INDEX('SRIM Data'!$AA$9:$AA$140,AD283)</f>
        <v>#N/A</v>
      </c>
    </row>
    <row r="286" spans="30:31" x14ac:dyDescent="0.2">
      <c r="AD286" s="269" t="e">
        <f>INDEX('SRIM Data'!$Z$9:$Z$140,AD284)</f>
        <v>#N/A</v>
      </c>
      <c r="AE286" s="268" t="e">
        <f>INDEX('SRIM Data'!$AA$9:$AA$140,AD284)</f>
        <v>#N/A</v>
      </c>
    </row>
    <row r="287" spans="30:31" x14ac:dyDescent="0.2">
      <c r="AD287" s="267" t="e">
        <f>(AD286-AD282)/(AD286-AD285)</f>
        <v>#N/A</v>
      </c>
      <c r="AE287" s="268" t="e">
        <f>AE286-AD287*(AE286-AE285)</f>
        <v>#N/A</v>
      </c>
    </row>
    <row r="288" spans="30:31" x14ac:dyDescent="0.2">
      <c r="AD288" s="267"/>
      <c r="AE288" s="268" t="e">
        <f>AE287-AE282</f>
        <v>#N/A</v>
      </c>
    </row>
    <row r="289" spans="30:31" x14ac:dyDescent="0.2">
      <c r="AD289" s="267"/>
      <c r="AE289" s="268" t="e">
        <f>MATCH(AE288,'SRIM Data'!$AA$9:$AA$140)</f>
        <v>#N/A</v>
      </c>
    </row>
    <row r="290" spans="30:31" x14ac:dyDescent="0.2">
      <c r="AD290" s="267"/>
      <c r="AE290" s="268" t="e">
        <f>AE289+1</f>
        <v>#N/A</v>
      </c>
    </row>
    <row r="291" spans="30:31" x14ac:dyDescent="0.2">
      <c r="AD291" s="269" t="e">
        <f>INDEX('SRIM Data'!$Z$9:$Z$140,AE289)</f>
        <v>#N/A</v>
      </c>
      <c r="AE291" s="268" t="e">
        <f>INDEX('SRIM Data'!$AA$9:$AA$140,AE289)</f>
        <v>#N/A</v>
      </c>
    </row>
    <row r="292" spans="30:31" x14ac:dyDescent="0.2">
      <c r="AD292" s="269" t="e">
        <f>INDEX('SRIM Data'!$Z$9:$Z$140,AE290)</f>
        <v>#N/A</v>
      </c>
      <c r="AE292" s="268" t="e">
        <f>INDEX('SRIM Data'!$AA$9:$AA$140,AE290)</f>
        <v>#N/A</v>
      </c>
    </row>
    <row r="293" spans="30:31" x14ac:dyDescent="0.2">
      <c r="AD293" s="270" t="e">
        <f>AD292-AE293*(AD292-AD291)</f>
        <v>#N/A</v>
      </c>
      <c r="AE293" s="271" t="e">
        <f>(AE292-AE288)/(AE292-AE291)</f>
        <v>#N/A</v>
      </c>
    </row>
    <row r="294" spans="30:31" x14ac:dyDescent="0.2">
      <c r="AD294" s="272">
        <f>V283</f>
        <v>0</v>
      </c>
      <c r="AE294" s="273">
        <f>W283</f>
        <v>0</v>
      </c>
    </row>
    <row r="295" spans="30:31" x14ac:dyDescent="0.2">
      <c r="AD295" s="267" t="e">
        <f>MATCH(AD294,'SRIM Data'!$Z$9:$Z$140)</f>
        <v>#N/A</v>
      </c>
      <c r="AE295" s="268"/>
    </row>
    <row r="296" spans="30:31" x14ac:dyDescent="0.2">
      <c r="AD296" s="267" t="e">
        <f>AD295+1</f>
        <v>#N/A</v>
      </c>
      <c r="AE296" s="268"/>
    </row>
    <row r="297" spans="30:31" x14ac:dyDescent="0.2">
      <c r="AD297" s="269" t="e">
        <f>INDEX('SRIM Data'!$Z$9:$Z$140,AD295)</f>
        <v>#N/A</v>
      </c>
      <c r="AE297" s="268" t="e">
        <f>INDEX('SRIM Data'!$AA$9:$AA$140,AD295)</f>
        <v>#N/A</v>
      </c>
    </row>
    <row r="298" spans="30:31" x14ac:dyDescent="0.2">
      <c r="AD298" s="269" t="e">
        <f>INDEX('SRIM Data'!$Z$9:$Z$140,AD296)</f>
        <v>#N/A</v>
      </c>
      <c r="AE298" s="268" t="e">
        <f>INDEX('SRIM Data'!$AA$9:$AA$140,AD296)</f>
        <v>#N/A</v>
      </c>
    </row>
    <row r="299" spans="30:31" x14ac:dyDescent="0.2">
      <c r="AD299" s="267" t="e">
        <f>(AD298-AD294)/(AD298-AD297)</f>
        <v>#N/A</v>
      </c>
      <c r="AE299" s="268" t="e">
        <f>AE298-AD299*(AE298-AE297)</f>
        <v>#N/A</v>
      </c>
    </row>
    <row r="300" spans="30:31" x14ac:dyDescent="0.2">
      <c r="AD300" s="267"/>
      <c r="AE300" s="268" t="e">
        <f>AE299-AE294</f>
        <v>#N/A</v>
      </c>
    </row>
    <row r="301" spans="30:31" x14ac:dyDescent="0.2">
      <c r="AD301" s="267"/>
      <c r="AE301" s="268" t="e">
        <f>MATCH(AE300,'SRIM Data'!$AA$9:$AA$140)</f>
        <v>#N/A</v>
      </c>
    </row>
    <row r="302" spans="30:31" x14ac:dyDescent="0.2">
      <c r="AD302" s="267"/>
      <c r="AE302" s="268" t="e">
        <f>AE301+1</f>
        <v>#N/A</v>
      </c>
    </row>
    <row r="303" spans="30:31" x14ac:dyDescent="0.2">
      <c r="AD303" s="269" t="e">
        <f>INDEX('SRIM Data'!$Z$9:$Z$140,AE301)</f>
        <v>#N/A</v>
      </c>
      <c r="AE303" s="268" t="e">
        <f>INDEX('SRIM Data'!$AA$9:$AA$140,AE301)</f>
        <v>#N/A</v>
      </c>
    </row>
    <row r="304" spans="30:31" x14ac:dyDescent="0.2">
      <c r="AD304" s="269" t="e">
        <f>INDEX('SRIM Data'!$Z$9:$Z$140,AE302)</f>
        <v>#N/A</v>
      </c>
      <c r="AE304" s="268" t="e">
        <f>INDEX('SRIM Data'!$AA$9:$AA$140,AE302)</f>
        <v>#N/A</v>
      </c>
    </row>
    <row r="305" spans="30:31" x14ac:dyDescent="0.2">
      <c r="AD305" s="270" t="e">
        <f>AD304-AE305*(AD304-AD303)</f>
        <v>#N/A</v>
      </c>
      <c r="AE305" s="271" t="e">
        <f>(AE304-AE300)/(AE304-AE303)</f>
        <v>#N/A</v>
      </c>
    </row>
    <row r="306" spans="30:31" x14ac:dyDescent="0.2">
      <c r="AD306" s="272">
        <f>V306</f>
        <v>0</v>
      </c>
      <c r="AE306" s="273">
        <f>W306</f>
        <v>0</v>
      </c>
    </row>
    <row r="307" spans="30:31" x14ac:dyDescent="0.2">
      <c r="AD307" s="267" t="e">
        <f>MATCH(AD306,'SRIM Data'!$Z$9:$Z$140)</f>
        <v>#N/A</v>
      </c>
      <c r="AE307" s="268"/>
    </row>
    <row r="308" spans="30:31" x14ac:dyDescent="0.2">
      <c r="AD308" s="267" t="e">
        <f>AD307+1</f>
        <v>#N/A</v>
      </c>
      <c r="AE308" s="268"/>
    </row>
    <row r="309" spans="30:31" x14ac:dyDescent="0.2">
      <c r="AD309" s="269" t="e">
        <f>INDEX('SRIM Data'!$Z$9:$Z$140,AD307)</f>
        <v>#N/A</v>
      </c>
      <c r="AE309" s="268" t="e">
        <f>INDEX('SRIM Data'!$AA$9:$AA$140,AD307)</f>
        <v>#N/A</v>
      </c>
    </row>
    <row r="310" spans="30:31" x14ac:dyDescent="0.2">
      <c r="AD310" s="269" t="e">
        <f>INDEX('SRIM Data'!$Z$9:$Z$140,AD308)</f>
        <v>#N/A</v>
      </c>
      <c r="AE310" s="268" t="e">
        <f>INDEX('SRIM Data'!$AA$9:$AA$140,AD308)</f>
        <v>#N/A</v>
      </c>
    </row>
    <row r="311" spans="30:31" x14ac:dyDescent="0.2">
      <c r="AD311" s="267" t="e">
        <f>(AD310-AD306)/(AD310-AD309)</f>
        <v>#N/A</v>
      </c>
      <c r="AE311" s="268" t="e">
        <f>AE310-AD311*(AE310-AE309)</f>
        <v>#N/A</v>
      </c>
    </row>
    <row r="312" spans="30:31" x14ac:dyDescent="0.2">
      <c r="AD312" s="267"/>
      <c r="AE312" s="268" t="e">
        <f>AE311-AE306</f>
        <v>#N/A</v>
      </c>
    </row>
    <row r="313" spans="30:31" x14ac:dyDescent="0.2">
      <c r="AD313" s="267"/>
      <c r="AE313" s="268" t="e">
        <f>MATCH(AE312,'SRIM Data'!$AA$9:$AA$140)</f>
        <v>#N/A</v>
      </c>
    </row>
    <row r="314" spans="30:31" x14ac:dyDescent="0.2">
      <c r="AD314" s="267"/>
      <c r="AE314" s="268" t="e">
        <f>AE313+1</f>
        <v>#N/A</v>
      </c>
    </row>
    <row r="315" spans="30:31" x14ac:dyDescent="0.2">
      <c r="AD315" s="269" t="e">
        <f>INDEX('SRIM Data'!$Z$9:$Z$140,AE313)</f>
        <v>#N/A</v>
      </c>
      <c r="AE315" s="268" t="e">
        <f>INDEX('SRIM Data'!$AA$9:$AA$140,AE313)</f>
        <v>#N/A</v>
      </c>
    </row>
    <row r="316" spans="30:31" x14ac:dyDescent="0.2">
      <c r="AD316" s="269" t="e">
        <f>INDEX('SRIM Data'!$Z$9:$Z$140,AE314)</f>
        <v>#N/A</v>
      </c>
      <c r="AE316" s="268" t="e">
        <f>INDEX('SRIM Data'!$AA$9:$AA$140,AE314)</f>
        <v>#N/A</v>
      </c>
    </row>
    <row r="317" spans="30:31" x14ac:dyDescent="0.2">
      <c r="AD317" s="270" t="e">
        <f>AD316-AE317*(AD316-AD315)</f>
        <v>#N/A</v>
      </c>
      <c r="AE317" s="271" t="e">
        <f>(AE316-AE312)/(AE316-AE315)</f>
        <v>#N/A</v>
      </c>
    </row>
    <row r="318" spans="30:31" x14ac:dyDescent="0.2">
      <c r="AD318" s="272">
        <f>V307</f>
        <v>0</v>
      </c>
      <c r="AE318" s="273">
        <f>W307</f>
        <v>0</v>
      </c>
    </row>
    <row r="319" spans="30:31" x14ac:dyDescent="0.2">
      <c r="AD319" s="267" t="e">
        <f>MATCH(AD318,'SRIM Data'!$Z$9:$Z$140)</f>
        <v>#N/A</v>
      </c>
      <c r="AE319" s="268"/>
    </row>
    <row r="320" spans="30:31" x14ac:dyDescent="0.2">
      <c r="AD320" s="267" t="e">
        <f>AD319+1</f>
        <v>#N/A</v>
      </c>
      <c r="AE320" s="268"/>
    </row>
    <row r="321" spans="30:31" x14ac:dyDescent="0.2">
      <c r="AD321" s="269" t="e">
        <f>INDEX('SRIM Data'!$Z$9:$Z$140,AD319)</f>
        <v>#N/A</v>
      </c>
      <c r="AE321" s="268" t="e">
        <f>INDEX('SRIM Data'!$AA$9:$AA$140,AD319)</f>
        <v>#N/A</v>
      </c>
    </row>
    <row r="322" spans="30:31" x14ac:dyDescent="0.2">
      <c r="AD322" s="269" t="e">
        <f>INDEX('SRIM Data'!$Z$9:$Z$140,AD320)</f>
        <v>#N/A</v>
      </c>
      <c r="AE322" s="268" t="e">
        <f>INDEX('SRIM Data'!$AA$9:$AA$140,AD320)</f>
        <v>#N/A</v>
      </c>
    </row>
    <row r="323" spans="30:31" x14ac:dyDescent="0.2">
      <c r="AD323" s="267" t="e">
        <f>(AD322-AD318)/(AD322-AD321)</f>
        <v>#N/A</v>
      </c>
      <c r="AE323" s="268" t="e">
        <f>AE322-AD323*(AE322-AE321)</f>
        <v>#N/A</v>
      </c>
    </row>
    <row r="324" spans="30:31" x14ac:dyDescent="0.2">
      <c r="AD324" s="267"/>
      <c r="AE324" s="268" t="e">
        <f>AE323-AE318</f>
        <v>#N/A</v>
      </c>
    </row>
    <row r="325" spans="30:31" x14ac:dyDescent="0.2">
      <c r="AD325" s="267"/>
      <c r="AE325" s="268" t="e">
        <f>MATCH(AE324,'SRIM Data'!$AA$9:$AA$140)</f>
        <v>#N/A</v>
      </c>
    </row>
    <row r="326" spans="30:31" x14ac:dyDescent="0.2">
      <c r="AD326" s="267"/>
      <c r="AE326" s="268" t="e">
        <f>AE325+1</f>
        <v>#N/A</v>
      </c>
    </row>
    <row r="327" spans="30:31" x14ac:dyDescent="0.2">
      <c r="AD327" s="269" t="e">
        <f>INDEX('SRIM Data'!$Z$9:$Z$140,AE325)</f>
        <v>#N/A</v>
      </c>
      <c r="AE327" s="268" t="e">
        <f>INDEX('SRIM Data'!$AA$9:$AA$140,AE325)</f>
        <v>#N/A</v>
      </c>
    </row>
    <row r="328" spans="30:31" x14ac:dyDescent="0.2">
      <c r="AD328" s="269" t="e">
        <f>INDEX('SRIM Data'!$Z$9:$Z$140,AE326)</f>
        <v>#N/A</v>
      </c>
      <c r="AE328" s="268" t="e">
        <f>INDEX('SRIM Data'!$AA$9:$AA$140,AE326)</f>
        <v>#N/A</v>
      </c>
    </row>
    <row r="329" spans="30:31" x14ac:dyDescent="0.2">
      <c r="AD329" s="270" t="e">
        <f>AD328-AE329*(AD328-AD327)</f>
        <v>#N/A</v>
      </c>
      <c r="AE329" s="271" t="e">
        <f>(AE328-AE324)/(AE328-AE327)</f>
        <v>#N/A</v>
      </c>
    </row>
    <row r="330" spans="30:31" x14ac:dyDescent="0.2">
      <c r="AD330" s="272">
        <f>V330</f>
        <v>0</v>
      </c>
      <c r="AE330" s="273">
        <f>W330</f>
        <v>0</v>
      </c>
    </row>
    <row r="331" spans="30:31" x14ac:dyDescent="0.2">
      <c r="AD331" s="267" t="e">
        <f>MATCH(AD330,'SRIM Data'!$Z$9:$Z$140)</f>
        <v>#N/A</v>
      </c>
      <c r="AE331" s="268"/>
    </row>
    <row r="332" spans="30:31" x14ac:dyDescent="0.2">
      <c r="AD332" s="267" t="e">
        <f>AD331+1</f>
        <v>#N/A</v>
      </c>
      <c r="AE332" s="268"/>
    </row>
    <row r="333" spans="30:31" x14ac:dyDescent="0.2">
      <c r="AD333" s="269" t="e">
        <f>INDEX('SRIM Data'!$Z$9:$Z$140,AD331)</f>
        <v>#N/A</v>
      </c>
      <c r="AE333" s="268" t="e">
        <f>INDEX('SRIM Data'!$AA$9:$AA$140,AD331)</f>
        <v>#N/A</v>
      </c>
    </row>
    <row r="334" spans="30:31" x14ac:dyDescent="0.2">
      <c r="AD334" s="269" t="e">
        <f>INDEX('SRIM Data'!$Z$9:$Z$140,AD332)</f>
        <v>#N/A</v>
      </c>
      <c r="AE334" s="268" t="e">
        <f>INDEX('SRIM Data'!$AA$9:$AA$140,AD332)</f>
        <v>#N/A</v>
      </c>
    </row>
    <row r="335" spans="30:31" x14ac:dyDescent="0.2">
      <c r="AD335" s="267" t="e">
        <f>(AD334-AD330)/(AD334-AD333)</f>
        <v>#N/A</v>
      </c>
      <c r="AE335" s="268" t="e">
        <f>AE334-AD335*(AE334-AE333)</f>
        <v>#N/A</v>
      </c>
    </row>
    <row r="336" spans="30:31" x14ac:dyDescent="0.2">
      <c r="AD336" s="267"/>
      <c r="AE336" s="268" t="e">
        <f>AE335-AE330</f>
        <v>#N/A</v>
      </c>
    </row>
    <row r="337" spans="30:31" x14ac:dyDescent="0.2">
      <c r="AD337" s="267"/>
      <c r="AE337" s="268" t="e">
        <f>MATCH(AE336,'SRIM Data'!$AA$9:$AA$140)</f>
        <v>#N/A</v>
      </c>
    </row>
    <row r="338" spans="30:31" x14ac:dyDescent="0.2">
      <c r="AD338" s="267"/>
      <c r="AE338" s="268" t="e">
        <f>AE337+1</f>
        <v>#N/A</v>
      </c>
    </row>
    <row r="339" spans="30:31" x14ac:dyDescent="0.2">
      <c r="AD339" s="269" t="e">
        <f>INDEX('SRIM Data'!$Z$9:$Z$140,AE337)</f>
        <v>#N/A</v>
      </c>
      <c r="AE339" s="268" t="e">
        <f>INDEX('SRIM Data'!$AA$9:$AA$140,AE337)</f>
        <v>#N/A</v>
      </c>
    </row>
    <row r="340" spans="30:31" x14ac:dyDescent="0.2">
      <c r="AD340" s="269" t="e">
        <f>INDEX('SRIM Data'!$Z$9:$Z$140,AE338)</f>
        <v>#N/A</v>
      </c>
      <c r="AE340" s="268" t="e">
        <f>INDEX('SRIM Data'!$AA$9:$AA$140,AE338)</f>
        <v>#N/A</v>
      </c>
    </row>
    <row r="341" spans="30:31" x14ac:dyDescent="0.2">
      <c r="AD341" s="270" t="e">
        <f>AD340-AE341*(AD340-AD339)</f>
        <v>#N/A</v>
      </c>
      <c r="AE341" s="271" t="e">
        <f>(AE340-AE336)/(AE340-AE339)</f>
        <v>#N/A</v>
      </c>
    </row>
    <row r="342" spans="30:31" x14ac:dyDescent="0.2">
      <c r="AD342" s="272">
        <f>V331</f>
        <v>0</v>
      </c>
      <c r="AE342" s="273">
        <f>W331</f>
        <v>0</v>
      </c>
    </row>
    <row r="343" spans="30:31" x14ac:dyDescent="0.2">
      <c r="AD343" s="267" t="e">
        <f>MATCH(AD342,'SRIM Data'!$Z$9:$Z$140)</f>
        <v>#N/A</v>
      </c>
      <c r="AE343" s="268"/>
    </row>
    <row r="344" spans="30:31" x14ac:dyDescent="0.2">
      <c r="AD344" s="267" t="e">
        <f>AD343+1</f>
        <v>#N/A</v>
      </c>
      <c r="AE344" s="268"/>
    </row>
    <row r="345" spans="30:31" x14ac:dyDescent="0.2">
      <c r="AD345" s="269" t="e">
        <f>INDEX('SRIM Data'!$Z$9:$Z$140,AD343)</f>
        <v>#N/A</v>
      </c>
      <c r="AE345" s="268" t="e">
        <f>INDEX('SRIM Data'!$AA$9:$AA$140,AD343)</f>
        <v>#N/A</v>
      </c>
    </row>
    <row r="346" spans="30:31" x14ac:dyDescent="0.2">
      <c r="AD346" s="269" t="e">
        <f>INDEX('SRIM Data'!$Z$9:$Z$140,AD344)</f>
        <v>#N/A</v>
      </c>
      <c r="AE346" s="268" t="e">
        <f>INDEX('SRIM Data'!$AA$9:$AA$140,AD344)</f>
        <v>#N/A</v>
      </c>
    </row>
    <row r="347" spans="30:31" x14ac:dyDescent="0.2">
      <c r="AD347" s="267" t="e">
        <f>(AD346-AD342)/(AD346-AD345)</f>
        <v>#N/A</v>
      </c>
      <c r="AE347" s="268" t="e">
        <f>AE346-AD347*(AE346-AE345)</f>
        <v>#N/A</v>
      </c>
    </row>
    <row r="348" spans="30:31" x14ac:dyDescent="0.2">
      <c r="AD348" s="267"/>
      <c r="AE348" s="268" t="e">
        <f>AE347-AE342</f>
        <v>#N/A</v>
      </c>
    </row>
    <row r="349" spans="30:31" x14ac:dyDescent="0.2">
      <c r="AD349" s="267"/>
      <c r="AE349" s="268" t="e">
        <f>MATCH(AE348,'SRIM Data'!$AA$9:$AA$140)</f>
        <v>#N/A</v>
      </c>
    </row>
    <row r="350" spans="30:31" x14ac:dyDescent="0.2">
      <c r="AD350" s="267"/>
      <c r="AE350" s="268" t="e">
        <f>AE349+1</f>
        <v>#N/A</v>
      </c>
    </row>
    <row r="351" spans="30:31" x14ac:dyDescent="0.2">
      <c r="AD351" s="269" t="e">
        <f>INDEX('SRIM Data'!$Z$9:$Z$140,AE349)</f>
        <v>#N/A</v>
      </c>
      <c r="AE351" s="268" t="e">
        <f>INDEX('SRIM Data'!$AA$9:$AA$140,AE349)</f>
        <v>#N/A</v>
      </c>
    </row>
    <row r="352" spans="30:31" x14ac:dyDescent="0.2">
      <c r="AD352" s="269" t="e">
        <f>INDEX('SRIM Data'!$Z$9:$Z$140,AE350)</f>
        <v>#N/A</v>
      </c>
      <c r="AE352" s="268" t="e">
        <f>INDEX('SRIM Data'!$AA$9:$AA$140,AE350)</f>
        <v>#N/A</v>
      </c>
    </row>
    <row r="353" spans="30:31" x14ac:dyDescent="0.2">
      <c r="AD353" s="270" t="e">
        <f>AD352-AE353*(AD352-AD351)</f>
        <v>#N/A</v>
      </c>
      <c r="AE353" s="271" t="e">
        <f>(AE352-AE348)/(AE352-AE351)</f>
        <v>#N/A</v>
      </c>
    </row>
    <row r="354" spans="30:31" x14ac:dyDescent="0.2">
      <c r="AD354" s="272">
        <f>V354</f>
        <v>0</v>
      </c>
      <c r="AE354" s="273">
        <f>W354</f>
        <v>0</v>
      </c>
    </row>
    <row r="355" spans="30:31" x14ac:dyDescent="0.2">
      <c r="AD355" s="267" t="e">
        <f>MATCH(AD354,'SRIM Data'!$Z$9:$Z$140)</f>
        <v>#N/A</v>
      </c>
      <c r="AE355" s="268"/>
    </row>
    <row r="356" spans="30:31" x14ac:dyDescent="0.2">
      <c r="AD356" s="267" t="e">
        <f>AD355+1</f>
        <v>#N/A</v>
      </c>
      <c r="AE356" s="268"/>
    </row>
    <row r="357" spans="30:31" x14ac:dyDescent="0.2">
      <c r="AD357" s="269" t="e">
        <f>INDEX('SRIM Data'!$Z$9:$Z$140,AD355)</f>
        <v>#N/A</v>
      </c>
      <c r="AE357" s="268" t="e">
        <f>INDEX('SRIM Data'!$AA$9:$AA$140,AD355)</f>
        <v>#N/A</v>
      </c>
    </row>
    <row r="358" spans="30:31" x14ac:dyDescent="0.2">
      <c r="AD358" s="269" t="e">
        <f>INDEX('SRIM Data'!$Z$9:$Z$140,AD356)</f>
        <v>#N/A</v>
      </c>
      <c r="AE358" s="268" t="e">
        <f>INDEX('SRIM Data'!$AA$9:$AA$140,AD356)</f>
        <v>#N/A</v>
      </c>
    </row>
    <row r="359" spans="30:31" x14ac:dyDescent="0.2">
      <c r="AD359" s="267" t="e">
        <f>(AD358-AD354)/(AD358-AD357)</f>
        <v>#N/A</v>
      </c>
      <c r="AE359" s="268" t="e">
        <f>AE358-AD359*(AE358-AE357)</f>
        <v>#N/A</v>
      </c>
    </row>
    <row r="360" spans="30:31" x14ac:dyDescent="0.2">
      <c r="AD360" s="267"/>
      <c r="AE360" s="268" t="e">
        <f>AE359-AE354</f>
        <v>#N/A</v>
      </c>
    </row>
    <row r="361" spans="30:31" x14ac:dyDescent="0.2">
      <c r="AD361" s="267"/>
      <c r="AE361" s="268" t="e">
        <f>MATCH(AE360,'SRIM Data'!$AA$9:$AA$140)</f>
        <v>#N/A</v>
      </c>
    </row>
    <row r="362" spans="30:31" x14ac:dyDescent="0.2">
      <c r="AD362" s="267"/>
      <c r="AE362" s="268" t="e">
        <f>AE361+1</f>
        <v>#N/A</v>
      </c>
    </row>
    <row r="363" spans="30:31" x14ac:dyDescent="0.2">
      <c r="AD363" s="269" t="e">
        <f>INDEX('SRIM Data'!$Z$9:$Z$140,AE361)</f>
        <v>#N/A</v>
      </c>
      <c r="AE363" s="268" t="e">
        <f>INDEX('SRIM Data'!$AA$9:$AA$140,AE361)</f>
        <v>#N/A</v>
      </c>
    </row>
    <row r="364" spans="30:31" x14ac:dyDescent="0.2">
      <c r="AD364" s="269" t="e">
        <f>INDEX('SRIM Data'!$Z$9:$Z$140,AE362)</f>
        <v>#N/A</v>
      </c>
      <c r="AE364" s="268" t="e">
        <f>INDEX('SRIM Data'!$AA$9:$AA$140,AE362)</f>
        <v>#N/A</v>
      </c>
    </row>
    <row r="365" spans="30:31" x14ac:dyDescent="0.2">
      <c r="AD365" s="270" t="e">
        <f>AD364-AE365*(AD364-AD363)</f>
        <v>#N/A</v>
      </c>
      <c r="AE365" s="271" t="e">
        <f>(AE364-AE360)/(AE364-AE363)</f>
        <v>#N/A</v>
      </c>
    </row>
    <row r="366" spans="30:31" x14ac:dyDescent="0.2">
      <c r="AD366" s="272">
        <f>V355</f>
        <v>0</v>
      </c>
      <c r="AE366" s="273">
        <f>W355</f>
        <v>0</v>
      </c>
    </row>
    <row r="367" spans="30:31" x14ac:dyDescent="0.2">
      <c r="AD367" s="267" t="e">
        <f>MATCH(AD366,'SRIM Data'!$Z$9:$Z$140)</f>
        <v>#N/A</v>
      </c>
      <c r="AE367" s="268"/>
    </row>
    <row r="368" spans="30:31" x14ac:dyDescent="0.2">
      <c r="AD368" s="267" t="e">
        <f>AD367+1</f>
        <v>#N/A</v>
      </c>
      <c r="AE368" s="268"/>
    </row>
    <row r="369" spans="30:31" x14ac:dyDescent="0.2">
      <c r="AD369" s="269" t="e">
        <f>INDEX('SRIM Data'!$Z$9:$Z$140,AD367)</f>
        <v>#N/A</v>
      </c>
      <c r="AE369" s="268" t="e">
        <f>INDEX('SRIM Data'!$AA$9:$AA$140,AD367)</f>
        <v>#N/A</v>
      </c>
    </row>
    <row r="370" spans="30:31" x14ac:dyDescent="0.2">
      <c r="AD370" s="269" t="e">
        <f>INDEX('SRIM Data'!$Z$9:$Z$140,AD368)</f>
        <v>#N/A</v>
      </c>
      <c r="AE370" s="268" t="e">
        <f>INDEX('SRIM Data'!$AA$9:$AA$140,AD368)</f>
        <v>#N/A</v>
      </c>
    </row>
    <row r="371" spans="30:31" x14ac:dyDescent="0.2">
      <c r="AD371" s="267" t="e">
        <f>(AD370-AD366)/(AD370-AD369)</f>
        <v>#N/A</v>
      </c>
      <c r="AE371" s="268" t="e">
        <f>AE370-AD371*(AE370-AE369)</f>
        <v>#N/A</v>
      </c>
    </row>
    <row r="372" spans="30:31" x14ac:dyDescent="0.2">
      <c r="AD372" s="267"/>
      <c r="AE372" s="268" t="e">
        <f>AE371-AE366</f>
        <v>#N/A</v>
      </c>
    </row>
    <row r="373" spans="30:31" x14ac:dyDescent="0.2">
      <c r="AD373" s="267"/>
      <c r="AE373" s="268" t="e">
        <f>MATCH(AE372,'SRIM Data'!$AA$9:$AA$140)</f>
        <v>#N/A</v>
      </c>
    </row>
    <row r="374" spans="30:31" x14ac:dyDescent="0.2">
      <c r="AD374" s="267"/>
      <c r="AE374" s="268" t="e">
        <f>AE373+1</f>
        <v>#N/A</v>
      </c>
    </row>
    <row r="375" spans="30:31" x14ac:dyDescent="0.2">
      <c r="AD375" s="269" t="e">
        <f>INDEX('SRIM Data'!$Z$9:$Z$140,AE373)</f>
        <v>#N/A</v>
      </c>
      <c r="AE375" s="268" t="e">
        <f>INDEX('SRIM Data'!$AA$9:$AA$140,AE373)</f>
        <v>#N/A</v>
      </c>
    </row>
    <row r="376" spans="30:31" x14ac:dyDescent="0.2">
      <c r="AD376" s="269" t="e">
        <f>INDEX('SRIM Data'!$Z$9:$Z$140,AE374)</f>
        <v>#N/A</v>
      </c>
      <c r="AE376" s="268" t="e">
        <f>INDEX('SRIM Data'!$AA$9:$AA$140,AE374)</f>
        <v>#N/A</v>
      </c>
    </row>
    <row r="377" spans="30:31" x14ac:dyDescent="0.2">
      <c r="AD377" s="270" t="e">
        <f>AD376-AE377*(AD376-AD375)</f>
        <v>#N/A</v>
      </c>
      <c r="AE377" s="271" t="e">
        <f>(AE376-AE372)/(AE376-AE375)</f>
        <v>#N/A</v>
      </c>
    </row>
    <row r="378" spans="30:31" x14ac:dyDescent="0.2">
      <c r="AD378" s="272">
        <f>V378</f>
        <v>0</v>
      </c>
      <c r="AE378" s="273">
        <f>W378</f>
        <v>0</v>
      </c>
    </row>
    <row r="379" spans="30:31" x14ac:dyDescent="0.2">
      <c r="AD379" s="267" t="e">
        <f>MATCH(AD378,'SRIM Data'!$Z$9:$Z$140)</f>
        <v>#N/A</v>
      </c>
      <c r="AE379" s="268"/>
    </row>
    <row r="380" spans="30:31" x14ac:dyDescent="0.2">
      <c r="AD380" s="267" t="e">
        <f>AD379+1</f>
        <v>#N/A</v>
      </c>
      <c r="AE380" s="268"/>
    </row>
    <row r="381" spans="30:31" x14ac:dyDescent="0.2">
      <c r="AD381" s="269" t="e">
        <f>INDEX('SRIM Data'!$Z$9:$Z$140,AD379)</f>
        <v>#N/A</v>
      </c>
      <c r="AE381" s="268" t="e">
        <f>INDEX('SRIM Data'!$AA$9:$AA$140,AD379)</f>
        <v>#N/A</v>
      </c>
    </row>
    <row r="382" spans="30:31" x14ac:dyDescent="0.2">
      <c r="AD382" s="269" t="e">
        <f>INDEX('SRIM Data'!$Z$9:$Z$140,AD380)</f>
        <v>#N/A</v>
      </c>
      <c r="AE382" s="268" t="e">
        <f>INDEX('SRIM Data'!$AA$9:$AA$140,AD380)</f>
        <v>#N/A</v>
      </c>
    </row>
    <row r="383" spans="30:31" x14ac:dyDescent="0.2">
      <c r="AD383" s="267" t="e">
        <f>(AD382-AD378)/(AD382-AD381)</f>
        <v>#N/A</v>
      </c>
      <c r="AE383" s="268" t="e">
        <f>AE382-AD383*(AE382-AE381)</f>
        <v>#N/A</v>
      </c>
    </row>
    <row r="384" spans="30:31" x14ac:dyDescent="0.2">
      <c r="AD384" s="267"/>
      <c r="AE384" s="268" t="e">
        <f>AE383-AE378</f>
        <v>#N/A</v>
      </c>
    </row>
    <row r="385" spans="30:31" x14ac:dyDescent="0.2">
      <c r="AD385" s="267"/>
      <c r="AE385" s="268" t="e">
        <f>MATCH(AE384,'SRIM Data'!$AA$9:$AA$140)</f>
        <v>#N/A</v>
      </c>
    </row>
    <row r="386" spans="30:31" x14ac:dyDescent="0.2">
      <c r="AD386" s="267"/>
      <c r="AE386" s="268" t="e">
        <f>AE385+1</f>
        <v>#N/A</v>
      </c>
    </row>
    <row r="387" spans="30:31" x14ac:dyDescent="0.2">
      <c r="AD387" s="269" t="e">
        <f>INDEX('SRIM Data'!$Z$9:$Z$140,AE385)</f>
        <v>#N/A</v>
      </c>
      <c r="AE387" s="268" t="e">
        <f>INDEX('SRIM Data'!$AA$9:$AA$140,AE385)</f>
        <v>#N/A</v>
      </c>
    </row>
    <row r="388" spans="30:31" x14ac:dyDescent="0.2">
      <c r="AD388" s="269" t="e">
        <f>INDEX('SRIM Data'!$Z$9:$Z$140,AE386)</f>
        <v>#N/A</v>
      </c>
      <c r="AE388" s="268" t="e">
        <f>INDEX('SRIM Data'!$AA$9:$AA$140,AE386)</f>
        <v>#N/A</v>
      </c>
    </row>
    <row r="389" spans="30:31" x14ac:dyDescent="0.2">
      <c r="AD389" s="270" t="e">
        <f>AD388-AE389*(AD388-AD387)</f>
        <v>#N/A</v>
      </c>
      <c r="AE389" s="271" t="e">
        <f>(AE388-AE384)/(AE388-AE387)</f>
        <v>#N/A</v>
      </c>
    </row>
    <row r="390" spans="30:31" x14ac:dyDescent="0.2">
      <c r="AD390" s="272">
        <f>V379</f>
        <v>0</v>
      </c>
      <c r="AE390" s="273">
        <f>W379</f>
        <v>0</v>
      </c>
    </row>
    <row r="391" spans="30:31" x14ac:dyDescent="0.2">
      <c r="AD391" s="267" t="e">
        <f>MATCH(AD390,'SRIM Data'!$Z$9:$Z$140)</f>
        <v>#N/A</v>
      </c>
      <c r="AE391" s="268"/>
    </row>
    <row r="392" spans="30:31" x14ac:dyDescent="0.2">
      <c r="AD392" s="267" t="e">
        <f>AD391+1</f>
        <v>#N/A</v>
      </c>
      <c r="AE392" s="268"/>
    </row>
    <row r="393" spans="30:31" x14ac:dyDescent="0.2">
      <c r="AD393" s="269" t="e">
        <f>INDEX('SRIM Data'!$Z$9:$Z$140,AD391)</f>
        <v>#N/A</v>
      </c>
      <c r="AE393" s="268" t="e">
        <f>INDEX('SRIM Data'!$AA$9:$AA$140,AD391)</f>
        <v>#N/A</v>
      </c>
    </row>
    <row r="394" spans="30:31" x14ac:dyDescent="0.2">
      <c r="AD394" s="269" t="e">
        <f>INDEX('SRIM Data'!$Z$9:$Z$140,AD392)</f>
        <v>#N/A</v>
      </c>
      <c r="AE394" s="268" t="e">
        <f>INDEX('SRIM Data'!$AA$9:$AA$140,AD392)</f>
        <v>#N/A</v>
      </c>
    </row>
    <row r="395" spans="30:31" x14ac:dyDescent="0.2">
      <c r="AD395" s="267" t="e">
        <f>(AD394-AD390)/(AD394-AD393)</f>
        <v>#N/A</v>
      </c>
      <c r="AE395" s="268" t="e">
        <f>AE394-AD395*(AE394-AE393)</f>
        <v>#N/A</v>
      </c>
    </row>
    <row r="396" spans="30:31" x14ac:dyDescent="0.2">
      <c r="AD396" s="267"/>
      <c r="AE396" s="268" t="e">
        <f>AE395-AE390</f>
        <v>#N/A</v>
      </c>
    </row>
    <row r="397" spans="30:31" x14ac:dyDescent="0.2">
      <c r="AD397" s="267"/>
      <c r="AE397" s="268" t="e">
        <f>MATCH(AE396,'SRIM Data'!$AA$9:$AA$140)</f>
        <v>#N/A</v>
      </c>
    </row>
    <row r="398" spans="30:31" x14ac:dyDescent="0.2">
      <c r="AD398" s="267"/>
      <c r="AE398" s="268" t="e">
        <f>AE397+1</f>
        <v>#N/A</v>
      </c>
    </row>
    <row r="399" spans="30:31" x14ac:dyDescent="0.2">
      <c r="AD399" s="269" t="e">
        <f>INDEX('SRIM Data'!$Z$9:$Z$140,AE397)</f>
        <v>#N/A</v>
      </c>
      <c r="AE399" s="268" t="e">
        <f>INDEX('SRIM Data'!$AA$9:$AA$140,AE397)</f>
        <v>#N/A</v>
      </c>
    </row>
    <row r="400" spans="30:31" x14ac:dyDescent="0.2">
      <c r="AD400" s="269" t="e">
        <f>INDEX('SRIM Data'!$Z$9:$Z$140,AE398)</f>
        <v>#N/A</v>
      </c>
      <c r="AE400" s="268" t="e">
        <f>INDEX('SRIM Data'!$AA$9:$AA$140,AE398)</f>
        <v>#N/A</v>
      </c>
    </row>
    <row r="401" spans="30:31" x14ac:dyDescent="0.2">
      <c r="AD401" s="270" t="e">
        <f>AD400-AE401*(AD400-AD399)</f>
        <v>#N/A</v>
      </c>
      <c r="AE401" s="271" t="e">
        <f>(AE400-AE396)/(AE400-AE399)</f>
        <v>#N/A</v>
      </c>
    </row>
    <row r="402" spans="30:31" x14ac:dyDescent="0.2">
      <c r="AD402" s="272">
        <f>V402</f>
        <v>0</v>
      </c>
      <c r="AE402" s="273">
        <f>W402</f>
        <v>0</v>
      </c>
    </row>
    <row r="403" spans="30:31" x14ac:dyDescent="0.2">
      <c r="AD403" s="267" t="e">
        <f>MATCH(AD402,'SRIM Data'!$Z$9:$Z$140)</f>
        <v>#N/A</v>
      </c>
      <c r="AE403" s="268"/>
    </row>
    <row r="404" spans="30:31" x14ac:dyDescent="0.2">
      <c r="AD404" s="267" t="e">
        <f>AD403+1</f>
        <v>#N/A</v>
      </c>
      <c r="AE404" s="268"/>
    </row>
    <row r="405" spans="30:31" x14ac:dyDescent="0.2">
      <c r="AD405" s="269" t="e">
        <f>INDEX('SRIM Data'!$Z$9:$Z$140,AD403)</f>
        <v>#N/A</v>
      </c>
      <c r="AE405" s="268" t="e">
        <f>INDEX('SRIM Data'!$AA$9:$AA$140,AD403)</f>
        <v>#N/A</v>
      </c>
    </row>
    <row r="406" spans="30:31" x14ac:dyDescent="0.2">
      <c r="AD406" s="269" t="e">
        <f>INDEX('SRIM Data'!$Z$9:$Z$140,AD404)</f>
        <v>#N/A</v>
      </c>
      <c r="AE406" s="268" t="e">
        <f>INDEX('SRIM Data'!$AA$9:$AA$140,AD404)</f>
        <v>#N/A</v>
      </c>
    </row>
    <row r="407" spans="30:31" x14ac:dyDescent="0.2">
      <c r="AD407" s="267" t="e">
        <f>(AD406-AD402)/(AD406-AD405)</f>
        <v>#N/A</v>
      </c>
      <c r="AE407" s="268" t="e">
        <f>AE406-AD407*(AE406-AE405)</f>
        <v>#N/A</v>
      </c>
    </row>
    <row r="408" spans="30:31" x14ac:dyDescent="0.2">
      <c r="AD408" s="267"/>
      <c r="AE408" s="268" t="e">
        <f>AE407-AE402</f>
        <v>#N/A</v>
      </c>
    </row>
    <row r="409" spans="30:31" x14ac:dyDescent="0.2">
      <c r="AD409" s="267"/>
      <c r="AE409" s="268" t="e">
        <f>MATCH(AE408,'SRIM Data'!$AA$9:$AA$140)</f>
        <v>#N/A</v>
      </c>
    </row>
    <row r="410" spans="30:31" x14ac:dyDescent="0.2">
      <c r="AD410" s="267"/>
      <c r="AE410" s="268" t="e">
        <f>AE409+1</f>
        <v>#N/A</v>
      </c>
    </row>
    <row r="411" spans="30:31" x14ac:dyDescent="0.2">
      <c r="AD411" s="269" t="e">
        <f>INDEX('SRIM Data'!$Z$9:$Z$140,AE409)</f>
        <v>#N/A</v>
      </c>
      <c r="AE411" s="268" t="e">
        <f>INDEX('SRIM Data'!$AA$9:$AA$140,AE409)</f>
        <v>#N/A</v>
      </c>
    </row>
    <row r="412" spans="30:31" x14ac:dyDescent="0.2">
      <c r="AD412" s="269" t="e">
        <f>INDEX('SRIM Data'!$Z$9:$Z$140,AE410)</f>
        <v>#N/A</v>
      </c>
      <c r="AE412" s="268" t="e">
        <f>INDEX('SRIM Data'!$AA$9:$AA$140,AE410)</f>
        <v>#N/A</v>
      </c>
    </row>
    <row r="413" spans="30:31" x14ac:dyDescent="0.2">
      <c r="AD413" s="270" t="e">
        <f>AD412-AE413*(AD412-AD411)</f>
        <v>#N/A</v>
      </c>
      <c r="AE413" s="271" t="e">
        <f>(AE412-AE408)/(AE412-AE411)</f>
        <v>#N/A</v>
      </c>
    </row>
    <row r="414" spans="30:31" x14ac:dyDescent="0.2">
      <c r="AD414" s="272">
        <f>V403</f>
        <v>0</v>
      </c>
      <c r="AE414" s="273">
        <f>W403</f>
        <v>0</v>
      </c>
    </row>
    <row r="415" spans="30:31" x14ac:dyDescent="0.2">
      <c r="AD415" s="267" t="e">
        <f>MATCH(AD414,'SRIM Data'!$Z$9:$Z$140)</f>
        <v>#N/A</v>
      </c>
      <c r="AE415" s="268"/>
    </row>
    <row r="416" spans="30:31" x14ac:dyDescent="0.2">
      <c r="AD416" s="267" t="e">
        <f>AD415+1</f>
        <v>#N/A</v>
      </c>
      <c r="AE416" s="268"/>
    </row>
    <row r="417" spans="30:31" x14ac:dyDescent="0.2">
      <c r="AD417" s="269" t="e">
        <f>INDEX('SRIM Data'!$Z$9:$Z$140,AD415)</f>
        <v>#N/A</v>
      </c>
      <c r="AE417" s="268" t="e">
        <f>INDEX('SRIM Data'!$AA$9:$AA$140,AD415)</f>
        <v>#N/A</v>
      </c>
    </row>
    <row r="418" spans="30:31" x14ac:dyDescent="0.2">
      <c r="AD418" s="269" t="e">
        <f>INDEX('SRIM Data'!$Z$9:$Z$140,AD416)</f>
        <v>#N/A</v>
      </c>
      <c r="AE418" s="268" t="e">
        <f>INDEX('SRIM Data'!$AA$9:$AA$140,AD416)</f>
        <v>#N/A</v>
      </c>
    </row>
    <row r="419" spans="30:31" x14ac:dyDescent="0.2">
      <c r="AD419" s="267" t="e">
        <f>(AD418-AD414)/(AD418-AD417)</f>
        <v>#N/A</v>
      </c>
      <c r="AE419" s="268" t="e">
        <f>AE418-AD419*(AE418-AE417)</f>
        <v>#N/A</v>
      </c>
    </row>
    <row r="420" spans="30:31" x14ac:dyDescent="0.2">
      <c r="AD420" s="267"/>
      <c r="AE420" s="268" t="e">
        <f>AE419-AE414</f>
        <v>#N/A</v>
      </c>
    </row>
    <row r="421" spans="30:31" x14ac:dyDescent="0.2">
      <c r="AD421" s="267"/>
      <c r="AE421" s="268" t="e">
        <f>MATCH(AE420,'SRIM Data'!$AA$9:$AA$140)</f>
        <v>#N/A</v>
      </c>
    </row>
    <row r="422" spans="30:31" x14ac:dyDescent="0.2">
      <c r="AD422" s="267"/>
      <c r="AE422" s="268" t="e">
        <f>AE421+1</f>
        <v>#N/A</v>
      </c>
    </row>
    <row r="423" spans="30:31" x14ac:dyDescent="0.2">
      <c r="AD423" s="269" t="e">
        <f>INDEX('SRIM Data'!$Z$9:$Z$140,AE421)</f>
        <v>#N/A</v>
      </c>
      <c r="AE423" s="268" t="e">
        <f>INDEX('SRIM Data'!$AA$9:$AA$140,AE421)</f>
        <v>#N/A</v>
      </c>
    </row>
    <row r="424" spans="30:31" x14ac:dyDescent="0.2">
      <c r="AD424" s="269" t="e">
        <f>INDEX('SRIM Data'!$Z$9:$Z$140,AE422)</f>
        <v>#N/A</v>
      </c>
      <c r="AE424" s="268" t="e">
        <f>INDEX('SRIM Data'!$AA$9:$AA$140,AE422)</f>
        <v>#N/A</v>
      </c>
    </row>
    <row r="425" spans="30:31" x14ac:dyDescent="0.2">
      <c r="AD425" s="270" t="e">
        <f>AD424-AE425*(AD424-AD423)</f>
        <v>#N/A</v>
      </c>
      <c r="AE425" s="271" t="e">
        <f>(AE424-AE420)/(AE424-AE423)</f>
        <v>#N/A</v>
      </c>
    </row>
    <row r="426" spans="30:31" x14ac:dyDescent="0.2">
      <c r="AD426" s="272">
        <f>V426</f>
        <v>0</v>
      </c>
      <c r="AE426" s="273">
        <f>W426</f>
        <v>0</v>
      </c>
    </row>
    <row r="427" spans="30:31" x14ac:dyDescent="0.2">
      <c r="AD427" s="267" t="e">
        <f>MATCH(AD426,'SRIM Data'!$Z$9:$Z$140)</f>
        <v>#N/A</v>
      </c>
      <c r="AE427" s="268"/>
    </row>
    <row r="428" spans="30:31" x14ac:dyDescent="0.2">
      <c r="AD428" s="267" t="e">
        <f>AD427+1</f>
        <v>#N/A</v>
      </c>
      <c r="AE428" s="268"/>
    </row>
    <row r="429" spans="30:31" x14ac:dyDescent="0.2">
      <c r="AD429" s="269" t="e">
        <f>INDEX('SRIM Data'!$Z$9:$Z$140,AD427)</f>
        <v>#N/A</v>
      </c>
      <c r="AE429" s="268" t="e">
        <f>INDEX('SRIM Data'!$AA$9:$AA$140,AD427)</f>
        <v>#N/A</v>
      </c>
    </row>
    <row r="430" spans="30:31" x14ac:dyDescent="0.2">
      <c r="AD430" s="269" t="e">
        <f>INDEX('SRIM Data'!$Z$9:$Z$140,AD428)</f>
        <v>#N/A</v>
      </c>
      <c r="AE430" s="268" t="e">
        <f>INDEX('SRIM Data'!$AA$9:$AA$140,AD428)</f>
        <v>#N/A</v>
      </c>
    </row>
    <row r="431" spans="30:31" x14ac:dyDescent="0.2">
      <c r="AD431" s="267" t="e">
        <f>(AD430-AD426)/(AD430-AD429)</f>
        <v>#N/A</v>
      </c>
      <c r="AE431" s="268" t="e">
        <f>AE430-AD431*(AE430-AE429)</f>
        <v>#N/A</v>
      </c>
    </row>
    <row r="432" spans="30:31" x14ac:dyDescent="0.2">
      <c r="AD432" s="267"/>
      <c r="AE432" s="268" t="e">
        <f>AE431-AE426</f>
        <v>#N/A</v>
      </c>
    </row>
    <row r="433" spans="30:31" x14ac:dyDescent="0.2">
      <c r="AD433" s="267"/>
      <c r="AE433" s="268" t="e">
        <f>MATCH(AE432,'SRIM Data'!$AA$9:$AA$140)</f>
        <v>#N/A</v>
      </c>
    </row>
    <row r="434" spans="30:31" x14ac:dyDescent="0.2">
      <c r="AD434" s="267"/>
      <c r="AE434" s="268" t="e">
        <f>AE433+1</f>
        <v>#N/A</v>
      </c>
    </row>
    <row r="435" spans="30:31" x14ac:dyDescent="0.2">
      <c r="AD435" s="269" t="e">
        <f>INDEX('SRIM Data'!$Z$9:$Z$140,AE433)</f>
        <v>#N/A</v>
      </c>
      <c r="AE435" s="268" t="e">
        <f>INDEX('SRIM Data'!$AA$9:$AA$140,AE433)</f>
        <v>#N/A</v>
      </c>
    </row>
    <row r="436" spans="30:31" x14ac:dyDescent="0.2">
      <c r="AD436" s="269" t="e">
        <f>INDEX('SRIM Data'!$Z$9:$Z$140,AE434)</f>
        <v>#N/A</v>
      </c>
      <c r="AE436" s="268" t="e">
        <f>INDEX('SRIM Data'!$AA$9:$AA$140,AE434)</f>
        <v>#N/A</v>
      </c>
    </row>
    <row r="437" spans="30:31" x14ac:dyDescent="0.2">
      <c r="AD437" s="270" t="e">
        <f>AD436-AE437*(AD436-AD435)</f>
        <v>#N/A</v>
      </c>
      <c r="AE437" s="271" t="e">
        <f>(AE436-AE432)/(AE436-AE435)</f>
        <v>#N/A</v>
      </c>
    </row>
    <row r="438" spans="30:31" x14ac:dyDescent="0.2">
      <c r="AD438" s="272">
        <f>V427</f>
        <v>0</v>
      </c>
      <c r="AE438" s="273">
        <f>W427</f>
        <v>0</v>
      </c>
    </row>
    <row r="439" spans="30:31" x14ac:dyDescent="0.2">
      <c r="AD439" s="267" t="e">
        <f>MATCH(AD438,'SRIM Data'!$Z$9:$Z$140)</f>
        <v>#N/A</v>
      </c>
      <c r="AE439" s="268"/>
    </row>
    <row r="440" spans="30:31" x14ac:dyDescent="0.2">
      <c r="AD440" s="267" t="e">
        <f>AD439+1</f>
        <v>#N/A</v>
      </c>
      <c r="AE440" s="268"/>
    </row>
    <row r="441" spans="30:31" x14ac:dyDescent="0.2">
      <c r="AD441" s="269" t="e">
        <f>INDEX('SRIM Data'!$Z$9:$Z$140,AD439)</f>
        <v>#N/A</v>
      </c>
      <c r="AE441" s="268" t="e">
        <f>INDEX('SRIM Data'!$AA$9:$AA$140,AD439)</f>
        <v>#N/A</v>
      </c>
    </row>
    <row r="442" spans="30:31" x14ac:dyDescent="0.2">
      <c r="AD442" s="269" t="e">
        <f>INDEX('SRIM Data'!$Z$9:$Z$140,AD440)</f>
        <v>#N/A</v>
      </c>
      <c r="AE442" s="268" t="e">
        <f>INDEX('SRIM Data'!$AA$9:$AA$140,AD440)</f>
        <v>#N/A</v>
      </c>
    </row>
    <row r="443" spans="30:31" x14ac:dyDescent="0.2">
      <c r="AD443" s="267" t="e">
        <f>(AD442-AD438)/(AD442-AD441)</f>
        <v>#N/A</v>
      </c>
      <c r="AE443" s="268" t="e">
        <f>AE442-AD443*(AE442-AE441)</f>
        <v>#N/A</v>
      </c>
    </row>
    <row r="444" spans="30:31" x14ac:dyDescent="0.2">
      <c r="AD444" s="267"/>
      <c r="AE444" s="268" t="e">
        <f>AE443-AE438</f>
        <v>#N/A</v>
      </c>
    </row>
    <row r="445" spans="30:31" x14ac:dyDescent="0.2">
      <c r="AD445" s="267"/>
      <c r="AE445" s="268" t="e">
        <f>MATCH(AE444,'SRIM Data'!$AA$9:$AA$140)</f>
        <v>#N/A</v>
      </c>
    </row>
    <row r="446" spans="30:31" x14ac:dyDescent="0.2">
      <c r="AD446" s="267"/>
      <c r="AE446" s="268" t="e">
        <f>AE445+1</f>
        <v>#N/A</v>
      </c>
    </row>
    <row r="447" spans="30:31" x14ac:dyDescent="0.2">
      <c r="AD447" s="269" t="e">
        <f>INDEX('SRIM Data'!$Z$9:$Z$140,AE445)</f>
        <v>#N/A</v>
      </c>
      <c r="AE447" s="268" t="e">
        <f>INDEX('SRIM Data'!$AA$9:$AA$140,AE445)</f>
        <v>#N/A</v>
      </c>
    </row>
    <row r="448" spans="30:31" x14ac:dyDescent="0.2">
      <c r="AD448" s="269" t="e">
        <f>INDEX('SRIM Data'!$Z$9:$Z$140,AE446)</f>
        <v>#N/A</v>
      </c>
      <c r="AE448" s="268" t="e">
        <f>INDEX('SRIM Data'!$AA$9:$AA$140,AE446)</f>
        <v>#N/A</v>
      </c>
    </row>
    <row r="449" spans="30:31" x14ac:dyDescent="0.2">
      <c r="AD449" s="270" t="e">
        <f>AD448-AE449*(AD448-AD447)</f>
        <v>#N/A</v>
      </c>
      <c r="AE449" s="271" t="e">
        <f>(AE448-AE444)/(AE448-AE447)</f>
        <v>#N/A</v>
      </c>
    </row>
    <row r="450" spans="30:31" x14ac:dyDescent="0.2">
      <c r="AD450" s="272">
        <f>V450</f>
        <v>0</v>
      </c>
      <c r="AE450" s="273">
        <f>W450</f>
        <v>0</v>
      </c>
    </row>
    <row r="451" spans="30:31" x14ac:dyDescent="0.2">
      <c r="AD451" s="267" t="e">
        <f>MATCH(AD450,'SRIM Data'!$Z$9:$Z$140)</f>
        <v>#N/A</v>
      </c>
      <c r="AE451" s="268"/>
    </row>
    <row r="452" spans="30:31" x14ac:dyDescent="0.2">
      <c r="AD452" s="267" t="e">
        <f>AD451+1</f>
        <v>#N/A</v>
      </c>
      <c r="AE452" s="268"/>
    </row>
    <row r="453" spans="30:31" x14ac:dyDescent="0.2">
      <c r="AD453" s="269" t="e">
        <f>INDEX('SRIM Data'!$Z$9:$Z$140,AD451)</f>
        <v>#N/A</v>
      </c>
      <c r="AE453" s="268" t="e">
        <f>INDEX('SRIM Data'!$AA$9:$AA$140,AD451)</f>
        <v>#N/A</v>
      </c>
    </row>
    <row r="454" spans="30:31" x14ac:dyDescent="0.2">
      <c r="AD454" s="269" t="e">
        <f>INDEX('SRIM Data'!$Z$9:$Z$140,AD452)</f>
        <v>#N/A</v>
      </c>
      <c r="AE454" s="268" t="e">
        <f>INDEX('SRIM Data'!$AA$9:$AA$140,AD452)</f>
        <v>#N/A</v>
      </c>
    </row>
    <row r="455" spans="30:31" x14ac:dyDescent="0.2">
      <c r="AD455" s="267" t="e">
        <f>(AD454-AD450)/(AD454-AD453)</f>
        <v>#N/A</v>
      </c>
      <c r="AE455" s="268" t="e">
        <f>AE454-AD455*(AE454-AE453)</f>
        <v>#N/A</v>
      </c>
    </row>
    <row r="456" spans="30:31" x14ac:dyDescent="0.2">
      <c r="AD456" s="267"/>
      <c r="AE456" s="268" t="e">
        <f>AE455-AE450</f>
        <v>#N/A</v>
      </c>
    </row>
    <row r="457" spans="30:31" x14ac:dyDescent="0.2">
      <c r="AD457" s="267"/>
      <c r="AE457" s="268" t="e">
        <f>MATCH(AE456,'SRIM Data'!$AA$9:$AA$140)</f>
        <v>#N/A</v>
      </c>
    </row>
    <row r="458" spans="30:31" x14ac:dyDescent="0.2">
      <c r="AD458" s="267"/>
      <c r="AE458" s="268" t="e">
        <f>AE457+1</f>
        <v>#N/A</v>
      </c>
    </row>
    <row r="459" spans="30:31" x14ac:dyDescent="0.2">
      <c r="AD459" s="269" t="e">
        <f>INDEX('SRIM Data'!$Z$9:$Z$140,AE457)</f>
        <v>#N/A</v>
      </c>
      <c r="AE459" s="268" t="e">
        <f>INDEX('SRIM Data'!$AA$9:$AA$140,AE457)</f>
        <v>#N/A</v>
      </c>
    </row>
    <row r="460" spans="30:31" x14ac:dyDescent="0.2">
      <c r="AD460" s="269" t="e">
        <f>INDEX('SRIM Data'!$Z$9:$Z$140,AE458)</f>
        <v>#N/A</v>
      </c>
      <c r="AE460" s="268" t="e">
        <f>INDEX('SRIM Data'!$AA$9:$AA$140,AE458)</f>
        <v>#N/A</v>
      </c>
    </row>
    <row r="461" spans="30:31" x14ac:dyDescent="0.2">
      <c r="AD461" s="270" t="e">
        <f>AD460-AE461*(AD460-AD459)</f>
        <v>#N/A</v>
      </c>
      <c r="AE461" s="271" t="e">
        <f>(AE460-AE456)/(AE460-AE459)</f>
        <v>#N/A</v>
      </c>
    </row>
    <row r="462" spans="30:31" x14ac:dyDescent="0.2">
      <c r="AD462" s="272">
        <f>V451</f>
        <v>0</v>
      </c>
      <c r="AE462" s="273">
        <f>W451</f>
        <v>0</v>
      </c>
    </row>
    <row r="463" spans="30:31" x14ac:dyDescent="0.2">
      <c r="AD463" s="267" t="e">
        <f>MATCH(AD462,'SRIM Data'!$Z$9:$Z$140)</f>
        <v>#N/A</v>
      </c>
      <c r="AE463" s="268"/>
    </row>
    <row r="464" spans="30:31" x14ac:dyDescent="0.2">
      <c r="AD464" s="267" t="e">
        <f>AD463+1</f>
        <v>#N/A</v>
      </c>
      <c r="AE464" s="268"/>
    </row>
    <row r="465" spans="30:31" x14ac:dyDescent="0.2">
      <c r="AD465" s="269" t="e">
        <f>INDEX('SRIM Data'!$Z$9:$Z$140,AD463)</f>
        <v>#N/A</v>
      </c>
      <c r="AE465" s="268" t="e">
        <f>INDEX('SRIM Data'!$AA$9:$AA$140,AD463)</f>
        <v>#N/A</v>
      </c>
    </row>
    <row r="466" spans="30:31" x14ac:dyDescent="0.2">
      <c r="AD466" s="269" t="e">
        <f>INDEX('SRIM Data'!$Z$9:$Z$140,AD464)</f>
        <v>#N/A</v>
      </c>
      <c r="AE466" s="268" t="e">
        <f>INDEX('SRIM Data'!$AA$9:$AA$140,AD464)</f>
        <v>#N/A</v>
      </c>
    </row>
    <row r="467" spans="30:31" x14ac:dyDescent="0.2">
      <c r="AD467" s="267" t="e">
        <f>(AD466-AD462)/(AD466-AD465)</f>
        <v>#N/A</v>
      </c>
      <c r="AE467" s="268" t="e">
        <f>AE466-AD467*(AE466-AE465)</f>
        <v>#N/A</v>
      </c>
    </row>
    <row r="468" spans="30:31" x14ac:dyDescent="0.2">
      <c r="AD468" s="267"/>
      <c r="AE468" s="268" t="e">
        <f>AE467-AE462</f>
        <v>#N/A</v>
      </c>
    </row>
    <row r="469" spans="30:31" x14ac:dyDescent="0.2">
      <c r="AD469" s="267"/>
      <c r="AE469" s="268" t="e">
        <f>MATCH(AE468,'SRIM Data'!$AA$9:$AA$140)</f>
        <v>#N/A</v>
      </c>
    </row>
    <row r="470" spans="30:31" x14ac:dyDescent="0.2">
      <c r="AD470" s="267"/>
      <c r="AE470" s="268" t="e">
        <f>AE469+1</f>
        <v>#N/A</v>
      </c>
    </row>
    <row r="471" spans="30:31" x14ac:dyDescent="0.2">
      <c r="AD471" s="269" t="e">
        <f>INDEX('SRIM Data'!$Z$9:$Z$140,AE469)</f>
        <v>#N/A</v>
      </c>
      <c r="AE471" s="268" t="e">
        <f>INDEX('SRIM Data'!$AA$9:$AA$140,AE469)</f>
        <v>#N/A</v>
      </c>
    </row>
    <row r="472" spans="30:31" x14ac:dyDescent="0.2">
      <c r="AD472" s="269" t="e">
        <f>INDEX('SRIM Data'!$Z$9:$Z$140,AE470)</f>
        <v>#N/A</v>
      </c>
      <c r="AE472" s="268" t="e">
        <f>INDEX('SRIM Data'!$AA$9:$AA$140,AE470)</f>
        <v>#N/A</v>
      </c>
    </row>
    <row r="473" spans="30:31" x14ac:dyDescent="0.2">
      <c r="AD473" s="270" t="e">
        <f>AD472-AE473*(AD472-AD471)</f>
        <v>#N/A</v>
      </c>
      <c r="AE473" s="271" t="e">
        <f>(AE472-AE468)/(AE472-AE471)</f>
        <v>#N/A</v>
      </c>
    </row>
    <row r="474" spans="30:31" x14ac:dyDescent="0.2">
      <c r="AD474" s="272">
        <f>V474</f>
        <v>0</v>
      </c>
      <c r="AE474" s="273">
        <f>W474</f>
        <v>0</v>
      </c>
    </row>
    <row r="475" spans="30:31" x14ac:dyDescent="0.2">
      <c r="AD475" s="267" t="e">
        <f>MATCH(AD474,'SRIM Data'!$Z$9:$Z$140)</f>
        <v>#N/A</v>
      </c>
      <c r="AE475" s="268"/>
    </row>
    <row r="476" spans="30:31" x14ac:dyDescent="0.2">
      <c r="AD476" s="267" t="e">
        <f>AD475+1</f>
        <v>#N/A</v>
      </c>
      <c r="AE476" s="268"/>
    </row>
    <row r="477" spans="30:31" x14ac:dyDescent="0.2">
      <c r="AD477" s="269" t="e">
        <f>INDEX('SRIM Data'!$Z$9:$Z$140,AD475)</f>
        <v>#N/A</v>
      </c>
      <c r="AE477" s="268" t="e">
        <f>INDEX('SRIM Data'!$AA$9:$AA$140,AD475)</f>
        <v>#N/A</v>
      </c>
    </row>
    <row r="478" spans="30:31" x14ac:dyDescent="0.2">
      <c r="AD478" s="269" t="e">
        <f>INDEX('SRIM Data'!$Z$9:$Z$140,AD476)</f>
        <v>#N/A</v>
      </c>
      <c r="AE478" s="268" t="e">
        <f>INDEX('SRIM Data'!$AA$9:$AA$140,AD476)</f>
        <v>#N/A</v>
      </c>
    </row>
    <row r="479" spans="30:31" x14ac:dyDescent="0.2">
      <c r="AD479" s="267" t="e">
        <f>(AD478-AD474)/(AD478-AD477)</f>
        <v>#N/A</v>
      </c>
      <c r="AE479" s="268" t="e">
        <f>AE478-AD479*(AE478-AE477)</f>
        <v>#N/A</v>
      </c>
    </row>
    <row r="480" spans="30:31" x14ac:dyDescent="0.2">
      <c r="AD480" s="267"/>
      <c r="AE480" s="268" t="e">
        <f>AE479-AE474</f>
        <v>#N/A</v>
      </c>
    </row>
    <row r="481" spans="30:31" x14ac:dyDescent="0.2">
      <c r="AD481" s="267"/>
      <c r="AE481" s="268" t="e">
        <f>MATCH(AE480,'SRIM Data'!$AA$9:$AA$140)</f>
        <v>#N/A</v>
      </c>
    </row>
    <row r="482" spans="30:31" x14ac:dyDescent="0.2">
      <c r="AD482" s="267"/>
      <c r="AE482" s="268" t="e">
        <f>AE481+1</f>
        <v>#N/A</v>
      </c>
    </row>
    <row r="483" spans="30:31" x14ac:dyDescent="0.2">
      <c r="AD483" s="269" t="e">
        <f>INDEX('SRIM Data'!$Z$9:$Z$140,AE481)</f>
        <v>#N/A</v>
      </c>
      <c r="AE483" s="268" t="e">
        <f>INDEX('SRIM Data'!$AA$9:$AA$140,AE481)</f>
        <v>#N/A</v>
      </c>
    </row>
    <row r="484" spans="30:31" x14ac:dyDescent="0.2">
      <c r="AD484" s="269" t="e">
        <f>INDEX('SRIM Data'!$Z$9:$Z$140,AE482)</f>
        <v>#N/A</v>
      </c>
      <c r="AE484" s="268" t="e">
        <f>INDEX('SRIM Data'!$AA$9:$AA$140,AE482)</f>
        <v>#N/A</v>
      </c>
    </row>
    <row r="485" spans="30:31" x14ac:dyDescent="0.2">
      <c r="AD485" s="270" t="e">
        <f>AD484-AE485*(AD484-AD483)</f>
        <v>#N/A</v>
      </c>
      <c r="AE485" s="271" t="e">
        <f>(AE484-AE480)/(AE484-AE483)</f>
        <v>#N/A</v>
      </c>
    </row>
    <row r="486" spans="30:31" x14ac:dyDescent="0.2">
      <c r="AD486" s="272">
        <f>V475</f>
        <v>0</v>
      </c>
      <c r="AE486" s="273">
        <f>W475</f>
        <v>0</v>
      </c>
    </row>
    <row r="487" spans="30:31" x14ac:dyDescent="0.2">
      <c r="AD487" s="267" t="e">
        <f>MATCH(AD486,'SRIM Data'!$Z$9:$Z$140)</f>
        <v>#N/A</v>
      </c>
      <c r="AE487" s="268"/>
    </row>
    <row r="488" spans="30:31" x14ac:dyDescent="0.2">
      <c r="AD488" s="267" t="e">
        <f>AD487+1</f>
        <v>#N/A</v>
      </c>
      <c r="AE488" s="268"/>
    </row>
    <row r="489" spans="30:31" x14ac:dyDescent="0.2">
      <c r="AD489" s="269" t="e">
        <f>INDEX('SRIM Data'!$Z$9:$Z$140,AD487)</f>
        <v>#N/A</v>
      </c>
      <c r="AE489" s="268" t="e">
        <f>INDEX('SRIM Data'!$AA$9:$AA$140,AD487)</f>
        <v>#N/A</v>
      </c>
    </row>
    <row r="490" spans="30:31" x14ac:dyDescent="0.2">
      <c r="AD490" s="269" t="e">
        <f>INDEX('SRIM Data'!$Z$9:$Z$140,AD488)</f>
        <v>#N/A</v>
      </c>
      <c r="AE490" s="268" t="e">
        <f>INDEX('SRIM Data'!$AA$9:$AA$140,AD488)</f>
        <v>#N/A</v>
      </c>
    </row>
    <row r="491" spans="30:31" x14ac:dyDescent="0.2">
      <c r="AD491" s="267" t="e">
        <f>(AD490-AD486)/(AD490-AD489)</f>
        <v>#N/A</v>
      </c>
      <c r="AE491" s="268" t="e">
        <f>AE490-AD491*(AE490-AE489)</f>
        <v>#N/A</v>
      </c>
    </row>
    <row r="492" spans="30:31" x14ac:dyDescent="0.2">
      <c r="AD492" s="267"/>
      <c r="AE492" s="268" t="e">
        <f>AE491-AE486</f>
        <v>#N/A</v>
      </c>
    </row>
    <row r="493" spans="30:31" x14ac:dyDescent="0.2">
      <c r="AD493" s="267"/>
      <c r="AE493" s="268" t="e">
        <f>MATCH(AE492,'SRIM Data'!$AA$9:$AA$140)</f>
        <v>#N/A</v>
      </c>
    </row>
    <row r="494" spans="30:31" x14ac:dyDescent="0.2">
      <c r="AD494" s="267"/>
      <c r="AE494" s="268" t="e">
        <f>AE493+1</f>
        <v>#N/A</v>
      </c>
    </row>
    <row r="495" spans="30:31" x14ac:dyDescent="0.2">
      <c r="AD495" s="269" t="e">
        <f>INDEX('SRIM Data'!$Z$9:$Z$140,AE493)</f>
        <v>#N/A</v>
      </c>
      <c r="AE495" s="268" t="e">
        <f>INDEX('SRIM Data'!$AA$9:$AA$140,AE493)</f>
        <v>#N/A</v>
      </c>
    </row>
    <row r="496" spans="30:31" x14ac:dyDescent="0.2">
      <c r="AD496" s="269" t="e">
        <f>INDEX('SRIM Data'!$Z$9:$Z$140,AE494)</f>
        <v>#N/A</v>
      </c>
      <c r="AE496" s="268" t="e">
        <f>INDEX('SRIM Data'!$AA$9:$AA$140,AE494)</f>
        <v>#N/A</v>
      </c>
    </row>
    <row r="497" spans="30:31" x14ac:dyDescent="0.2">
      <c r="AD497" s="270" t="e">
        <f>AD496-AE497*(AD496-AD495)</f>
        <v>#N/A</v>
      </c>
      <c r="AE497" s="271" t="e">
        <f>(AE496-AE492)/(AE496-AE495)</f>
        <v>#N/A</v>
      </c>
    </row>
    <row r="498" spans="30:31" x14ac:dyDescent="0.2">
      <c r="AD498" s="272">
        <f>V498</f>
        <v>0</v>
      </c>
      <c r="AE498" s="273">
        <f>W498</f>
        <v>0</v>
      </c>
    </row>
    <row r="499" spans="30:31" x14ac:dyDescent="0.2">
      <c r="AD499" s="267" t="e">
        <f>MATCH(AD498,'SRIM Data'!$Z$9:$Z$140)</f>
        <v>#N/A</v>
      </c>
      <c r="AE499" s="268"/>
    </row>
    <row r="500" spans="30:31" x14ac:dyDescent="0.2">
      <c r="AD500" s="267" t="e">
        <f>AD499+1</f>
        <v>#N/A</v>
      </c>
      <c r="AE500" s="268"/>
    </row>
    <row r="501" spans="30:31" x14ac:dyDescent="0.2">
      <c r="AD501" s="269" t="e">
        <f>INDEX('SRIM Data'!$Z$9:$Z$140,AD499)</f>
        <v>#N/A</v>
      </c>
      <c r="AE501" s="268" t="e">
        <f>INDEX('SRIM Data'!$AA$9:$AA$140,AD499)</f>
        <v>#N/A</v>
      </c>
    </row>
    <row r="502" spans="30:31" x14ac:dyDescent="0.2">
      <c r="AD502" s="269" t="e">
        <f>INDEX('SRIM Data'!$Z$9:$Z$140,AD500)</f>
        <v>#N/A</v>
      </c>
      <c r="AE502" s="268" t="e">
        <f>INDEX('SRIM Data'!$AA$9:$AA$140,AD500)</f>
        <v>#N/A</v>
      </c>
    </row>
    <row r="503" spans="30:31" x14ac:dyDescent="0.2">
      <c r="AD503" s="267" t="e">
        <f>(AD502-AD498)/(AD502-AD501)</f>
        <v>#N/A</v>
      </c>
      <c r="AE503" s="268" t="e">
        <f>AE502-AD503*(AE502-AE501)</f>
        <v>#N/A</v>
      </c>
    </row>
    <row r="504" spans="30:31" x14ac:dyDescent="0.2">
      <c r="AD504" s="267"/>
      <c r="AE504" s="268" t="e">
        <f>AE503-AE498</f>
        <v>#N/A</v>
      </c>
    </row>
    <row r="505" spans="30:31" x14ac:dyDescent="0.2">
      <c r="AD505" s="267"/>
      <c r="AE505" s="268" t="e">
        <f>MATCH(AE504,'SRIM Data'!$AA$9:$AA$140)</f>
        <v>#N/A</v>
      </c>
    </row>
    <row r="506" spans="30:31" x14ac:dyDescent="0.2">
      <c r="AD506" s="267"/>
      <c r="AE506" s="268" t="e">
        <f>AE505+1</f>
        <v>#N/A</v>
      </c>
    </row>
    <row r="507" spans="30:31" x14ac:dyDescent="0.2">
      <c r="AD507" s="269" t="e">
        <f>INDEX('SRIM Data'!$Z$9:$Z$140,AE505)</f>
        <v>#N/A</v>
      </c>
      <c r="AE507" s="268" t="e">
        <f>INDEX('SRIM Data'!$AA$9:$AA$140,AE505)</f>
        <v>#N/A</v>
      </c>
    </row>
    <row r="508" spans="30:31" x14ac:dyDescent="0.2">
      <c r="AD508" s="269" t="e">
        <f>INDEX('SRIM Data'!$Z$9:$Z$140,AE506)</f>
        <v>#N/A</v>
      </c>
      <c r="AE508" s="268" t="e">
        <f>INDEX('SRIM Data'!$AA$9:$AA$140,AE506)</f>
        <v>#N/A</v>
      </c>
    </row>
    <row r="509" spans="30:31" x14ac:dyDescent="0.2">
      <c r="AD509" s="270" t="e">
        <f>AD508-AE509*(AD508-AD507)</f>
        <v>#N/A</v>
      </c>
      <c r="AE509" s="271" t="e">
        <f>(AE508-AE504)/(AE508-AE507)</f>
        <v>#N/A</v>
      </c>
    </row>
    <row r="510" spans="30:31" x14ac:dyDescent="0.2">
      <c r="AD510" s="272">
        <f>V499</f>
        <v>0</v>
      </c>
      <c r="AE510" s="273">
        <f>W499</f>
        <v>0</v>
      </c>
    </row>
    <row r="511" spans="30:31" x14ac:dyDescent="0.2">
      <c r="AD511" s="267" t="e">
        <f>MATCH(AD510,'SRIM Data'!$Z$9:$Z$140)</f>
        <v>#N/A</v>
      </c>
      <c r="AE511" s="268"/>
    </row>
    <row r="512" spans="30:31" x14ac:dyDescent="0.2">
      <c r="AD512" s="267" t="e">
        <f>AD511+1</f>
        <v>#N/A</v>
      </c>
      <c r="AE512" s="268"/>
    </row>
    <row r="513" spans="30:31" x14ac:dyDescent="0.2">
      <c r="AD513" s="269" t="e">
        <f>INDEX('SRIM Data'!$Z$9:$Z$140,AD511)</f>
        <v>#N/A</v>
      </c>
      <c r="AE513" s="268" t="e">
        <f>INDEX('SRIM Data'!$AA$9:$AA$140,AD511)</f>
        <v>#N/A</v>
      </c>
    </row>
    <row r="514" spans="30:31" x14ac:dyDescent="0.2">
      <c r="AD514" s="269" t="e">
        <f>INDEX('SRIM Data'!$Z$9:$Z$140,AD512)</f>
        <v>#N/A</v>
      </c>
      <c r="AE514" s="268" t="e">
        <f>INDEX('SRIM Data'!$AA$9:$AA$140,AD512)</f>
        <v>#N/A</v>
      </c>
    </row>
    <row r="515" spans="30:31" x14ac:dyDescent="0.2">
      <c r="AD515" s="267" t="e">
        <f>(AD514-AD510)/(AD514-AD513)</f>
        <v>#N/A</v>
      </c>
      <c r="AE515" s="268" t="e">
        <f>AE514-AD515*(AE514-AE513)</f>
        <v>#N/A</v>
      </c>
    </row>
    <row r="516" spans="30:31" x14ac:dyDescent="0.2">
      <c r="AD516" s="267"/>
      <c r="AE516" s="268" t="e">
        <f>AE515-AE510</f>
        <v>#N/A</v>
      </c>
    </row>
    <row r="517" spans="30:31" x14ac:dyDescent="0.2">
      <c r="AD517" s="267"/>
      <c r="AE517" s="268" t="e">
        <f>MATCH(AE516,'SRIM Data'!$AA$9:$AA$140)</f>
        <v>#N/A</v>
      </c>
    </row>
    <row r="518" spans="30:31" x14ac:dyDescent="0.2">
      <c r="AD518" s="267"/>
      <c r="AE518" s="268" t="e">
        <f>AE517+1</f>
        <v>#N/A</v>
      </c>
    </row>
    <row r="519" spans="30:31" x14ac:dyDescent="0.2">
      <c r="AD519" s="269" t="e">
        <f>INDEX('SRIM Data'!$Z$9:$Z$140,AE517)</f>
        <v>#N/A</v>
      </c>
      <c r="AE519" s="268" t="e">
        <f>INDEX('SRIM Data'!$AA$9:$AA$140,AE517)</f>
        <v>#N/A</v>
      </c>
    </row>
    <row r="520" spans="30:31" x14ac:dyDescent="0.2">
      <c r="AD520" s="269" t="e">
        <f>INDEX('SRIM Data'!$Z$9:$Z$140,AE518)</f>
        <v>#N/A</v>
      </c>
      <c r="AE520" s="268" t="e">
        <f>INDEX('SRIM Data'!$AA$9:$AA$140,AE518)</f>
        <v>#N/A</v>
      </c>
    </row>
    <row r="521" spans="30:31" x14ac:dyDescent="0.2">
      <c r="AD521" s="270" t="e">
        <f>AD520-AE521*(AD520-AD519)</f>
        <v>#N/A</v>
      </c>
      <c r="AE521" s="271" t="e">
        <f>(AE520-AE516)/(AE520-AE519)</f>
        <v>#N/A</v>
      </c>
    </row>
    <row r="522" spans="30:31" x14ac:dyDescent="0.2">
      <c r="AD522" s="272">
        <f>V522</f>
        <v>0</v>
      </c>
      <c r="AE522" s="273">
        <f>W522</f>
        <v>0</v>
      </c>
    </row>
    <row r="523" spans="30:31" x14ac:dyDescent="0.2">
      <c r="AD523" s="267" t="e">
        <f>MATCH(AD522,'SRIM Data'!$Z$9:$Z$140)</f>
        <v>#N/A</v>
      </c>
      <c r="AE523" s="268"/>
    </row>
    <row r="524" spans="30:31" x14ac:dyDescent="0.2">
      <c r="AD524" s="267" t="e">
        <f>AD523+1</f>
        <v>#N/A</v>
      </c>
      <c r="AE524" s="268"/>
    </row>
    <row r="525" spans="30:31" x14ac:dyDescent="0.2">
      <c r="AD525" s="269" t="e">
        <f>INDEX('SRIM Data'!$Z$9:$Z$140,AD523)</f>
        <v>#N/A</v>
      </c>
      <c r="AE525" s="268" t="e">
        <f>INDEX('SRIM Data'!$AA$9:$AA$140,AD523)</f>
        <v>#N/A</v>
      </c>
    </row>
    <row r="526" spans="30:31" x14ac:dyDescent="0.2">
      <c r="AD526" s="269" t="e">
        <f>INDEX('SRIM Data'!$Z$9:$Z$140,AD524)</f>
        <v>#N/A</v>
      </c>
      <c r="AE526" s="268" t="e">
        <f>INDEX('SRIM Data'!$AA$9:$AA$140,AD524)</f>
        <v>#N/A</v>
      </c>
    </row>
    <row r="527" spans="30:31" x14ac:dyDescent="0.2">
      <c r="AD527" s="267" t="e">
        <f>(AD526-AD522)/(AD526-AD525)</f>
        <v>#N/A</v>
      </c>
      <c r="AE527" s="268" t="e">
        <f>AE526-AD527*(AE526-AE525)</f>
        <v>#N/A</v>
      </c>
    </row>
    <row r="528" spans="30:31" x14ac:dyDescent="0.2">
      <c r="AD528" s="267"/>
      <c r="AE528" s="268" t="e">
        <f>AE527-AE522</f>
        <v>#N/A</v>
      </c>
    </row>
    <row r="529" spans="30:31" x14ac:dyDescent="0.2">
      <c r="AD529" s="267"/>
      <c r="AE529" s="268" t="e">
        <f>MATCH(AE528,'SRIM Data'!$AA$9:$AA$140)</f>
        <v>#N/A</v>
      </c>
    </row>
    <row r="530" spans="30:31" x14ac:dyDescent="0.2">
      <c r="AD530" s="267"/>
      <c r="AE530" s="268" t="e">
        <f>AE529+1</f>
        <v>#N/A</v>
      </c>
    </row>
    <row r="531" spans="30:31" x14ac:dyDescent="0.2">
      <c r="AD531" s="269" t="e">
        <f>INDEX('SRIM Data'!$Z$9:$Z$140,AE529)</f>
        <v>#N/A</v>
      </c>
      <c r="AE531" s="268" t="e">
        <f>INDEX('SRIM Data'!$AA$9:$AA$140,AE529)</f>
        <v>#N/A</v>
      </c>
    </row>
    <row r="532" spans="30:31" x14ac:dyDescent="0.2">
      <c r="AD532" s="269" t="e">
        <f>INDEX('SRIM Data'!$Z$9:$Z$140,AE530)</f>
        <v>#N/A</v>
      </c>
      <c r="AE532" s="268" t="e">
        <f>INDEX('SRIM Data'!$AA$9:$AA$140,AE530)</f>
        <v>#N/A</v>
      </c>
    </row>
    <row r="533" spans="30:31" x14ac:dyDescent="0.2">
      <c r="AD533" s="270" t="e">
        <f>AD532-AE533*(AD532-AD531)</f>
        <v>#N/A</v>
      </c>
      <c r="AE533" s="271" t="e">
        <f>(AE532-AE528)/(AE532-AE531)</f>
        <v>#N/A</v>
      </c>
    </row>
    <row r="534" spans="30:31" x14ac:dyDescent="0.2">
      <c r="AD534" s="272">
        <f>V523</f>
        <v>0</v>
      </c>
      <c r="AE534" s="273">
        <f>W523</f>
        <v>0</v>
      </c>
    </row>
    <row r="535" spans="30:31" x14ac:dyDescent="0.2">
      <c r="AD535" s="267" t="e">
        <f>MATCH(AD534,'SRIM Data'!$Z$9:$Z$140)</f>
        <v>#N/A</v>
      </c>
      <c r="AE535" s="268"/>
    </row>
    <row r="536" spans="30:31" x14ac:dyDescent="0.2">
      <c r="AD536" s="267" t="e">
        <f>AD535+1</f>
        <v>#N/A</v>
      </c>
      <c r="AE536" s="268"/>
    </row>
    <row r="537" spans="30:31" x14ac:dyDescent="0.2">
      <c r="AD537" s="269" t="e">
        <f>INDEX('SRIM Data'!$Z$9:$Z$140,AD535)</f>
        <v>#N/A</v>
      </c>
      <c r="AE537" s="268" t="e">
        <f>INDEX('SRIM Data'!$AA$9:$AA$140,AD535)</f>
        <v>#N/A</v>
      </c>
    </row>
    <row r="538" spans="30:31" x14ac:dyDescent="0.2">
      <c r="AD538" s="269" t="e">
        <f>INDEX('SRIM Data'!$Z$9:$Z$140,AD536)</f>
        <v>#N/A</v>
      </c>
      <c r="AE538" s="268" t="e">
        <f>INDEX('SRIM Data'!$AA$9:$AA$140,AD536)</f>
        <v>#N/A</v>
      </c>
    </row>
    <row r="539" spans="30:31" x14ac:dyDescent="0.2">
      <c r="AD539" s="267" t="e">
        <f>(AD538-AD534)/(AD538-AD537)</f>
        <v>#N/A</v>
      </c>
      <c r="AE539" s="268" t="e">
        <f>AE538-AD539*(AE538-AE537)</f>
        <v>#N/A</v>
      </c>
    </row>
    <row r="540" spans="30:31" x14ac:dyDescent="0.2">
      <c r="AD540" s="267"/>
      <c r="AE540" s="268" t="e">
        <f>AE539-AE534</f>
        <v>#N/A</v>
      </c>
    </row>
    <row r="541" spans="30:31" x14ac:dyDescent="0.2">
      <c r="AD541" s="267"/>
      <c r="AE541" s="268" t="e">
        <f>MATCH(AE540,'SRIM Data'!$AA$9:$AA$140)</f>
        <v>#N/A</v>
      </c>
    </row>
    <row r="542" spans="30:31" x14ac:dyDescent="0.2">
      <c r="AD542" s="267"/>
      <c r="AE542" s="268" t="e">
        <f>AE541+1</f>
        <v>#N/A</v>
      </c>
    </row>
    <row r="543" spans="30:31" x14ac:dyDescent="0.2">
      <c r="AD543" s="269" t="e">
        <f>INDEX('SRIM Data'!$Z$9:$Z$140,AE541)</f>
        <v>#N/A</v>
      </c>
      <c r="AE543" s="268" t="e">
        <f>INDEX('SRIM Data'!$AA$9:$AA$140,AE541)</f>
        <v>#N/A</v>
      </c>
    </row>
    <row r="544" spans="30:31" x14ac:dyDescent="0.2">
      <c r="AD544" s="269" t="e">
        <f>INDEX('SRIM Data'!$Z$9:$Z$140,AE542)</f>
        <v>#N/A</v>
      </c>
      <c r="AE544" s="268" t="e">
        <f>INDEX('SRIM Data'!$AA$9:$AA$140,AE542)</f>
        <v>#N/A</v>
      </c>
    </row>
    <row r="545" spans="30:31" x14ac:dyDescent="0.2">
      <c r="AD545" s="270" t="e">
        <f>AD544-AE545*(AD544-AD543)</f>
        <v>#N/A</v>
      </c>
      <c r="AE545" s="271" t="e">
        <f>(AE544-AE540)/(AE544-AE543)</f>
        <v>#N/A</v>
      </c>
    </row>
    <row r="546" spans="30:31" x14ac:dyDescent="0.2">
      <c r="AD546" s="272">
        <f>V546</f>
        <v>0</v>
      </c>
      <c r="AE546" s="273">
        <f>W546</f>
        <v>0</v>
      </c>
    </row>
    <row r="547" spans="30:31" x14ac:dyDescent="0.2">
      <c r="AD547" s="267" t="e">
        <f>MATCH(AD546,'SRIM Data'!$Z$9:$Z$140)</f>
        <v>#N/A</v>
      </c>
      <c r="AE547" s="268"/>
    </row>
    <row r="548" spans="30:31" x14ac:dyDescent="0.2">
      <c r="AD548" s="267" t="e">
        <f>AD547+1</f>
        <v>#N/A</v>
      </c>
      <c r="AE548" s="268"/>
    </row>
    <row r="549" spans="30:31" x14ac:dyDescent="0.2">
      <c r="AD549" s="269" t="e">
        <f>INDEX('SRIM Data'!$Z$9:$Z$140,AD547)</f>
        <v>#N/A</v>
      </c>
      <c r="AE549" s="268" t="e">
        <f>INDEX('SRIM Data'!$AA$9:$AA$140,AD547)</f>
        <v>#N/A</v>
      </c>
    </row>
    <row r="550" spans="30:31" x14ac:dyDescent="0.2">
      <c r="AD550" s="269" t="e">
        <f>INDEX('SRIM Data'!$Z$9:$Z$140,AD548)</f>
        <v>#N/A</v>
      </c>
      <c r="AE550" s="268" t="e">
        <f>INDEX('SRIM Data'!$AA$9:$AA$140,AD548)</f>
        <v>#N/A</v>
      </c>
    </row>
    <row r="551" spans="30:31" x14ac:dyDescent="0.2">
      <c r="AD551" s="267" t="e">
        <f>(AD550-AD546)/(AD550-AD549)</f>
        <v>#N/A</v>
      </c>
      <c r="AE551" s="268" t="e">
        <f>AE550-AD551*(AE550-AE549)</f>
        <v>#N/A</v>
      </c>
    </row>
    <row r="552" spans="30:31" x14ac:dyDescent="0.2">
      <c r="AD552" s="267"/>
      <c r="AE552" s="268" t="e">
        <f>AE551-AE546</f>
        <v>#N/A</v>
      </c>
    </row>
    <row r="553" spans="30:31" x14ac:dyDescent="0.2">
      <c r="AD553" s="267"/>
      <c r="AE553" s="268" t="e">
        <f>MATCH(AE552,'SRIM Data'!$AA$9:$AA$140)</f>
        <v>#N/A</v>
      </c>
    </row>
    <row r="554" spans="30:31" x14ac:dyDescent="0.2">
      <c r="AD554" s="267"/>
      <c r="AE554" s="268" t="e">
        <f>AE553+1</f>
        <v>#N/A</v>
      </c>
    </row>
    <row r="555" spans="30:31" x14ac:dyDescent="0.2">
      <c r="AD555" s="269" t="e">
        <f>INDEX('SRIM Data'!$Z$9:$Z$140,AE553)</f>
        <v>#N/A</v>
      </c>
      <c r="AE555" s="268" t="e">
        <f>INDEX('SRIM Data'!$AA$9:$AA$140,AE553)</f>
        <v>#N/A</v>
      </c>
    </row>
    <row r="556" spans="30:31" x14ac:dyDescent="0.2">
      <c r="AD556" s="269" t="e">
        <f>INDEX('SRIM Data'!$Z$9:$Z$140,AE554)</f>
        <v>#N/A</v>
      </c>
      <c r="AE556" s="268" t="e">
        <f>INDEX('SRIM Data'!$AA$9:$AA$140,AE554)</f>
        <v>#N/A</v>
      </c>
    </row>
    <row r="557" spans="30:31" x14ac:dyDescent="0.2">
      <c r="AD557" s="270" t="e">
        <f>AD556-AE557*(AD556-AD555)</f>
        <v>#N/A</v>
      </c>
      <c r="AE557" s="271" t="e">
        <f>(AE556-AE552)/(AE556-AE555)</f>
        <v>#N/A</v>
      </c>
    </row>
    <row r="558" spans="30:31" x14ac:dyDescent="0.2">
      <c r="AD558" s="272">
        <f>V547</f>
        <v>0</v>
      </c>
      <c r="AE558" s="273">
        <f>W547</f>
        <v>0</v>
      </c>
    </row>
    <row r="559" spans="30:31" x14ac:dyDescent="0.2">
      <c r="AD559" s="267" t="e">
        <f>MATCH(AD558,'SRIM Data'!$Z$9:$Z$140)</f>
        <v>#N/A</v>
      </c>
      <c r="AE559" s="268"/>
    </row>
    <row r="560" spans="30:31" x14ac:dyDescent="0.2">
      <c r="AD560" s="267" t="e">
        <f>AD559+1</f>
        <v>#N/A</v>
      </c>
      <c r="AE560" s="268"/>
    </row>
    <row r="561" spans="30:31" x14ac:dyDescent="0.2">
      <c r="AD561" s="269" t="e">
        <f>INDEX('SRIM Data'!$Z$9:$Z$140,AD559)</f>
        <v>#N/A</v>
      </c>
      <c r="AE561" s="268" t="e">
        <f>INDEX('SRIM Data'!$AA$9:$AA$140,AD559)</f>
        <v>#N/A</v>
      </c>
    </row>
    <row r="562" spans="30:31" x14ac:dyDescent="0.2">
      <c r="AD562" s="269" t="e">
        <f>INDEX('SRIM Data'!$Z$9:$Z$140,AD560)</f>
        <v>#N/A</v>
      </c>
      <c r="AE562" s="268" t="e">
        <f>INDEX('SRIM Data'!$AA$9:$AA$140,AD560)</f>
        <v>#N/A</v>
      </c>
    </row>
    <row r="563" spans="30:31" x14ac:dyDescent="0.2">
      <c r="AD563" s="267" t="e">
        <f>(AD562-AD558)/(AD562-AD561)</f>
        <v>#N/A</v>
      </c>
      <c r="AE563" s="268" t="e">
        <f>AE562-AD563*(AE562-AE561)</f>
        <v>#N/A</v>
      </c>
    </row>
    <row r="564" spans="30:31" x14ac:dyDescent="0.2">
      <c r="AD564" s="267"/>
      <c r="AE564" s="268" t="e">
        <f>AE563-AE558</f>
        <v>#N/A</v>
      </c>
    </row>
    <row r="565" spans="30:31" x14ac:dyDescent="0.2">
      <c r="AD565" s="267"/>
      <c r="AE565" s="268" t="e">
        <f>MATCH(AE564,'SRIM Data'!$AA$9:$AA$140)</f>
        <v>#N/A</v>
      </c>
    </row>
    <row r="566" spans="30:31" x14ac:dyDescent="0.2">
      <c r="AD566" s="267"/>
      <c r="AE566" s="268" t="e">
        <f>AE565+1</f>
        <v>#N/A</v>
      </c>
    </row>
    <row r="567" spans="30:31" x14ac:dyDescent="0.2">
      <c r="AD567" s="269" t="e">
        <f>INDEX('SRIM Data'!$Z$9:$Z$140,AE565)</f>
        <v>#N/A</v>
      </c>
      <c r="AE567" s="268" t="e">
        <f>INDEX('SRIM Data'!$AA$9:$AA$140,AE565)</f>
        <v>#N/A</v>
      </c>
    </row>
    <row r="568" spans="30:31" x14ac:dyDescent="0.2">
      <c r="AD568" s="269" t="e">
        <f>INDEX('SRIM Data'!$Z$9:$Z$140,AE566)</f>
        <v>#N/A</v>
      </c>
      <c r="AE568" s="268" t="e">
        <f>INDEX('SRIM Data'!$AA$9:$AA$140,AE566)</f>
        <v>#N/A</v>
      </c>
    </row>
    <row r="569" spans="30:31" x14ac:dyDescent="0.2">
      <c r="AD569" s="270" t="e">
        <f>AD568-AE569*(AD568-AD567)</f>
        <v>#N/A</v>
      </c>
      <c r="AE569" s="271" t="e">
        <f>(AE568-AE564)/(AE568-AE567)</f>
        <v>#N/A</v>
      </c>
    </row>
    <row r="570" spans="30:31" x14ac:dyDescent="0.2">
      <c r="AD570" s="272">
        <f>V570</f>
        <v>0</v>
      </c>
      <c r="AE570" s="273">
        <f>W570</f>
        <v>0</v>
      </c>
    </row>
    <row r="571" spans="30:31" x14ac:dyDescent="0.2">
      <c r="AD571" s="267" t="e">
        <f>MATCH(AD570,'SRIM Data'!$Z$9:$Z$140)</f>
        <v>#N/A</v>
      </c>
      <c r="AE571" s="268"/>
    </row>
    <row r="572" spans="30:31" x14ac:dyDescent="0.2">
      <c r="AD572" s="267" t="e">
        <f>AD571+1</f>
        <v>#N/A</v>
      </c>
      <c r="AE572" s="268"/>
    </row>
    <row r="573" spans="30:31" x14ac:dyDescent="0.2">
      <c r="AD573" s="269" t="e">
        <f>INDEX('SRIM Data'!$Z$9:$Z$140,AD571)</f>
        <v>#N/A</v>
      </c>
      <c r="AE573" s="268" t="e">
        <f>INDEX('SRIM Data'!$AA$9:$AA$140,AD571)</f>
        <v>#N/A</v>
      </c>
    </row>
    <row r="574" spans="30:31" x14ac:dyDescent="0.2">
      <c r="AD574" s="269" t="e">
        <f>INDEX('SRIM Data'!$Z$9:$Z$140,AD572)</f>
        <v>#N/A</v>
      </c>
      <c r="AE574" s="268" t="e">
        <f>INDEX('SRIM Data'!$AA$9:$AA$140,AD572)</f>
        <v>#N/A</v>
      </c>
    </row>
    <row r="575" spans="30:31" x14ac:dyDescent="0.2">
      <c r="AD575" s="267" t="e">
        <f>(AD574-AD570)/(AD574-AD573)</f>
        <v>#N/A</v>
      </c>
      <c r="AE575" s="268" t="e">
        <f>AE574-AD575*(AE574-AE573)</f>
        <v>#N/A</v>
      </c>
    </row>
    <row r="576" spans="30:31" x14ac:dyDescent="0.2">
      <c r="AD576" s="267"/>
      <c r="AE576" s="268" t="e">
        <f>AE575-AE570</f>
        <v>#N/A</v>
      </c>
    </row>
    <row r="577" spans="30:31" x14ac:dyDescent="0.2">
      <c r="AD577" s="267"/>
      <c r="AE577" s="268" t="e">
        <f>MATCH(AE576,'SRIM Data'!$AA$9:$AA$140)</f>
        <v>#N/A</v>
      </c>
    </row>
    <row r="578" spans="30:31" x14ac:dyDescent="0.2">
      <c r="AD578" s="267"/>
      <c r="AE578" s="268" t="e">
        <f>AE577+1</f>
        <v>#N/A</v>
      </c>
    </row>
    <row r="579" spans="30:31" x14ac:dyDescent="0.2">
      <c r="AD579" s="269" t="e">
        <f>INDEX('SRIM Data'!$Z$9:$Z$140,AE577)</f>
        <v>#N/A</v>
      </c>
      <c r="AE579" s="268" t="e">
        <f>INDEX('SRIM Data'!$AA$9:$AA$140,AE577)</f>
        <v>#N/A</v>
      </c>
    </row>
    <row r="580" spans="30:31" x14ac:dyDescent="0.2">
      <c r="AD580" s="269" t="e">
        <f>INDEX('SRIM Data'!$Z$9:$Z$140,AE578)</f>
        <v>#N/A</v>
      </c>
      <c r="AE580" s="268" t="e">
        <f>INDEX('SRIM Data'!$AA$9:$AA$140,AE578)</f>
        <v>#N/A</v>
      </c>
    </row>
    <row r="581" spans="30:31" x14ac:dyDescent="0.2">
      <c r="AD581" s="270" t="e">
        <f>AD580-AE581*(AD580-AD579)</f>
        <v>#N/A</v>
      </c>
      <c r="AE581" s="271" t="e">
        <f>(AE580-AE576)/(AE580-AE579)</f>
        <v>#N/A</v>
      </c>
    </row>
    <row r="582" spans="30:31" x14ac:dyDescent="0.2">
      <c r="AD582" s="272">
        <f>V571</f>
        <v>0</v>
      </c>
      <c r="AE582" s="273">
        <f>W571</f>
        <v>0</v>
      </c>
    </row>
    <row r="583" spans="30:31" x14ac:dyDescent="0.2">
      <c r="AD583" s="267" t="e">
        <f>MATCH(AD582,'SRIM Data'!$Z$9:$Z$140)</f>
        <v>#N/A</v>
      </c>
      <c r="AE583" s="268"/>
    </row>
    <row r="584" spans="30:31" x14ac:dyDescent="0.2">
      <c r="AD584" s="267" t="e">
        <f>AD583+1</f>
        <v>#N/A</v>
      </c>
      <c r="AE584" s="268"/>
    </row>
    <row r="585" spans="30:31" x14ac:dyDescent="0.2">
      <c r="AD585" s="269" t="e">
        <f>INDEX('SRIM Data'!$Z$9:$Z$140,AD583)</f>
        <v>#N/A</v>
      </c>
      <c r="AE585" s="268" t="e">
        <f>INDEX('SRIM Data'!$AA$9:$AA$140,AD583)</f>
        <v>#N/A</v>
      </c>
    </row>
    <row r="586" spans="30:31" x14ac:dyDescent="0.2">
      <c r="AD586" s="269" t="e">
        <f>INDEX('SRIM Data'!$Z$9:$Z$140,AD584)</f>
        <v>#N/A</v>
      </c>
      <c r="AE586" s="268" t="e">
        <f>INDEX('SRIM Data'!$AA$9:$AA$140,AD584)</f>
        <v>#N/A</v>
      </c>
    </row>
    <row r="587" spans="30:31" x14ac:dyDescent="0.2">
      <c r="AD587" s="267" t="e">
        <f>(AD586-AD582)/(AD586-AD585)</f>
        <v>#N/A</v>
      </c>
      <c r="AE587" s="268" t="e">
        <f>AE586-AD587*(AE586-AE585)</f>
        <v>#N/A</v>
      </c>
    </row>
    <row r="588" spans="30:31" x14ac:dyDescent="0.2">
      <c r="AD588" s="267"/>
      <c r="AE588" s="268" t="e">
        <f>AE587-AE582</f>
        <v>#N/A</v>
      </c>
    </row>
    <row r="589" spans="30:31" x14ac:dyDescent="0.2">
      <c r="AD589" s="267"/>
      <c r="AE589" s="268" t="e">
        <f>MATCH(AE588,'SRIM Data'!$AA$9:$AA$140)</f>
        <v>#N/A</v>
      </c>
    </row>
    <row r="590" spans="30:31" x14ac:dyDescent="0.2">
      <c r="AD590" s="267"/>
      <c r="AE590" s="268" t="e">
        <f>AE589+1</f>
        <v>#N/A</v>
      </c>
    </row>
    <row r="591" spans="30:31" x14ac:dyDescent="0.2">
      <c r="AD591" s="269" t="e">
        <f>INDEX('SRIM Data'!$Z$9:$Z$140,AE589)</f>
        <v>#N/A</v>
      </c>
      <c r="AE591" s="268" t="e">
        <f>INDEX('SRIM Data'!$AA$9:$AA$140,AE589)</f>
        <v>#N/A</v>
      </c>
    </row>
    <row r="592" spans="30:31" x14ac:dyDescent="0.2">
      <c r="AD592" s="269" t="e">
        <f>INDEX('SRIM Data'!$Z$9:$Z$140,AE590)</f>
        <v>#N/A</v>
      </c>
      <c r="AE592" s="268" t="e">
        <f>INDEX('SRIM Data'!$AA$9:$AA$140,AE590)</f>
        <v>#N/A</v>
      </c>
    </row>
    <row r="593" spans="30:31" x14ac:dyDescent="0.2">
      <c r="AD593" s="270" t="e">
        <f>AD592-AE593*(AD592-AD591)</f>
        <v>#N/A</v>
      </c>
      <c r="AE593" s="271" t="e">
        <f>(AE592-AE588)/(AE592-AE591)</f>
        <v>#N/A</v>
      </c>
    </row>
    <row r="594" spans="30:31" x14ac:dyDescent="0.2">
      <c r="AD594" s="272">
        <f>V594</f>
        <v>0</v>
      </c>
      <c r="AE594" s="273">
        <f>W594</f>
        <v>0</v>
      </c>
    </row>
    <row r="595" spans="30:31" x14ac:dyDescent="0.2">
      <c r="AD595" s="267" t="e">
        <f>MATCH(AD594,'SRIM Data'!$Z$9:$Z$140)</f>
        <v>#N/A</v>
      </c>
      <c r="AE595" s="268"/>
    </row>
    <row r="596" spans="30:31" x14ac:dyDescent="0.2">
      <c r="AD596" s="267" t="e">
        <f>AD595+1</f>
        <v>#N/A</v>
      </c>
      <c r="AE596" s="268"/>
    </row>
    <row r="597" spans="30:31" x14ac:dyDescent="0.2">
      <c r="AD597" s="269" t="e">
        <f>INDEX('SRIM Data'!$Z$9:$Z$140,AD595)</f>
        <v>#N/A</v>
      </c>
      <c r="AE597" s="268" t="e">
        <f>INDEX('SRIM Data'!$AA$9:$AA$140,AD595)</f>
        <v>#N/A</v>
      </c>
    </row>
    <row r="598" spans="30:31" x14ac:dyDescent="0.2">
      <c r="AD598" s="269" t="e">
        <f>INDEX('SRIM Data'!$Z$9:$Z$140,AD596)</f>
        <v>#N/A</v>
      </c>
      <c r="AE598" s="268" t="e">
        <f>INDEX('SRIM Data'!$AA$9:$AA$140,AD596)</f>
        <v>#N/A</v>
      </c>
    </row>
    <row r="599" spans="30:31" x14ac:dyDescent="0.2">
      <c r="AD599" s="267" t="e">
        <f>(AD598-AD594)/(AD598-AD597)</f>
        <v>#N/A</v>
      </c>
      <c r="AE599" s="268" t="e">
        <f>AE598-AD599*(AE598-AE597)</f>
        <v>#N/A</v>
      </c>
    </row>
    <row r="600" spans="30:31" x14ac:dyDescent="0.2">
      <c r="AD600" s="267"/>
      <c r="AE600" s="268" t="e">
        <f>AE599-AE594</f>
        <v>#N/A</v>
      </c>
    </row>
    <row r="601" spans="30:31" x14ac:dyDescent="0.2">
      <c r="AD601" s="267"/>
      <c r="AE601" s="268" t="e">
        <f>MATCH(AE600,'SRIM Data'!$AA$9:$AA$140)</f>
        <v>#N/A</v>
      </c>
    </row>
    <row r="602" spans="30:31" x14ac:dyDescent="0.2">
      <c r="AD602" s="267"/>
      <c r="AE602" s="268" t="e">
        <f>AE601+1</f>
        <v>#N/A</v>
      </c>
    </row>
    <row r="603" spans="30:31" x14ac:dyDescent="0.2">
      <c r="AD603" s="269" t="e">
        <f>INDEX('SRIM Data'!$Z$9:$Z$140,AE601)</f>
        <v>#N/A</v>
      </c>
      <c r="AE603" s="268" t="e">
        <f>INDEX('SRIM Data'!$AA$9:$AA$140,AE601)</f>
        <v>#N/A</v>
      </c>
    </row>
    <row r="604" spans="30:31" x14ac:dyDescent="0.2">
      <c r="AD604" s="269" t="e">
        <f>INDEX('SRIM Data'!$Z$9:$Z$140,AE602)</f>
        <v>#N/A</v>
      </c>
      <c r="AE604" s="268" t="e">
        <f>INDEX('SRIM Data'!$AA$9:$AA$140,AE602)</f>
        <v>#N/A</v>
      </c>
    </row>
    <row r="605" spans="30:31" x14ac:dyDescent="0.2">
      <c r="AD605" s="270" t="e">
        <f>AD604-AE605*(AD604-AD603)</f>
        <v>#N/A</v>
      </c>
      <c r="AE605" s="271" t="e">
        <f>(AE604-AE600)/(AE604-AE603)</f>
        <v>#N/A</v>
      </c>
    </row>
    <row r="606" spans="30:31" x14ac:dyDescent="0.2">
      <c r="AD606" s="272">
        <f>V595</f>
        <v>0</v>
      </c>
      <c r="AE606" s="273">
        <f>W595</f>
        <v>0</v>
      </c>
    </row>
    <row r="607" spans="30:31" x14ac:dyDescent="0.2">
      <c r="AD607" s="267" t="e">
        <f>MATCH(AD606,'SRIM Data'!$Z$9:$Z$140)</f>
        <v>#N/A</v>
      </c>
      <c r="AE607" s="268"/>
    </row>
    <row r="608" spans="30:31" x14ac:dyDescent="0.2">
      <c r="AD608" s="267" t="e">
        <f>AD607+1</f>
        <v>#N/A</v>
      </c>
      <c r="AE608" s="268"/>
    </row>
    <row r="609" spans="30:31" x14ac:dyDescent="0.2">
      <c r="AD609" s="269" t="e">
        <f>INDEX('SRIM Data'!$Z$9:$Z$140,AD607)</f>
        <v>#N/A</v>
      </c>
      <c r="AE609" s="268" t="e">
        <f>INDEX('SRIM Data'!$AA$9:$AA$140,AD607)</f>
        <v>#N/A</v>
      </c>
    </row>
    <row r="610" spans="30:31" x14ac:dyDescent="0.2">
      <c r="AD610" s="269" t="e">
        <f>INDEX('SRIM Data'!$Z$9:$Z$140,AD608)</f>
        <v>#N/A</v>
      </c>
      <c r="AE610" s="268" t="e">
        <f>INDEX('SRIM Data'!$AA$9:$AA$140,AD608)</f>
        <v>#N/A</v>
      </c>
    </row>
    <row r="611" spans="30:31" x14ac:dyDescent="0.2">
      <c r="AD611" s="267" t="e">
        <f>(AD610-AD606)/(AD610-AD609)</f>
        <v>#N/A</v>
      </c>
      <c r="AE611" s="268" t="e">
        <f>AE610-AD611*(AE610-AE609)</f>
        <v>#N/A</v>
      </c>
    </row>
    <row r="612" spans="30:31" x14ac:dyDescent="0.2">
      <c r="AD612" s="267"/>
      <c r="AE612" s="268" t="e">
        <f>AE611-AE606</f>
        <v>#N/A</v>
      </c>
    </row>
    <row r="613" spans="30:31" x14ac:dyDescent="0.2">
      <c r="AD613" s="267"/>
      <c r="AE613" s="268" t="e">
        <f>MATCH(AE612,'SRIM Data'!$AA$9:$AA$140)</f>
        <v>#N/A</v>
      </c>
    </row>
    <row r="614" spans="30:31" x14ac:dyDescent="0.2">
      <c r="AD614" s="267"/>
      <c r="AE614" s="268" t="e">
        <f>AE613+1</f>
        <v>#N/A</v>
      </c>
    </row>
    <row r="615" spans="30:31" x14ac:dyDescent="0.2">
      <c r="AD615" s="269" t="e">
        <f>INDEX('SRIM Data'!$Z$9:$Z$140,AE613)</f>
        <v>#N/A</v>
      </c>
      <c r="AE615" s="268" t="e">
        <f>INDEX('SRIM Data'!$AA$9:$AA$140,AE613)</f>
        <v>#N/A</v>
      </c>
    </row>
    <row r="616" spans="30:31" x14ac:dyDescent="0.2">
      <c r="AD616" s="269" t="e">
        <f>INDEX('SRIM Data'!$Z$9:$Z$140,AE614)</f>
        <v>#N/A</v>
      </c>
      <c r="AE616" s="268" t="e">
        <f>INDEX('SRIM Data'!$AA$9:$AA$140,AE614)</f>
        <v>#N/A</v>
      </c>
    </row>
    <row r="617" spans="30:31" x14ac:dyDescent="0.2">
      <c r="AD617" s="270" t="e">
        <f>AD616-AE617*(AD616-AD615)</f>
        <v>#N/A</v>
      </c>
      <c r="AE617" s="271" t="e">
        <f>(AE616-AE612)/(AE616-AE615)</f>
        <v>#N/A</v>
      </c>
    </row>
    <row r="618" spans="30:31" x14ac:dyDescent="0.2">
      <c r="AD618" s="272">
        <f>V618</f>
        <v>0</v>
      </c>
      <c r="AE618" s="273">
        <f>W618</f>
        <v>0</v>
      </c>
    </row>
    <row r="619" spans="30:31" x14ac:dyDescent="0.2">
      <c r="AD619" s="267" t="e">
        <f>MATCH(AD618,'SRIM Data'!$Z$9:$Z$140)</f>
        <v>#N/A</v>
      </c>
      <c r="AE619" s="268"/>
    </row>
    <row r="620" spans="30:31" x14ac:dyDescent="0.2">
      <c r="AD620" s="267" t="e">
        <f>AD619+1</f>
        <v>#N/A</v>
      </c>
      <c r="AE620" s="268"/>
    </row>
    <row r="621" spans="30:31" x14ac:dyDescent="0.2">
      <c r="AD621" s="269" t="e">
        <f>INDEX('SRIM Data'!$Z$9:$Z$140,AD619)</f>
        <v>#N/A</v>
      </c>
      <c r="AE621" s="268" t="e">
        <f>INDEX('SRIM Data'!$AA$9:$AA$140,AD619)</f>
        <v>#N/A</v>
      </c>
    </row>
    <row r="622" spans="30:31" x14ac:dyDescent="0.2">
      <c r="AD622" s="269" t="e">
        <f>INDEX('SRIM Data'!$Z$9:$Z$140,AD620)</f>
        <v>#N/A</v>
      </c>
      <c r="AE622" s="268" t="e">
        <f>INDEX('SRIM Data'!$AA$9:$AA$140,AD620)</f>
        <v>#N/A</v>
      </c>
    </row>
    <row r="623" spans="30:31" x14ac:dyDescent="0.2">
      <c r="AD623" s="267" t="e">
        <f>(AD622-AD618)/(AD622-AD621)</f>
        <v>#N/A</v>
      </c>
      <c r="AE623" s="268" t="e">
        <f>AE622-AD623*(AE622-AE621)</f>
        <v>#N/A</v>
      </c>
    </row>
    <row r="624" spans="30:31" x14ac:dyDescent="0.2">
      <c r="AD624" s="267"/>
      <c r="AE624" s="268" t="e">
        <f>AE623-AE618</f>
        <v>#N/A</v>
      </c>
    </row>
    <row r="625" spans="30:31" x14ac:dyDescent="0.2">
      <c r="AD625" s="267"/>
      <c r="AE625" s="268" t="e">
        <f>MATCH(AE624,'SRIM Data'!$AA$9:$AA$140)</f>
        <v>#N/A</v>
      </c>
    </row>
    <row r="626" spans="30:31" x14ac:dyDescent="0.2">
      <c r="AD626" s="267"/>
      <c r="AE626" s="268" t="e">
        <f>AE625+1</f>
        <v>#N/A</v>
      </c>
    </row>
    <row r="627" spans="30:31" x14ac:dyDescent="0.2">
      <c r="AD627" s="269" t="e">
        <f>INDEX('SRIM Data'!$Z$9:$Z$140,AE625)</f>
        <v>#N/A</v>
      </c>
      <c r="AE627" s="268" t="e">
        <f>INDEX('SRIM Data'!$AA$9:$AA$140,AE625)</f>
        <v>#N/A</v>
      </c>
    </row>
    <row r="628" spans="30:31" x14ac:dyDescent="0.2">
      <c r="AD628" s="269" t="e">
        <f>INDEX('SRIM Data'!$Z$9:$Z$140,AE626)</f>
        <v>#N/A</v>
      </c>
      <c r="AE628" s="268" t="e">
        <f>INDEX('SRIM Data'!$AA$9:$AA$140,AE626)</f>
        <v>#N/A</v>
      </c>
    </row>
    <row r="629" spans="30:31" x14ac:dyDescent="0.2">
      <c r="AD629" s="270" t="e">
        <f>AD628-AE629*(AD628-AD627)</f>
        <v>#N/A</v>
      </c>
      <c r="AE629" s="271" t="e">
        <f>(AE628-AE624)/(AE628-AE627)</f>
        <v>#N/A</v>
      </c>
    </row>
    <row r="630" spans="30:31" x14ac:dyDescent="0.2">
      <c r="AD630" s="272">
        <f>V619</f>
        <v>0</v>
      </c>
      <c r="AE630" s="273">
        <f>W619</f>
        <v>0</v>
      </c>
    </row>
    <row r="631" spans="30:31" x14ac:dyDescent="0.2">
      <c r="AD631" s="267" t="e">
        <f>MATCH(AD630,'SRIM Data'!$Z$9:$Z$140)</f>
        <v>#N/A</v>
      </c>
      <c r="AE631" s="268"/>
    </row>
    <row r="632" spans="30:31" x14ac:dyDescent="0.2">
      <c r="AD632" s="267" t="e">
        <f>AD631+1</f>
        <v>#N/A</v>
      </c>
      <c r="AE632" s="268"/>
    </row>
    <row r="633" spans="30:31" x14ac:dyDescent="0.2">
      <c r="AD633" s="269" t="e">
        <f>INDEX('SRIM Data'!$Z$9:$Z$140,AD631)</f>
        <v>#N/A</v>
      </c>
      <c r="AE633" s="268" t="e">
        <f>INDEX('SRIM Data'!$AA$9:$AA$140,AD631)</f>
        <v>#N/A</v>
      </c>
    </row>
    <row r="634" spans="30:31" x14ac:dyDescent="0.2">
      <c r="AD634" s="269" t="e">
        <f>INDEX('SRIM Data'!$Z$9:$Z$140,AD632)</f>
        <v>#N/A</v>
      </c>
      <c r="AE634" s="268" t="e">
        <f>INDEX('SRIM Data'!$AA$9:$AA$140,AD632)</f>
        <v>#N/A</v>
      </c>
    </row>
    <row r="635" spans="30:31" x14ac:dyDescent="0.2">
      <c r="AD635" s="267" t="e">
        <f>(AD634-AD630)/(AD634-AD633)</f>
        <v>#N/A</v>
      </c>
      <c r="AE635" s="268" t="e">
        <f>AE634-AD635*(AE634-AE633)</f>
        <v>#N/A</v>
      </c>
    </row>
    <row r="636" spans="30:31" x14ac:dyDescent="0.2">
      <c r="AD636" s="267"/>
      <c r="AE636" s="268" t="e">
        <f>AE635-AE630</f>
        <v>#N/A</v>
      </c>
    </row>
    <row r="637" spans="30:31" x14ac:dyDescent="0.2">
      <c r="AD637" s="267"/>
      <c r="AE637" s="268" t="e">
        <f>MATCH(AE636,'SRIM Data'!$AA$9:$AA$140)</f>
        <v>#N/A</v>
      </c>
    </row>
    <row r="638" spans="30:31" x14ac:dyDescent="0.2">
      <c r="AD638" s="267"/>
      <c r="AE638" s="268" t="e">
        <f>AE637+1</f>
        <v>#N/A</v>
      </c>
    </row>
    <row r="639" spans="30:31" x14ac:dyDescent="0.2">
      <c r="AD639" s="269" t="e">
        <f>INDEX('SRIM Data'!$Z$9:$Z$140,AE637)</f>
        <v>#N/A</v>
      </c>
      <c r="AE639" s="268" t="e">
        <f>INDEX('SRIM Data'!$AA$9:$AA$140,AE637)</f>
        <v>#N/A</v>
      </c>
    </row>
    <row r="640" spans="30:31" x14ac:dyDescent="0.2">
      <c r="AD640" s="269" t="e">
        <f>INDEX('SRIM Data'!$Z$9:$Z$140,AE638)</f>
        <v>#N/A</v>
      </c>
      <c r="AE640" s="268" t="e">
        <f>INDEX('SRIM Data'!$AA$9:$AA$140,AE638)</f>
        <v>#N/A</v>
      </c>
    </row>
    <row r="641" spans="30:31" x14ac:dyDescent="0.2">
      <c r="AD641" s="270" t="e">
        <f>AD640-AE641*(AD640-AD639)</f>
        <v>#N/A</v>
      </c>
      <c r="AE641" s="271" t="e">
        <f>(AE640-AE636)/(AE640-AE639)</f>
        <v>#N/A</v>
      </c>
    </row>
    <row r="642" spans="30:31" x14ac:dyDescent="0.2">
      <c r="AD642" s="272">
        <f>V642</f>
        <v>0</v>
      </c>
      <c r="AE642" s="273">
        <f>W642</f>
        <v>0</v>
      </c>
    </row>
    <row r="643" spans="30:31" x14ac:dyDescent="0.2">
      <c r="AD643" s="267" t="e">
        <f>MATCH(AD642,'SRIM Data'!$Z$9:$Z$140)</f>
        <v>#N/A</v>
      </c>
      <c r="AE643" s="268"/>
    </row>
    <row r="644" spans="30:31" x14ac:dyDescent="0.2">
      <c r="AD644" s="267" t="e">
        <f>AD643+1</f>
        <v>#N/A</v>
      </c>
      <c r="AE644" s="268"/>
    </row>
    <row r="645" spans="30:31" x14ac:dyDescent="0.2">
      <c r="AD645" s="269" t="e">
        <f>INDEX('SRIM Data'!$Z$9:$Z$140,AD643)</f>
        <v>#N/A</v>
      </c>
      <c r="AE645" s="268" t="e">
        <f>INDEX('SRIM Data'!$AA$9:$AA$140,AD643)</f>
        <v>#N/A</v>
      </c>
    </row>
    <row r="646" spans="30:31" x14ac:dyDescent="0.2">
      <c r="AD646" s="269" t="e">
        <f>INDEX('SRIM Data'!$Z$9:$Z$140,AD644)</f>
        <v>#N/A</v>
      </c>
      <c r="AE646" s="268" t="e">
        <f>INDEX('SRIM Data'!$AA$9:$AA$140,AD644)</f>
        <v>#N/A</v>
      </c>
    </row>
    <row r="647" spans="30:31" x14ac:dyDescent="0.2">
      <c r="AD647" s="267" t="e">
        <f>(AD646-AD642)/(AD646-AD645)</f>
        <v>#N/A</v>
      </c>
      <c r="AE647" s="268" t="e">
        <f>AE646-AD647*(AE646-AE645)</f>
        <v>#N/A</v>
      </c>
    </row>
    <row r="648" spans="30:31" x14ac:dyDescent="0.2">
      <c r="AD648" s="267"/>
      <c r="AE648" s="268" t="e">
        <f>AE647-AE642</f>
        <v>#N/A</v>
      </c>
    </row>
    <row r="649" spans="30:31" x14ac:dyDescent="0.2">
      <c r="AD649" s="267"/>
      <c r="AE649" s="268" t="e">
        <f>MATCH(AE648,'SRIM Data'!$AA$9:$AA$140)</f>
        <v>#N/A</v>
      </c>
    </row>
    <row r="650" spans="30:31" x14ac:dyDescent="0.2">
      <c r="AD650" s="267"/>
      <c r="AE650" s="268" t="e">
        <f>AE649+1</f>
        <v>#N/A</v>
      </c>
    </row>
    <row r="651" spans="30:31" x14ac:dyDescent="0.2">
      <c r="AD651" s="269" t="e">
        <f>INDEX('SRIM Data'!$Z$9:$Z$140,AE649)</f>
        <v>#N/A</v>
      </c>
      <c r="AE651" s="268" t="e">
        <f>INDEX('SRIM Data'!$AA$9:$AA$140,AE649)</f>
        <v>#N/A</v>
      </c>
    </row>
    <row r="652" spans="30:31" x14ac:dyDescent="0.2">
      <c r="AD652" s="269" t="e">
        <f>INDEX('SRIM Data'!$Z$9:$Z$140,AE650)</f>
        <v>#N/A</v>
      </c>
      <c r="AE652" s="268" t="e">
        <f>INDEX('SRIM Data'!$AA$9:$AA$140,AE650)</f>
        <v>#N/A</v>
      </c>
    </row>
    <row r="653" spans="30:31" x14ac:dyDescent="0.2">
      <c r="AD653" s="270" t="e">
        <f>AD652-AE653*(AD652-AD651)</f>
        <v>#N/A</v>
      </c>
      <c r="AE653" s="271" t="e">
        <f>(AE652-AE648)/(AE652-AE651)</f>
        <v>#N/A</v>
      </c>
    </row>
    <row r="654" spans="30:31" x14ac:dyDescent="0.2">
      <c r="AD654" s="272">
        <f>V643</f>
        <v>0</v>
      </c>
      <c r="AE654" s="273">
        <f>W643</f>
        <v>0</v>
      </c>
    </row>
    <row r="655" spans="30:31" x14ac:dyDescent="0.2">
      <c r="AD655" s="267" t="e">
        <f>MATCH(AD654,'SRIM Data'!$Z$9:$Z$140)</f>
        <v>#N/A</v>
      </c>
      <c r="AE655" s="268"/>
    </row>
    <row r="656" spans="30:31" x14ac:dyDescent="0.2">
      <c r="AD656" s="267" t="e">
        <f>AD655+1</f>
        <v>#N/A</v>
      </c>
      <c r="AE656" s="268"/>
    </row>
    <row r="657" spans="30:31" x14ac:dyDescent="0.2">
      <c r="AD657" s="269" t="e">
        <f>INDEX('SRIM Data'!$Z$9:$Z$140,AD655)</f>
        <v>#N/A</v>
      </c>
      <c r="AE657" s="268" t="e">
        <f>INDEX('SRIM Data'!$AA$9:$AA$140,AD655)</f>
        <v>#N/A</v>
      </c>
    </row>
    <row r="658" spans="30:31" x14ac:dyDescent="0.2">
      <c r="AD658" s="269" t="e">
        <f>INDEX('SRIM Data'!$Z$9:$Z$140,AD656)</f>
        <v>#N/A</v>
      </c>
      <c r="AE658" s="268" t="e">
        <f>INDEX('SRIM Data'!$AA$9:$AA$140,AD656)</f>
        <v>#N/A</v>
      </c>
    </row>
    <row r="659" spans="30:31" x14ac:dyDescent="0.2">
      <c r="AD659" s="267" t="e">
        <f>(AD658-AD654)/(AD658-AD657)</f>
        <v>#N/A</v>
      </c>
      <c r="AE659" s="268" t="e">
        <f>AE658-AD659*(AE658-AE657)</f>
        <v>#N/A</v>
      </c>
    </row>
    <row r="660" spans="30:31" x14ac:dyDescent="0.2">
      <c r="AD660" s="267"/>
      <c r="AE660" s="268" t="e">
        <f>AE659-AE654</f>
        <v>#N/A</v>
      </c>
    </row>
    <row r="661" spans="30:31" x14ac:dyDescent="0.2">
      <c r="AD661" s="267"/>
      <c r="AE661" s="268" t="e">
        <f>MATCH(AE660,'SRIM Data'!$AA$9:$AA$140)</f>
        <v>#N/A</v>
      </c>
    </row>
    <row r="662" spans="30:31" x14ac:dyDescent="0.2">
      <c r="AD662" s="267"/>
      <c r="AE662" s="268" t="e">
        <f>AE661+1</f>
        <v>#N/A</v>
      </c>
    </row>
    <row r="663" spans="30:31" x14ac:dyDescent="0.2">
      <c r="AD663" s="269" t="e">
        <f>INDEX('SRIM Data'!$Z$9:$Z$140,AE661)</f>
        <v>#N/A</v>
      </c>
      <c r="AE663" s="268" t="e">
        <f>INDEX('SRIM Data'!$AA$9:$AA$140,AE661)</f>
        <v>#N/A</v>
      </c>
    </row>
    <row r="664" spans="30:31" x14ac:dyDescent="0.2">
      <c r="AD664" s="269" t="e">
        <f>INDEX('SRIM Data'!$Z$9:$Z$140,AE662)</f>
        <v>#N/A</v>
      </c>
      <c r="AE664" s="268" t="e">
        <f>INDEX('SRIM Data'!$AA$9:$AA$140,AE662)</f>
        <v>#N/A</v>
      </c>
    </row>
    <row r="665" spans="30:31" x14ac:dyDescent="0.2">
      <c r="AD665" s="270" t="e">
        <f>AD664-AE665*(AD664-AD663)</f>
        <v>#N/A</v>
      </c>
      <c r="AE665" s="271" t="e">
        <f>(AE664-AE660)/(AE664-AE663)</f>
        <v>#N/A</v>
      </c>
    </row>
    <row r="666" spans="30:31" x14ac:dyDescent="0.2">
      <c r="AD666" s="272">
        <f>V666</f>
        <v>0</v>
      </c>
      <c r="AE666" s="273">
        <f>W666</f>
        <v>0</v>
      </c>
    </row>
    <row r="667" spans="30:31" x14ac:dyDescent="0.2">
      <c r="AD667" s="267" t="e">
        <f>MATCH(AD666,'SRIM Data'!$Z$9:$Z$140)</f>
        <v>#N/A</v>
      </c>
      <c r="AE667" s="268"/>
    </row>
    <row r="668" spans="30:31" x14ac:dyDescent="0.2">
      <c r="AD668" s="267" t="e">
        <f>AD667+1</f>
        <v>#N/A</v>
      </c>
      <c r="AE668" s="268"/>
    </row>
    <row r="669" spans="30:31" x14ac:dyDescent="0.2">
      <c r="AD669" s="269" t="e">
        <f>INDEX('SRIM Data'!$Z$9:$Z$140,AD667)</f>
        <v>#N/A</v>
      </c>
      <c r="AE669" s="268" t="e">
        <f>INDEX('SRIM Data'!$AA$9:$AA$140,AD667)</f>
        <v>#N/A</v>
      </c>
    </row>
    <row r="670" spans="30:31" x14ac:dyDescent="0.2">
      <c r="AD670" s="269" t="e">
        <f>INDEX('SRIM Data'!$Z$9:$Z$140,AD668)</f>
        <v>#N/A</v>
      </c>
      <c r="AE670" s="268" t="e">
        <f>INDEX('SRIM Data'!$AA$9:$AA$140,AD668)</f>
        <v>#N/A</v>
      </c>
    </row>
    <row r="671" spans="30:31" x14ac:dyDescent="0.2">
      <c r="AD671" s="267" t="e">
        <f>(AD670-AD666)/(AD670-AD669)</f>
        <v>#N/A</v>
      </c>
      <c r="AE671" s="268" t="e">
        <f>AE670-AD671*(AE670-AE669)</f>
        <v>#N/A</v>
      </c>
    </row>
    <row r="672" spans="30:31" x14ac:dyDescent="0.2">
      <c r="AD672" s="267"/>
      <c r="AE672" s="268" t="e">
        <f>AE671-AE666</f>
        <v>#N/A</v>
      </c>
    </row>
    <row r="673" spans="30:31" x14ac:dyDescent="0.2">
      <c r="AD673" s="267"/>
      <c r="AE673" s="268" t="e">
        <f>MATCH(AE672,'SRIM Data'!$AA$9:$AA$140)</f>
        <v>#N/A</v>
      </c>
    </row>
    <row r="674" spans="30:31" x14ac:dyDescent="0.2">
      <c r="AD674" s="267"/>
      <c r="AE674" s="268" t="e">
        <f>AE673+1</f>
        <v>#N/A</v>
      </c>
    </row>
    <row r="675" spans="30:31" x14ac:dyDescent="0.2">
      <c r="AD675" s="269" t="e">
        <f>INDEX('SRIM Data'!$Z$9:$Z$140,AE673)</f>
        <v>#N/A</v>
      </c>
      <c r="AE675" s="268" t="e">
        <f>INDEX('SRIM Data'!$AA$9:$AA$140,AE673)</f>
        <v>#N/A</v>
      </c>
    </row>
    <row r="676" spans="30:31" x14ac:dyDescent="0.2">
      <c r="AD676" s="269" t="e">
        <f>INDEX('SRIM Data'!$Z$9:$Z$140,AE674)</f>
        <v>#N/A</v>
      </c>
      <c r="AE676" s="268" t="e">
        <f>INDEX('SRIM Data'!$AA$9:$AA$140,AE674)</f>
        <v>#N/A</v>
      </c>
    </row>
    <row r="677" spans="30:31" x14ac:dyDescent="0.2">
      <c r="AD677" s="270" t="e">
        <f>AD676-AE677*(AD676-AD675)</f>
        <v>#N/A</v>
      </c>
      <c r="AE677" s="271" t="e">
        <f>(AE676-AE672)/(AE676-AE675)</f>
        <v>#N/A</v>
      </c>
    </row>
    <row r="678" spans="30:31" x14ac:dyDescent="0.2">
      <c r="AD678" s="272">
        <f>V667</f>
        <v>0</v>
      </c>
      <c r="AE678" s="273">
        <f>W667</f>
        <v>0</v>
      </c>
    </row>
    <row r="679" spans="30:31" x14ac:dyDescent="0.2">
      <c r="AD679" s="267" t="e">
        <f>MATCH(AD678,'SRIM Data'!$Z$9:$Z$140)</f>
        <v>#N/A</v>
      </c>
      <c r="AE679" s="268"/>
    </row>
    <row r="680" spans="30:31" x14ac:dyDescent="0.2">
      <c r="AD680" s="267" t="e">
        <f>AD679+1</f>
        <v>#N/A</v>
      </c>
      <c r="AE680" s="268"/>
    </row>
    <row r="681" spans="30:31" x14ac:dyDescent="0.2">
      <c r="AD681" s="269" t="e">
        <f>INDEX('SRIM Data'!$Z$9:$Z$140,AD679)</f>
        <v>#N/A</v>
      </c>
      <c r="AE681" s="268" t="e">
        <f>INDEX('SRIM Data'!$AA$9:$AA$140,AD679)</f>
        <v>#N/A</v>
      </c>
    </row>
    <row r="682" spans="30:31" x14ac:dyDescent="0.2">
      <c r="AD682" s="269" t="e">
        <f>INDEX('SRIM Data'!$Z$9:$Z$140,AD680)</f>
        <v>#N/A</v>
      </c>
      <c r="AE682" s="268" t="e">
        <f>INDEX('SRIM Data'!$AA$9:$AA$140,AD680)</f>
        <v>#N/A</v>
      </c>
    </row>
    <row r="683" spans="30:31" x14ac:dyDescent="0.2">
      <c r="AD683" s="267" t="e">
        <f>(AD682-AD678)/(AD682-AD681)</f>
        <v>#N/A</v>
      </c>
      <c r="AE683" s="268" t="e">
        <f>AE682-AD683*(AE682-AE681)</f>
        <v>#N/A</v>
      </c>
    </row>
    <row r="684" spans="30:31" x14ac:dyDescent="0.2">
      <c r="AD684" s="267"/>
      <c r="AE684" s="268" t="e">
        <f>AE683-AE678</f>
        <v>#N/A</v>
      </c>
    </row>
    <row r="685" spans="30:31" x14ac:dyDescent="0.2">
      <c r="AD685" s="267"/>
      <c r="AE685" s="268" t="e">
        <f>MATCH(AE684,'SRIM Data'!$AA$9:$AA$140)</f>
        <v>#N/A</v>
      </c>
    </row>
    <row r="686" spans="30:31" x14ac:dyDescent="0.2">
      <c r="AD686" s="267"/>
      <c r="AE686" s="268" t="e">
        <f>AE685+1</f>
        <v>#N/A</v>
      </c>
    </row>
    <row r="687" spans="30:31" x14ac:dyDescent="0.2">
      <c r="AD687" s="269" t="e">
        <f>INDEX('SRIM Data'!$Z$9:$Z$140,AE685)</f>
        <v>#N/A</v>
      </c>
      <c r="AE687" s="268" t="e">
        <f>INDEX('SRIM Data'!$AA$9:$AA$140,AE685)</f>
        <v>#N/A</v>
      </c>
    </row>
    <row r="688" spans="30:31" x14ac:dyDescent="0.2">
      <c r="AD688" s="269" t="e">
        <f>INDEX('SRIM Data'!$Z$9:$Z$140,AE686)</f>
        <v>#N/A</v>
      </c>
      <c r="AE688" s="268" t="e">
        <f>INDEX('SRIM Data'!$AA$9:$AA$140,AE686)</f>
        <v>#N/A</v>
      </c>
    </row>
    <row r="689" spans="30:31" x14ac:dyDescent="0.2">
      <c r="AD689" s="270" t="e">
        <f>AD688-AE689*(AD688-AD687)</f>
        <v>#N/A</v>
      </c>
      <c r="AE689" s="271" t="e">
        <f>(AE688-AE684)/(AE688-AE687)</f>
        <v>#N/A</v>
      </c>
    </row>
    <row r="690" spans="30:31" x14ac:dyDescent="0.2">
      <c r="AD690" s="272">
        <f>V690</f>
        <v>0</v>
      </c>
      <c r="AE690" s="273">
        <f>W690</f>
        <v>0</v>
      </c>
    </row>
    <row r="691" spans="30:31" x14ac:dyDescent="0.2">
      <c r="AD691" s="267" t="e">
        <f>MATCH(AD690,'SRIM Data'!$Z$9:$Z$140)</f>
        <v>#N/A</v>
      </c>
      <c r="AE691" s="268"/>
    </row>
    <row r="692" spans="30:31" x14ac:dyDescent="0.2">
      <c r="AD692" s="267" t="e">
        <f>AD691+1</f>
        <v>#N/A</v>
      </c>
      <c r="AE692" s="268"/>
    </row>
    <row r="693" spans="30:31" x14ac:dyDescent="0.2">
      <c r="AD693" s="269" t="e">
        <f>INDEX('SRIM Data'!$Z$9:$Z$140,AD691)</f>
        <v>#N/A</v>
      </c>
      <c r="AE693" s="268" t="e">
        <f>INDEX('SRIM Data'!$AA$9:$AA$140,AD691)</f>
        <v>#N/A</v>
      </c>
    </row>
    <row r="694" spans="30:31" x14ac:dyDescent="0.2">
      <c r="AD694" s="269" t="e">
        <f>INDEX('SRIM Data'!$Z$9:$Z$140,AD692)</f>
        <v>#N/A</v>
      </c>
      <c r="AE694" s="268" t="e">
        <f>INDEX('SRIM Data'!$AA$9:$AA$140,AD692)</f>
        <v>#N/A</v>
      </c>
    </row>
    <row r="695" spans="30:31" x14ac:dyDescent="0.2">
      <c r="AD695" s="267" t="e">
        <f>(AD694-AD690)/(AD694-AD693)</f>
        <v>#N/A</v>
      </c>
      <c r="AE695" s="268" t="e">
        <f>AE694-AD695*(AE694-AE693)</f>
        <v>#N/A</v>
      </c>
    </row>
    <row r="696" spans="30:31" x14ac:dyDescent="0.2">
      <c r="AD696" s="267"/>
      <c r="AE696" s="268" t="e">
        <f>AE695-AE690</f>
        <v>#N/A</v>
      </c>
    </row>
    <row r="697" spans="30:31" x14ac:dyDescent="0.2">
      <c r="AD697" s="267"/>
      <c r="AE697" s="268" t="e">
        <f>MATCH(AE696,'SRIM Data'!$AA$9:$AA$140)</f>
        <v>#N/A</v>
      </c>
    </row>
    <row r="698" spans="30:31" x14ac:dyDescent="0.2">
      <c r="AD698" s="267"/>
      <c r="AE698" s="268" t="e">
        <f>AE697+1</f>
        <v>#N/A</v>
      </c>
    </row>
    <row r="699" spans="30:31" x14ac:dyDescent="0.2">
      <c r="AD699" s="269" t="e">
        <f>INDEX('SRIM Data'!$Z$9:$Z$140,AE697)</f>
        <v>#N/A</v>
      </c>
      <c r="AE699" s="268" t="e">
        <f>INDEX('SRIM Data'!$AA$9:$AA$140,AE697)</f>
        <v>#N/A</v>
      </c>
    </row>
    <row r="700" spans="30:31" x14ac:dyDescent="0.2">
      <c r="AD700" s="269" t="e">
        <f>INDEX('SRIM Data'!$Z$9:$Z$140,AE698)</f>
        <v>#N/A</v>
      </c>
      <c r="AE700" s="268" t="e">
        <f>INDEX('SRIM Data'!$AA$9:$AA$140,AE698)</f>
        <v>#N/A</v>
      </c>
    </row>
    <row r="701" spans="30:31" x14ac:dyDescent="0.2">
      <c r="AD701" s="270" t="e">
        <f>AD700-AE701*(AD700-AD699)</f>
        <v>#N/A</v>
      </c>
      <c r="AE701" s="271" t="e">
        <f>(AE700-AE696)/(AE700-AE699)</f>
        <v>#N/A</v>
      </c>
    </row>
    <row r="702" spans="30:31" x14ac:dyDescent="0.2">
      <c r="AD702" s="272">
        <f>V691</f>
        <v>0</v>
      </c>
      <c r="AE702" s="273">
        <f>W691</f>
        <v>0</v>
      </c>
    </row>
    <row r="703" spans="30:31" x14ac:dyDescent="0.2">
      <c r="AD703" s="267" t="e">
        <f>MATCH(AD702,'SRIM Data'!$Z$9:$Z$140)</f>
        <v>#N/A</v>
      </c>
      <c r="AE703" s="268"/>
    </row>
    <row r="704" spans="30:31" x14ac:dyDescent="0.2">
      <c r="AD704" s="267" t="e">
        <f>AD703+1</f>
        <v>#N/A</v>
      </c>
      <c r="AE704" s="268"/>
    </row>
    <row r="705" spans="30:31" x14ac:dyDescent="0.2">
      <c r="AD705" s="269" t="e">
        <f>INDEX('SRIM Data'!$Z$9:$Z$140,AD703)</f>
        <v>#N/A</v>
      </c>
      <c r="AE705" s="268" t="e">
        <f>INDEX('SRIM Data'!$AA$9:$AA$140,AD703)</f>
        <v>#N/A</v>
      </c>
    </row>
    <row r="706" spans="30:31" x14ac:dyDescent="0.2">
      <c r="AD706" s="269" t="e">
        <f>INDEX('SRIM Data'!$Z$9:$Z$140,AD704)</f>
        <v>#N/A</v>
      </c>
      <c r="AE706" s="268" t="e">
        <f>INDEX('SRIM Data'!$AA$9:$AA$140,AD704)</f>
        <v>#N/A</v>
      </c>
    </row>
    <row r="707" spans="30:31" x14ac:dyDescent="0.2">
      <c r="AD707" s="267" t="e">
        <f>(AD706-AD702)/(AD706-AD705)</f>
        <v>#N/A</v>
      </c>
      <c r="AE707" s="268" t="e">
        <f>AE706-AD707*(AE706-AE705)</f>
        <v>#N/A</v>
      </c>
    </row>
    <row r="708" spans="30:31" x14ac:dyDescent="0.2">
      <c r="AD708" s="267"/>
      <c r="AE708" s="268" t="e">
        <f>AE707-AE702</f>
        <v>#N/A</v>
      </c>
    </row>
    <row r="709" spans="30:31" x14ac:dyDescent="0.2">
      <c r="AD709" s="267"/>
      <c r="AE709" s="268" t="e">
        <f>MATCH(AE708,'SRIM Data'!$AA$9:$AA$140)</f>
        <v>#N/A</v>
      </c>
    </row>
    <row r="710" spans="30:31" x14ac:dyDescent="0.2">
      <c r="AD710" s="267"/>
      <c r="AE710" s="268" t="e">
        <f>AE709+1</f>
        <v>#N/A</v>
      </c>
    </row>
    <row r="711" spans="30:31" x14ac:dyDescent="0.2">
      <c r="AD711" s="269" t="e">
        <f>INDEX('SRIM Data'!$Z$9:$Z$140,AE709)</f>
        <v>#N/A</v>
      </c>
      <c r="AE711" s="268" t="e">
        <f>INDEX('SRIM Data'!$AA$9:$AA$140,AE709)</f>
        <v>#N/A</v>
      </c>
    </row>
    <row r="712" spans="30:31" x14ac:dyDescent="0.2">
      <c r="AD712" s="269" t="e">
        <f>INDEX('SRIM Data'!$Z$9:$Z$140,AE710)</f>
        <v>#N/A</v>
      </c>
      <c r="AE712" s="268" t="e">
        <f>INDEX('SRIM Data'!$AA$9:$AA$140,AE710)</f>
        <v>#N/A</v>
      </c>
    </row>
    <row r="713" spans="30:31" x14ac:dyDescent="0.2">
      <c r="AD713" s="270" t="e">
        <f>AD712-AE713*(AD712-AD711)</f>
        <v>#N/A</v>
      </c>
      <c r="AE713" s="271" t="e">
        <f>(AE712-AE708)/(AE712-AE711)</f>
        <v>#N/A</v>
      </c>
    </row>
    <row r="714" spans="30:31" x14ac:dyDescent="0.2">
      <c r="AD714" s="272">
        <f>V714</f>
        <v>0</v>
      </c>
      <c r="AE714" s="273">
        <f>W714</f>
        <v>0</v>
      </c>
    </row>
    <row r="715" spans="30:31" x14ac:dyDescent="0.2">
      <c r="AD715" s="267" t="e">
        <f>MATCH(AD714,'SRIM Data'!$Z$9:$Z$140)</f>
        <v>#N/A</v>
      </c>
      <c r="AE715" s="268"/>
    </row>
    <row r="716" spans="30:31" x14ac:dyDescent="0.2">
      <c r="AD716" s="267" t="e">
        <f>AD715+1</f>
        <v>#N/A</v>
      </c>
      <c r="AE716" s="268"/>
    </row>
    <row r="717" spans="30:31" x14ac:dyDescent="0.2">
      <c r="AD717" s="269" t="e">
        <f>INDEX('SRIM Data'!$Z$9:$Z$140,AD715)</f>
        <v>#N/A</v>
      </c>
      <c r="AE717" s="268" t="e">
        <f>INDEX('SRIM Data'!$AA$9:$AA$140,AD715)</f>
        <v>#N/A</v>
      </c>
    </row>
    <row r="718" spans="30:31" x14ac:dyDescent="0.2">
      <c r="AD718" s="269" t="e">
        <f>INDEX('SRIM Data'!$Z$9:$Z$140,AD716)</f>
        <v>#N/A</v>
      </c>
      <c r="AE718" s="268" t="e">
        <f>INDEX('SRIM Data'!$AA$9:$AA$140,AD716)</f>
        <v>#N/A</v>
      </c>
    </row>
    <row r="719" spans="30:31" x14ac:dyDescent="0.2">
      <c r="AD719" s="267" t="e">
        <f>(AD718-AD714)/(AD718-AD717)</f>
        <v>#N/A</v>
      </c>
      <c r="AE719" s="268" t="e">
        <f>AE718-AD719*(AE718-AE717)</f>
        <v>#N/A</v>
      </c>
    </row>
    <row r="720" spans="30:31" x14ac:dyDescent="0.2">
      <c r="AD720" s="267"/>
      <c r="AE720" s="268" t="e">
        <f>AE719-AE714</f>
        <v>#N/A</v>
      </c>
    </row>
    <row r="721" spans="30:31" x14ac:dyDescent="0.2">
      <c r="AD721" s="267"/>
      <c r="AE721" s="268" t="e">
        <f>MATCH(AE720,'SRIM Data'!$AA$9:$AA$140)</f>
        <v>#N/A</v>
      </c>
    </row>
    <row r="722" spans="30:31" x14ac:dyDescent="0.2">
      <c r="AD722" s="267"/>
      <c r="AE722" s="268" t="e">
        <f>AE721+1</f>
        <v>#N/A</v>
      </c>
    </row>
    <row r="723" spans="30:31" x14ac:dyDescent="0.2">
      <c r="AD723" s="269" t="e">
        <f>INDEX('SRIM Data'!$Z$9:$Z$140,AE721)</f>
        <v>#N/A</v>
      </c>
      <c r="AE723" s="268" t="e">
        <f>INDEX('SRIM Data'!$AA$9:$AA$140,AE721)</f>
        <v>#N/A</v>
      </c>
    </row>
    <row r="724" spans="30:31" x14ac:dyDescent="0.2">
      <c r="AD724" s="269" t="e">
        <f>INDEX('SRIM Data'!$Z$9:$Z$140,AE722)</f>
        <v>#N/A</v>
      </c>
      <c r="AE724" s="268" t="e">
        <f>INDEX('SRIM Data'!$AA$9:$AA$140,AE722)</f>
        <v>#N/A</v>
      </c>
    </row>
    <row r="725" spans="30:31" x14ac:dyDescent="0.2">
      <c r="AD725" s="270" t="e">
        <f>AD724-AE725*(AD724-AD723)</f>
        <v>#N/A</v>
      </c>
      <c r="AE725" s="271" t="e">
        <f>(AE724-AE720)/(AE724-AE723)</f>
        <v>#N/A</v>
      </c>
    </row>
    <row r="726" spans="30:31" x14ac:dyDescent="0.2">
      <c r="AD726" s="272">
        <f>V715</f>
        <v>0</v>
      </c>
      <c r="AE726" s="273">
        <f>W715</f>
        <v>0</v>
      </c>
    </row>
    <row r="727" spans="30:31" x14ac:dyDescent="0.2">
      <c r="AD727" s="267" t="e">
        <f>MATCH(AD726,'SRIM Data'!$Z$9:$Z$140)</f>
        <v>#N/A</v>
      </c>
      <c r="AE727" s="268"/>
    </row>
    <row r="728" spans="30:31" x14ac:dyDescent="0.2">
      <c r="AD728" s="267" t="e">
        <f>AD727+1</f>
        <v>#N/A</v>
      </c>
      <c r="AE728" s="268"/>
    </row>
    <row r="729" spans="30:31" x14ac:dyDescent="0.2">
      <c r="AD729" s="269" t="e">
        <f>INDEX('SRIM Data'!$Z$9:$Z$140,AD727)</f>
        <v>#N/A</v>
      </c>
      <c r="AE729" s="268" t="e">
        <f>INDEX('SRIM Data'!$AA$9:$AA$140,AD727)</f>
        <v>#N/A</v>
      </c>
    </row>
    <row r="730" spans="30:31" x14ac:dyDescent="0.2">
      <c r="AD730" s="269" t="e">
        <f>INDEX('SRIM Data'!$Z$9:$Z$140,AD728)</f>
        <v>#N/A</v>
      </c>
      <c r="AE730" s="268" t="e">
        <f>INDEX('SRIM Data'!$AA$9:$AA$140,AD728)</f>
        <v>#N/A</v>
      </c>
    </row>
    <row r="731" spans="30:31" x14ac:dyDescent="0.2">
      <c r="AD731" s="267" t="e">
        <f>(AD730-AD726)/(AD730-AD729)</f>
        <v>#N/A</v>
      </c>
      <c r="AE731" s="268" t="e">
        <f>AE730-AD731*(AE730-AE729)</f>
        <v>#N/A</v>
      </c>
    </row>
    <row r="732" spans="30:31" x14ac:dyDescent="0.2">
      <c r="AD732" s="267"/>
      <c r="AE732" s="268" t="e">
        <f>AE731-AE726</f>
        <v>#N/A</v>
      </c>
    </row>
    <row r="733" spans="30:31" x14ac:dyDescent="0.2">
      <c r="AD733" s="267"/>
      <c r="AE733" s="268" t="e">
        <f>MATCH(AE732,'SRIM Data'!$AA$9:$AA$140)</f>
        <v>#N/A</v>
      </c>
    </row>
    <row r="734" spans="30:31" x14ac:dyDescent="0.2">
      <c r="AD734" s="267"/>
      <c r="AE734" s="268" t="e">
        <f>AE733+1</f>
        <v>#N/A</v>
      </c>
    </row>
    <row r="735" spans="30:31" x14ac:dyDescent="0.2">
      <c r="AD735" s="269" t="e">
        <f>INDEX('SRIM Data'!$Z$9:$Z$140,AE733)</f>
        <v>#N/A</v>
      </c>
      <c r="AE735" s="268" t="e">
        <f>INDEX('SRIM Data'!$AA$9:$AA$140,AE733)</f>
        <v>#N/A</v>
      </c>
    </row>
    <row r="736" spans="30:31" x14ac:dyDescent="0.2">
      <c r="AD736" s="269" t="e">
        <f>INDEX('SRIM Data'!$Z$9:$Z$140,AE734)</f>
        <v>#N/A</v>
      </c>
      <c r="AE736" s="268" t="e">
        <f>INDEX('SRIM Data'!$AA$9:$AA$140,AE734)</f>
        <v>#N/A</v>
      </c>
    </row>
    <row r="737" spans="30:31" x14ac:dyDescent="0.2">
      <c r="AD737" s="270" t="e">
        <f>AD736-AE737*(AD736-AD735)</f>
        <v>#N/A</v>
      </c>
      <c r="AE737" s="271" t="e">
        <f>(AE736-AE732)/(AE736-AE735)</f>
        <v>#N/A</v>
      </c>
    </row>
    <row r="738" spans="30:31" x14ac:dyDescent="0.2">
      <c r="AD738" s="272">
        <f>V738</f>
        <v>0</v>
      </c>
      <c r="AE738" s="273">
        <f>W738</f>
        <v>0</v>
      </c>
    </row>
    <row r="739" spans="30:31" x14ac:dyDescent="0.2">
      <c r="AD739" s="267" t="e">
        <f>MATCH(AD738,'SRIM Data'!$Z$9:$Z$140)</f>
        <v>#N/A</v>
      </c>
      <c r="AE739" s="268"/>
    </row>
    <row r="740" spans="30:31" x14ac:dyDescent="0.2">
      <c r="AD740" s="267" t="e">
        <f>AD739+1</f>
        <v>#N/A</v>
      </c>
      <c r="AE740" s="268"/>
    </row>
    <row r="741" spans="30:31" x14ac:dyDescent="0.2">
      <c r="AD741" s="269" t="e">
        <f>INDEX('SRIM Data'!$Z$9:$Z$140,AD739)</f>
        <v>#N/A</v>
      </c>
      <c r="AE741" s="268" t="e">
        <f>INDEX('SRIM Data'!$AA$9:$AA$140,AD739)</f>
        <v>#N/A</v>
      </c>
    </row>
    <row r="742" spans="30:31" x14ac:dyDescent="0.2">
      <c r="AD742" s="269" t="e">
        <f>INDEX('SRIM Data'!$Z$9:$Z$140,AD740)</f>
        <v>#N/A</v>
      </c>
      <c r="AE742" s="268" t="e">
        <f>INDEX('SRIM Data'!$AA$9:$AA$140,AD740)</f>
        <v>#N/A</v>
      </c>
    </row>
    <row r="743" spans="30:31" x14ac:dyDescent="0.2">
      <c r="AD743" s="267" t="e">
        <f>(AD742-AD738)/(AD742-AD741)</f>
        <v>#N/A</v>
      </c>
      <c r="AE743" s="268" t="e">
        <f>AE742-AD743*(AE742-AE741)</f>
        <v>#N/A</v>
      </c>
    </row>
    <row r="744" spans="30:31" x14ac:dyDescent="0.2">
      <c r="AD744" s="267"/>
      <c r="AE744" s="268" t="e">
        <f>AE743-AE738</f>
        <v>#N/A</v>
      </c>
    </row>
    <row r="745" spans="30:31" x14ac:dyDescent="0.2">
      <c r="AD745" s="267"/>
      <c r="AE745" s="268" t="e">
        <f>MATCH(AE744,'SRIM Data'!$AA$9:$AA$140)</f>
        <v>#N/A</v>
      </c>
    </row>
    <row r="746" spans="30:31" x14ac:dyDescent="0.2">
      <c r="AD746" s="267"/>
      <c r="AE746" s="268" t="e">
        <f>AE745+1</f>
        <v>#N/A</v>
      </c>
    </row>
    <row r="747" spans="30:31" x14ac:dyDescent="0.2">
      <c r="AD747" s="269" t="e">
        <f>INDEX('SRIM Data'!$Z$9:$Z$140,AE745)</f>
        <v>#N/A</v>
      </c>
      <c r="AE747" s="268" t="e">
        <f>INDEX('SRIM Data'!$AA$9:$AA$140,AE745)</f>
        <v>#N/A</v>
      </c>
    </row>
    <row r="748" spans="30:31" x14ac:dyDescent="0.2">
      <c r="AD748" s="269" t="e">
        <f>INDEX('SRIM Data'!$Z$9:$Z$140,AE746)</f>
        <v>#N/A</v>
      </c>
      <c r="AE748" s="268" t="e">
        <f>INDEX('SRIM Data'!$AA$9:$AA$140,AE746)</f>
        <v>#N/A</v>
      </c>
    </row>
    <row r="749" spans="30:31" x14ac:dyDescent="0.2">
      <c r="AD749" s="270" t="e">
        <f>AD748-AE749*(AD748-AD747)</f>
        <v>#N/A</v>
      </c>
      <c r="AE749" s="271" t="e">
        <f>(AE748-AE744)/(AE748-AE747)</f>
        <v>#N/A</v>
      </c>
    </row>
    <row r="750" spans="30:31" x14ac:dyDescent="0.2">
      <c r="AD750" s="272">
        <f>V739</f>
        <v>0</v>
      </c>
      <c r="AE750" s="273">
        <f>W739</f>
        <v>0</v>
      </c>
    </row>
    <row r="751" spans="30:31" x14ac:dyDescent="0.2">
      <c r="AD751" s="267" t="e">
        <f>MATCH(AD750,'SRIM Data'!$Z$9:$Z$140)</f>
        <v>#N/A</v>
      </c>
      <c r="AE751" s="268"/>
    </row>
    <row r="752" spans="30:31" x14ac:dyDescent="0.2">
      <c r="AD752" s="267" t="e">
        <f>AD751+1</f>
        <v>#N/A</v>
      </c>
      <c r="AE752" s="268"/>
    </row>
    <row r="753" spans="30:31" x14ac:dyDescent="0.2">
      <c r="AD753" s="269" t="e">
        <f>INDEX('SRIM Data'!$Z$9:$Z$140,AD751)</f>
        <v>#N/A</v>
      </c>
      <c r="AE753" s="268" t="e">
        <f>INDEX('SRIM Data'!$AA$9:$AA$140,AD751)</f>
        <v>#N/A</v>
      </c>
    </row>
    <row r="754" spans="30:31" x14ac:dyDescent="0.2">
      <c r="AD754" s="269" t="e">
        <f>INDEX('SRIM Data'!$Z$9:$Z$140,AD752)</f>
        <v>#N/A</v>
      </c>
      <c r="AE754" s="268" t="e">
        <f>INDEX('SRIM Data'!$AA$9:$AA$140,AD752)</f>
        <v>#N/A</v>
      </c>
    </row>
    <row r="755" spans="30:31" x14ac:dyDescent="0.2">
      <c r="AD755" s="267" t="e">
        <f>(AD754-AD750)/(AD754-AD753)</f>
        <v>#N/A</v>
      </c>
      <c r="AE755" s="268" t="e">
        <f>AE754-AD755*(AE754-AE753)</f>
        <v>#N/A</v>
      </c>
    </row>
    <row r="756" spans="30:31" x14ac:dyDescent="0.2">
      <c r="AD756" s="267"/>
      <c r="AE756" s="268" t="e">
        <f>AE755-AE750</f>
        <v>#N/A</v>
      </c>
    </row>
    <row r="757" spans="30:31" x14ac:dyDescent="0.2">
      <c r="AD757" s="267"/>
      <c r="AE757" s="268" t="e">
        <f>MATCH(AE756,'SRIM Data'!$AA$9:$AA$140)</f>
        <v>#N/A</v>
      </c>
    </row>
    <row r="758" spans="30:31" x14ac:dyDescent="0.2">
      <c r="AD758" s="267"/>
      <c r="AE758" s="268" t="e">
        <f>AE757+1</f>
        <v>#N/A</v>
      </c>
    </row>
    <row r="759" spans="30:31" x14ac:dyDescent="0.2">
      <c r="AD759" s="269" t="e">
        <f>INDEX('SRIM Data'!$Z$9:$Z$140,AE757)</f>
        <v>#N/A</v>
      </c>
      <c r="AE759" s="268" t="e">
        <f>INDEX('SRIM Data'!$AA$9:$AA$140,AE757)</f>
        <v>#N/A</v>
      </c>
    </row>
    <row r="760" spans="30:31" x14ac:dyDescent="0.2">
      <c r="AD760" s="269" t="e">
        <f>INDEX('SRIM Data'!$Z$9:$Z$140,AE758)</f>
        <v>#N/A</v>
      </c>
      <c r="AE760" s="268" t="e">
        <f>INDEX('SRIM Data'!$AA$9:$AA$140,AE758)</f>
        <v>#N/A</v>
      </c>
    </row>
    <row r="761" spans="30:31" x14ac:dyDescent="0.2">
      <c r="AD761" s="270" t="e">
        <f>AD760-AE761*(AD760-AD759)</f>
        <v>#N/A</v>
      </c>
      <c r="AE761" s="271" t="e">
        <f>(AE760-AE756)/(AE760-AE759)</f>
        <v>#N/A</v>
      </c>
    </row>
    <row r="762" spans="30:31" x14ac:dyDescent="0.2">
      <c r="AD762" s="272">
        <f>V762</f>
        <v>0</v>
      </c>
      <c r="AE762" s="273">
        <f>W762</f>
        <v>0</v>
      </c>
    </row>
    <row r="763" spans="30:31" x14ac:dyDescent="0.2">
      <c r="AD763" s="267" t="e">
        <f>MATCH(AD762,'SRIM Data'!$Z$9:$Z$140)</f>
        <v>#N/A</v>
      </c>
      <c r="AE763" s="268"/>
    </row>
    <row r="764" spans="30:31" x14ac:dyDescent="0.2">
      <c r="AD764" s="267" t="e">
        <f>AD763+1</f>
        <v>#N/A</v>
      </c>
      <c r="AE764" s="268"/>
    </row>
    <row r="765" spans="30:31" x14ac:dyDescent="0.2">
      <c r="AD765" s="269" t="e">
        <f>INDEX('SRIM Data'!$Z$9:$Z$140,AD763)</f>
        <v>#N/A</v>
      </c>
      <c r="AE765" s="268" t="e">
        <f>INDEX('SRIM Data'!$AA$9:$AA$140,AD763)</f>
        <v>#N/A</v>
      </c>
    </row>
    <row r="766" spans="30:31" x14ac:dyDescent="0.2">
      <c r="AD766" s="269" t="e">
        <f>INDEX('SRIM Data'!$Z$9:$Z$140,AD764)</f>
        <v>#N/A</v>
      </c>
      <c r="AE766" s="268" t="e">
        <f>INDEX('SRIM Data'!$AA$9:$AA$140,AD764)</f>
        <v>#N/A</v>
      </c>
    </row>
    <row r="767" spans="30:31" x14ac:dyDescent="0.2">
      <c r="AD767" s="267" t="e">
        <f>(AD766-AD762)/(AD766-AD765)</f>
        <v>#N/A</v>
      </c>
      <c r="AE767" s="268" t="e">
        <f>AE766-AD767*(AE766-AE765)</f>
        <v>#N/A</v>
      </c>
    </row>
    <row r="768" spans="30:31" x14ac:dyDescent="0.2">
      <c r="AD768" s="267"/>
      <c r="AE768" s="268" t="e">
        <f>AE767-AE762</f>
        <v>#N/A</v>
      </c>
    </row>
    <row r="769" spans="30:31" x14ac:dyDescent="0.2">
      <c r="AD769" s="267"/>
      <c r="AE769" s="268" t="e">
        <f>MATCH(AE768,'SRIM Data'!$AA$9:$AA$140)</f>
        <v>#N/A</v>
      </c>
    </row>
    <row r="770" spans="30:31" x14ac:dyDescent="0.2">
      <c r="AD770" s="267"/>
      <c r="AE770" s="268" t="e">
        <f>AE769+1</f>
        <v>#N/A</v>
      </c>
    </row>
    <row r="771" spans="30:31" x14ac:dyDescent="0.2">
      <c r="AD771" s="269" t="e">
        <f>INDEX('SRIM Data'!$Z$9:$Z$140,AE769)</f>
        <v>#N/A</v>
      </c>
      <c r="AE771" s="268" t="e">
        <f>INDEX('SRIM Data'!$AA$9:$AA$140,AE769)</f>
        <v>#N/A</v>
      </c>
    </row>
    <row r="772" spans="30:31" x14ac:dyDescent="0.2">
      <c r="AD772" s="269" t="e">
        <f>INDEX('SRIM Data'!$Z$9:$Z$140,AE770)</f>
        <v>#N/A</v>
      </c>
      <c r="AE772" s="268" t="e">
        <f>INDEX('SRIM Data'!$AA$9:$AA$140,AE770)</f>
        <v>#N/A</v>
      </c>
    </row>
    <row r="773" spans="30:31" x14ac:dyDescent="0.2">
      <c r="AD773" s="270" t="e">
        <f>AD772-AE773*(AD772-AD771)</f>
        <v>#N/A</v>
      </c>
      <c r="AE773" s="271" t="e">
        <f>(AE772-AE768)/(AE772-AE771)</f>
        <v>#N/A</v>
      </c>
    </row>
    <row r="774" spans="30:31" x14ac:dyDescent="0.2">
      <c r="AD774" s="272">
        <f>V763</f>
        <v>0</v>
      </c>
      <c r="AE774" s="273">
        <f>W763</f>
        <v>0</v>
      </c>
    </row>
    <row r="775" spans="30:31" x14ac:dyDescent="0.2">
      <c r="AD775" s="267" t="e">
        <f>MATCH(AD774,'SRIM Data'!$Z$9:$Z$140)</f>
        <v>#N/A</v>
      </c>
      <c r="AE775" s="268"/>
    </row>
    <row r="776" spans="30:31" x14ac:dyDescent="0.2">
      <c r="AD776" s="267" t="e">
        <f>AD775+1</f>
        <v>#N/A</v>
      </c>
      <c r="AE776" s="268"/>
    </row>
    <row r="777" spans="30:31" x14ac:dyDescent="0.2">
      <c r="AD777" s="269" t="e">
        <f>INDEX('SRIM Data'!$Z$9:$Z$140,AD775)</f>
        <v>#N/A</v>
      </c>
      <c r="AE777" s="268" t="e">
        <f>INDEX('SRIM Data'!$AA$9:$AA$140,AD775)</f>
        <v>#N/A</v>
      </c>
    </row>
    <row r="778" spans="30:31" x14ac:dyDescent="0.2">
      <c r="AD778" s="269" t="e">
        <f>INDEX('SRIM Data'!$Z$9:$Z$140,AD776)</f>
        <v>#N/A</v>
      </c>
      <c r="AE778" s="268" t="e">
        <f>INDEX('SRIM Data'!$AA$9:$AA$140,AD776)</f>
        <v>#N/A</v>
      </c>
    </row>
    <row r="779" spans="30:31" x14ac:dyDescent="0.2">
      <c r="AD779" s="267" t="e">
        <f>(AD778-AD774)/(AD778-AD777)</f>
        <v>#N/A</v>
      </c>
      <c r="AE779" s="268" t="e">
        <f>AE778-AD779*(AE778-AE777)</f>
        <v>#N/A</v>
      </c>
    </row>
    <row r="780" spans="30:31" x14ac:dyDescent="0.2">
      <c r="AD780" s="267"/>
      <c r="AE780" s="268" t="e">
        <f>AE779-AE774</f>
        <v>#N/A</v>
      </c>
    </row>
    <row r="781" spans="30:31" x14ac:dyDescent="0.2">
      <c r="AD781" s="267"/>
      <c r="AE781" s="268" t="e">
        <f>MATCH(AE780,'SRIM Data'!$AA$9:$AA$140)</f>
        <v>#N/A</v>
      </c>
    </row>
    <row r="782" spans="30:31" x14ac:dyDescent="0.2">
      <c r="AD782" s="267"/>
      <c r="AE782" s="268" t="e">
        <f>AE781+1</f>
        <v>#N/A</v>
      </c>
    </row>
    <row r="783" spans="30:31" x14ac:dyDescent="0.2">
      <c r="AD783" s="269" t="e">
        <f>INDEX('SRIM Data'!$Z$9:$Z$140,AE781)</f>
        <v>#N/A</v>
      </c>
      <c r="AE783" s="268" t="e">
        <f>INDEX('SRIM Data'!$AA$9:$AA$140,AE781)</f>
        <v>#N/A</v>
      </c>
    </row>
    <row r="784" spans="30:31" x14ac:dyDescent="0.2">
      <c r="AD784" s="269" t="e">
        <f>INDEX('SRIM Data'!$Z$9:$Z$140,AE782)</f>
        <v>#N/A</v>
      </c>
      <c r="AE784" s="268" t="e">
        <f>INDEX('SRIM Data'!$AA$9:$AA$140,AE782)</f>
        <v>#N/A</v>
      </c>
    </row>
    <row r="785" spans="30:31" x14ac:dyDescent="0.2">
      <c r="AD785" s="270" t="e">
        <f>AD784-AE785*(AD784-AD783)</f>
        <v>#N/A</v>
      </c>
      <c r="AE785" s="271" t="e">
        <f>(AE784-AE780)/(AE784-AE783)</f>
        <v>#N/A</v>
      </c>
    </row>
    <row r="786" spans="30:31" x14ac:dyDescent="0.2">
      <c r="AD786" s="272">
        <f>V786</f>
        <v>0</v>
      </c>
      <c r="AE786" s="273">
        <f>W786</f>
        <v>0</v>
      </c>
    </row>
    <row r="787" spans="30:31" x14ac:dyDescent="0.2">
      <c r="AD787" s="267" t="e">
        <f>MATCH(AD786,'SRIM Data'!$Z$9:$Z$140)</f>
        <v>#N/A</v>
      </c>
      <c r="AE787" s="268"/>
    </row>
    <row r="788" spans="30:31" x14ac:dyDescent="0.2">
      <c r="AD788" s="267" t="e">
        <f>AD787+1</f>
        <v>#N/A</v>
      </c>
      <c r="AE788" s="268"/>
    </row>
    <row r="789" spans="30:31" x14ac:dyDescent="0.2">
      <c r="AD789" s="269" t="e">
        <f>INDEX('SRIM Data'!$Z$9:$Z$140,AD787)</f>
        <v>#N/A</v>
      </c>
      <c r="AE789" s="268" t="e">
        <f>INDEX('SRIM Data'!$AA$9:$AA$140,AD787)</f>
        <v>#N/A</v>
      </c>
    </row>
    <row r="790" spans="30:31" x14ac:dyDescent="0.2">
      <c r="AD790" s="269" t="e">
        <f>INDEX('SRIM Data'!$Z$9:$Z$140,AD788)</f>
        <v>#N/A</v>
      </c>
      <c r="AE790" s="268" t="e">
        <f>INDEX('SRIM Data'!$AA$9:$AA$140,AD788)</f>
        <v>#N/A</v>
      </c>
    </row>
    <row r="791" spans="30:31" x14ac:dyDescent="0.2">
      <c r="AD791" s="267" t="e">
        <f>(AD790-AD786)/(AD790-AD789)</f>
        <v>#N/A</v>
      </c>
      <c r="AE791" s="268" t="e">
        <f>AE790-AD791*(AE790-AE789)</f>
        <v>#N/A</v>
      </c>
    </row>
    <row r="792" spans="30:31" x14ac:dyDescent="0.2">
      <c r="AD792" s="267"/>
      <c r="AE792" s="268" t="e">
        <f>AE791-AE786</f>
        <v>#N/A</v>
      </c>
    </row>
    <row r="793" spans="30:31" x14ac:dyDescent="0.2">
      <c r="AD793" s="267"/>
      <c r="AE793" s="268" t="e">
        <f>MATCH(AE792,'SRIM Data'!$AA$9:$AA$140)</f>
        <v>#N/A</v>
      </c>
    </row>
    <row r="794" spans="30:31" x14ac:dyDescent="0.2">
      <c r="AD794" s="267"/>
      <c r="AE794" s="268" t="e">
        <f>AE793+1</f>
        <v>#N/A</v>
      </c>
    </row>
    <row r="795" spans="30:31" x14ac:dyDescent="0.2">
      <c r="AD795" s="269" t="e">
        <f>INDEX('SRIM Data'!$Z$9:$Z$140,AE793)</f>
        <v>#N/A</v>
      </c>
      <c r="AE795" s="268" t="e">
        <f>INDEX('SRIM Data'!$AA$9:$AA$140,AE793)</f>
        <v>#N/A</v>
      </c>
    </row>
    <row r="796" spans="30:31" x14ac:dyDescent="0.2">
      <c r="AD796" s="269" t="e">
        <f>INDEX('SRIM Data'!$Z$9:$Z$140,AE794)</f>
        <v>#N/A</v>
      </c>
      <c r="AE796" s="268" t="e">
        <f>INDEX('SRIM Data'!$AA$9:$AA$140,AE794)</f>
        <v>#N/A</v>
      </c>
    </row>
    <row r="797" spans="30:31" x14ac:dyDescent="0.2">
      <c r="AD797" s="270" t="e">
        <f>AD796-AE797*(AD796-AD795)</f>
        <v>#N/A</v>
      </c>
      <c r="AE797" s="271" t="e">
        <f>(AE796-AE792)/(AE796-AE795)</f>
        <v>#N/A</v>
      </c>
    </row>
    <row r="798" spans="30:31" x14ac:dyDescent="0.2">
      <c r="AD798" s="272">
        <f>V787</f>
        <v>0</v>
      </c>
      <c r="AE798" s="273">
        <f>W787</f>
        <v>0</v>
      </c>
    </row>
    <row r="799" spans="30:31" x14ac:dyDescent="0.2">
      <c r="AD799" s="267" t="e">
        <f>MATCH(AD798,'SRIM Data'!$Z$9:$Z$140)</f>
        <v>#N/A</v>
      </c>
      <c r="AE799" s="268"/>
    </row>
    <row r="800" spans="30:31" x14ac:dyDescent="0.2">
      <c r="AD800" s="267" t="e">
        <f>AD799+1</f>
        <v>#N/A</v>
      </c>
      <c r="AE800" s="268"/>
    </row>
    <row r="801" spans="30:31" x14ac:dyDescent="0.2">
      <c r="AD801" s="269" t="e">
        <f>INDEX('SRIM Data'!$Z$9:$Z$140,AD799)</f>
        <v>#N/A</v>
      </c>
      <c r="AE801" s="268" t="e">
        <f>INDEX('SRIM Data'!$AA$9:$AA$140,AD799)</f>
        <v>#N/A</v>
      </c>
    </row>
    <row r="802" spans="30:31" x14ac:dyDescent="0.2">
      <c r="AD802" s="269" t="e">
        <f>INDEX('SRIM Data'!$Z$9:$Z$140,AD800)</f>
        <v>#N/A</v>
      </c>
      <c r="AE802" s="268" t="e">
        <f>INDEX('SRIM Data'!$AA$9:$AA$140,AD800)</f>
        <v>#N/A</v>
      </c>
    </row>
    <row r="803" spans="30:31" x14ac:dyDescent="0.2">
      <c r="AD803" s="267" t="e">
        <f>(AD802-AD798)/(AD802-AD801)</f>
        <v>#N/A</v>
      </c>
      <c r="AE803" s="268" t="e">
        <f>AE802-AD803*(AE802-AE801)</f>
        <v>#N/A</v>
      </c>
    </row>
    <row r="804" spans="30:31" x14ac:dyDescent="0.2">
      <c r="AD804" s="267"/>
      <c r="AE804" s="268" t="e">
        <f>AE803-AE798</f>
        <v>#N/A</v>
      </c>
    </row>
    <row r="805" spans="30:31" x14ac:dyDescent="0.2">
      <c r="AD805" s="267"/>
      <c r="AE805" s="268" t="e">
        <f>MATCH(AE804,'SRIM Data'!$AA$9:$AA$140)</f>
        <v>#N/A</v>
      </c>
    </row>
    <row r="806" spans="30:31" x14ac:dyDescent="0.2">
      <c r="AD806" s="267"/>
      <c r="AE806" s="268" t="e">
        <f>AE805+1</f>
        <v>#N/A</v>
      </c>
    </row>
    <row r="807" spans="30:31" x14ac:dyDescent="0.2">
      <c r="AD807" s="269" t="e">
        <f>INDEX('SRIM Data'!$Z$9:$Z$140,AE805)</f>
        <v>#N/A</v>
      </c>
      <c r="AE807" s="268" t="e">
        <f>INDEX('SRIM Data'!$AA$9:$AA$140,AE805)</f>
        <v>#N/A</v>
      </c>
    </row>
    <row r="808" spans="30:31" x14ac:dyDescent="0.2">
      <c r="AD808" s="269" t="e">
        <f>INDEX('SRIM Data'!$Z$9:$Z$140,AE806)</f>
        <v>#N/A</v>
      </c>
      <c r="AE808" s="268" t="e">
        <f>INDEX('SRIM Data'!$AA$9:$AA$140,AE806)</f>
        <v>#N/A</v>
      </c>
    </row>
    <row r="809" spans="30:31" x14ac:dyDescent="0.2">
      <c r="AD809" s="270" t="e">
        <f>AD808-AE809*(AD808-AD807)</f>
        <v>#N/A</v>
      </c>
      <c r="AE809" s="271" t="e">
        <f>(AE808-AE804)/(AE808-AE807)</f>
        <v>#N/A</v>
      </c>
    </row>
    <row r="810" spans="30:31" x14ac:dyDescent="0.2">
      <c r="AD810" s="272">
        <f>V810</f>
        <v>0</v>
      </c>
      <c r="AE810" s="273">
        <f>W810</f>
        <v>0</v>
      </c>
    </row>
    <row r="811" spans="30:31" x14ac:dyDescent="0.2">
      <c r="AD811" s="267" t="e">
        <f>MATCH(AD810,'SRIM Data'!$Z$9:$Z$140)</f>
        <v>#N/A</v>
      </c>
      <c r="AE811" s="268"/>
    </row>
    <row r="812" spans="30:31" x14ac:dyDescent="0.2">
      <c r="AD812" s="267" t="e">
        <f>AD811+1</f>
        <v>#N/A</v>
      </c>
      <c r="AE812" s="268"/>
    </row>
    <row r="813" spans="30:31" x14ac:dyDescent="0.2">
      <c r="AD813" s="269" t="e">
        <f>INDEX('SRIM Data'!$Z$9:$Z$140,AD811)</f>
        <v>#N/A</v>
      </c>
      <c r="AE813" s="268" t="e">
        <f>INDEX('SRIM Data'!$AA$9:$AA$140,AD811)</f>
        <v>#N/A</v>
      </c>
    </row>
    <row r="814" spans="30:31" x14ac:dyDescent="0.2">
      <c r="AD814" s="269" t="e">
        <f>INDEX('SRIM Data'!$Z$9:$Z$140,AD812)</f>
        <v>#N/A</v>
      </c>
      <c r="AE814" s="268" t="e">
        <f>INDEX('SRIM Data'!$AA$9:$AA$140,AD812)</f>
        <v>#N/A</v>
      </c>
    </row>
    <row r="815" spans="30:31" x14ac:dyDescent="0.2">
      <c r="AD815" s="267" t="e">
        <f>(AD814-AD810)/(AD814-AD813)</f>
        <v>#N/A</v>
      </c>
      <c r="AE815" s="268" t="e">
        <f>AE814-AD815*(AE814-AE813)</f>
        <v>#N/A</v>
      </c>
    </row>
    <row r="816" spans="30:31" x14ac:dyDescent="0.2">
      <c r="AD816" s="267"/>
      <c r="AE816" s="268" t="e">
        <f>AE815-AE810</f>
        <v>#N/A</v>
      </c>
    </row>
    <row r="817" spans="30:31" x14ac:dyDescent="0.2">
      <c r="AD817" s="267"/>
      <c r="AE817" s="268" t="e">
        <f>MATCH(AE816,'SRIM Data'!$AA$9:$AA$140)</f>
        <v>#N/A</v>
      </c>
    </row>
    <row r="818" spans="30:31" x14ac:dyDescent="0.2">
      <c r="AD818" s="267"/>
      <c r="AE818" s="268" t="e">
        <f>AE817+1</f>
        <v>#N/A</v>
      </c>
    </row>
    <row r="819" spans="30:31" x14ac:dyDescent="0.2">
      <c r="AD819" s="269" t="e">
        <f>INDEX('SRIM Data'!$Z$9:$Z$140,AE817)</f>
        <v>#N/A</v>
      </c>
      <c r="AE819" s="268" t="e">
        <f>INDEX('SRIM Data'!$AA$9:$AA$140,AE817)</f>
        <v>#N/A</v>
      </c>
    </row>
    <row r="820" spans="30:31" x14ac:dyDescent="0.2">
      <c r="AD820" s="269" t="e">
        <f>INDEX('SRIM Data'!$Z$9:$Z$140,AE818)</f>
        <v>#N/A</v>
      </c>
      <c r="AE820" s="268" t="e">
        <f>INDEX('SRIM Data'!$AA$9:$AA$140,AE818)</f>
        <v>#N/A</v>
      </c>
    </row>
    <row r="821" spans="30:31" x14ac:dyDescent="0.2">
      <c r="AD821" s="270" t="e">
        <f>AD820-AE821*(AD820-AD819)</f>
        <v>#N/A</v>
      </c>
      <c r="AE821" s="271" t="e">
        <f>(AE820-AE816)/(AE820-AE819)</f>
        <v>#N/A</v>
      </c>
    </row>
    <row r="822" spans="30:31" x14ac:dyDescent="0.2">
      <c r="AD822" s="272">
        <f>V811</f>
        <v>0</v>
      </c>
      <c r="AE822" s="273">
        <f>W811</f>
        <v>0</v>
      </c>
    </row>
    <row r="823" spans="30:31" x14ac:dyDescent="0.2">
      <c r="AD823" s="267" t="e">
        <f>MATCH(AD822,'SRIM Data'!$Z$9:$Z$140)</f>
        <v>#N/A</v>
      </c>
      <c r="AE823" s="268"/>
    </row>
    <row r="824" spans="30:31" x14ac:dyDescent="0.2">
      <c r="AD824" s="267" t="e">
        <f>AD823+1</f>
        <v>#N/A</v>
      </c>
      <c r="AE824" s="268"/>
    </row>
    <row r="825" spans="30:31" x14ac:dyDescent="0.2">
      <c r="AD825" s="269" t="e">
        <f>INDEX('SRIM Data'!$Z$9:$Z$140,AD823)</f>
        <v>#N/A</v>
      </c>
      <c r="AE825" s="268" t="e">
        <f>INDEX('SRIM Data'!$AA$9:$AA$140,AD823)</f>
        <v>#N/A</v>
      </c>
    </row>
    <row r="826" spans="30:31" x14ac:dyDescent="0.2">
      <c r="AD826" s="269" t="e">
        <f>INDEX('SRIM Data'!$Z$9:$Z$140,AD824)</f>
        <v>#N/A</v>
      </c>
      <c r="AE826" s="268" t="e">
        <f>INDEX('SRIM Data'!$AA$9:$AA$140,AD824)</f>
        <v>#N/A</v>
      </c>
    </row>
    <row r="827" spans="30:31" x14ac:dyDescent="0.2">
      <c r="AD827" s="267" t="e">
        <f>(AD826-AD822)/(AD826-AD825)</f>
        <v>#N/A</v>
      </c>
      <c r="AE827" s="268" t="e">
        <f>AE826-AD827*(AE826-AE825)</f>
        <v>#N/A</v>
      </c>
    </row>
    <row r="828" spans="30:31" x14ac:dyDescent="0.2">
      <c r="AD828" s="267"/>
      <c r="AE828" s="268" t="e">
        <f>AE827-AE822</f>
        <v>#N/A</v>
      </c>
    </row>
    <row r="829" spans="30:31" x14ac:dyDescent="0.2">
      <c r="AD829" s="267"/>
      <c r="AE829" s="268" t="e">
        <f>MATCH(AE828,'SRIM Data'!$AA$9:$AA$140)</f>
        <v>#N/A</v>
      </c>
    </row>
    <row r="830" spans="30:31" x14ac:dyDescent="0.2">
      <c r="AD830" s="267"/>
      <c r="AE830" s="268" t="e">
        <f>AE829+1</f>
        <v>#N/A</v>
      </c>
    </row>
    <row r="831" spans="30:31" x14ac:dyDescent="0.2">
      <c r="AD831" s="269" t="e">
        <f>INDEX('SRIM Data'!$Z$9:$Z$140,AE829)</f>
        <v>#N/A</v>
      </c>
      <c r="AE831" s="268" t="e">
        <f>INDEX('SRIM Data'!$AA$9:$AA$140,AE829)</f>
        <v>#N/A</v>
      </c>
    </row>
    <row r="832" spans="30:31" x14ac:dyDescent="0.2">
      <c r="AD832" s="269" t="e">
        <f>INDEX('SRIM Data'!$Z$9:$Z$140,AE830)</f>
        <v>#N/A</v>
      </c>
      <c r="AE832" s="268" t="e">
        <f>INDEX('SRIM Data'!$AA$9:$AA$140,AE830)</f>
        <v>#N/A</v>
      </c>
    </row>
    <row r="833" spans="30:31" x14ac:dyDescent="0.2">
      <c r="AD833" s="270" t="e">
        <f>AD832-AE833*(AD832-AD831)</f>
        <v>#N/A</v>
      </c>
      <c r="AE833" s="271" t="e">
        <f>(AE832-AE828)/(AE832-AE831)</f>
        <v>#N/A</v>
      </c>
    </row>
    <row r="834" spans="30:31" x14ac:dyDescent="0.2">
      <c r="AD834" s="272">
        <f>V834</f>
        <v>0</v>
      </c>
      <c r="AE834" s="273">
        <f>W834</f>
        <v>0</v>
      </c>
    </row>
    <row r="835" spans="30:31" x14ac:dyDescent="0.2">
      <c r="AD835" s="267" t="e">
        <f>MATCH(AD834,'SRIM Data'!$Z$9:$Z$140)</f>
        <v>#N/A</v>
      </c>
      <c r="AE835" s="268"/>
    </row>
    <row r="836" spans="30:31" x14ac:dyDescent="0.2">
      <c r="AD836" s="267" t="e">
        <f>AD835+1</f>
        <v>#N/A</v>
      </c>
      <c r="AE836" s="268"/>
    </row>
    <row r="837" spans="30:31" x14ac:dyDescent="0.2">
      <c r="AD837" s="269" t="e">
        <f>INDEX('SRIM Data'!$Z$9:$Z$140,AD835)</f>
        <v>#N/A</v>
      </c>
      <c r="AE837" s="268" t="e">
        <f>INDEX('SRIM Data'!$AA$9:$AA$140,AD835)</f>
        <v>#N/A</v>
      </c>
    </row>
    <row r="838" spans="30:31" x14ac:dyDescent="0.2">
      <c r="AD838" s="269" t="e">
        <f>INDEX('SRIM Data'!$Z$9:$Z$140,AD836)</f>
        <v>#N/A</v>
      </c>
      <c r="AE838" s="268" t="e">
        <f>INDEX('SRIM Data'!$AA$9:$AA$140,AD836)</f>
        <v>#N/A</v>
      </c>
    </row>
    <row r="839" spans="30:31" x14ac:dyDescent="0.2">
      <c r="AD839" s="267" t="e">
        <f>(AD838-AD834)/(AD838-AD837)</f>
        <v>#N/A</v>
      </c>
      <c r="AE839" s="268" t="e">
        <f>AE838-AD839*(AE838-AE837)</f>
        <v>#N/A</v>
      </c>
    </row>
    <row r="840" spans="30:31" x14ac:dyDescent="0.2">
      <c r="AD840" s="267"/>
      <c r="AE840" s="268" t="e">
        <f>AE839-AE834</f>
        <v>#N/A</v>
      </c>
    </row>
    <row r="841" spans="30:31" x14ac:dyDescent="0.2">
      <c r="AD841" s="267"/>
      <c r="AE841" s="268" t="e">
        <f>MATCH(AE840,'SRIM Data'!$AA$9:$AA$140)</f>
        <v>#N/A</v>
      </c>
    </row>
    <row r="842" spans="30:31" x14ac:dyDescent="0.2">
      <c r="AD842" s="267"/>
      <c r="AE842" s="268" t="e">
        <f>AE841+1</f>
        <v>#N/A</v>
      </c>
    </row>
    <row r="843" spans="30:31" x14ac:dyDescent="0.2">
      <c r="AD843" s="269" t="e">
        <f>INDEX('SRIM Data'!$Z$9:$Z$140,AE841)</f>
        <v>#N/A</v>
      </c>
      <c r="AE843" s="268" t="e">
        <f>INDEX('SRIM Data'!$AA$9:$AA$140,AE841)</f>
        <v>#N/A</v>
      </c>
    </row>
    <row r="844" spans="30:31" x14ac:dyDescent="0.2">
      <c r="AD844" s="269" t="e">
        <f>INDEX('SRIM Data'!$Z$9:$Z$140,AE842)</f>
        <v>#N/A</v>
      </c>
      <c r="AE844" s="268" t="e">
        <f>INDEX('SRIM Data'!$AA$9:$AA$140,AE842)</f>
        <v>#N/A</v>
      </c>
    </row>
    <row r="845" spans="30:31" x14ac:dyDescent="0.2">
      <c r="AD845" s="270" t="e">
        <f>AD844-AE845*(AD844-AD843)</f>
        <v>#N/A</v>
      </c>
      <c r="AE845" s="271" t="e">
        <f>(AE844-AE840)/(AE844-AE843)</f>
        <v>#N/A</v>
      </c>
    </row>
    <row r="846" spans="30:31" x14ac:dyDescent="0.2">
      <c r="AD846" s="272">
        <f>V835</f>
        <v>0</v>
      </c>
      <c r="AE846" s="273">
        <f>W835</f>
        <v>0</v>
      </c>
    </row>
    <row r="847" spans="30:31" x14ac:dyDescent="0.2">
      <c r="AD847" s="267" t="e">
        <f>MATCH(AD846,'SRIM Data'!$Z$9:$Z$140)</f>
        <v>#N/A</v>
      </c>
      <c r="AE847" s="268"/>
    </row>
    <row r="848" spans="30:31" x14ac:dyDescent="0.2">
      <c r="AD848" s="267" t="e">
        <f>AD847+1</f>
        <v>#N/A</v>
      </c>
      <c r="AE848" s="268"/>
    </row>
    <row r="849" spans="30:31" x14ac:dyDescent="0.2">
      <c r="AD849" s="269" t="e">
        <f>INDEX('SRIM Data'!$Z$9:$Z$140,AD847)</f>
        <v>#N/A</v>
      </c>
      <c r="AE849" s="268" t="e">
        <f>INDEX('SRIM Data'!$AA$9:$AA$140,AD847)</f>
        <v>#N/A</v>
      </c>
    </row>
    <row r="850" spans="30:31" x14ac:dyDescent="0.2">
      <c r="AD850" s="269" t="e">
        <f>INDEX('SRIM Data'!$Z$9:$Z$140,AD848)</f>
        <v>#N/A</v>
      </c>
      <c r="AE850" s="268" t="e">
        <f>INDEX('SRIM Data'!$AA$9:$AA$140,AD848)</f>
        <v>#N/A</v>
      </c>
    </row>
    <row r="851" spans="30:31" x14ac:dyDescent="0.2">
      <c r="AD851" s="267" t="e">
        <f>(AD850-AD846)/(AD850-AD849)</f>
        <v>#N/A</v>
      </c>
      <c r="AE851" s="268" t="e">
        <f>AE850-AD851*(AE850-AE849)</f>
        <v>#N/A</v>
      </c>
    </row>
    <row r="852" spans="30:31" x14ac:dyDescent="0.2">
      <c r="AD852" s="267"/>
      <c r="AE852" s="268" t="e">
        <f>AE851-AE846</f>
        <v>#N/A</v>
      </c>
    </row>
    <row r="853" spans="30:31" x14ac:dyDescent="0.2">
      <c r="AD853" s="267"/>
      <c r="AE853" s="268" t="e">
        <f>MATCH(AE852,'SRIM Data'!$AA$9:$AA$140)</f>
        <v>#N/A</v>
      </c>
    </row>
    <row r="854" spans="30:31" x14ac:dyDescent="0.2">
      <c r="AD854" s="267"/>
      <c r="AE854" s="268" t="e">
        <f>AE853+1</f>
        <v>#N/A</v>
      </c>
    </row>
    <row r="855" spans="30:31" x14ac:dyDescent="0.2">
      <c r="AD855" s="269" t="e">
        <f>INDEX('SRIM Data'!$Z$9:$Z$140,AE853)</f>
        <v>#N/A</v>
      </c>
      <c r="AE855" s="268" t="e">
        <f>INDEX('SRIM Data'!$AA$9:$AA$140,AE853)</f>
        <v>#N/A</v>
      </c>
    </row>
    <row r="856" spans="30:31" x14ac:dyDescent="0.2">
      <c r="AD856" s="269" t="e">
        <f>INDEX('SRIM Data'!$Z$9:$Z$140,AE854)</f>
        <v>#N/A</v>
      </c>
      <c r="AE856" s="268" t="e">
        <f>INDEX('SRIM Data'!$AA$9:$AA$140,AE854)</f>
        <v>#N/A</v>
      </c>
    </row>
    <row r="857" spans="30:31" x14ac:dyDescent="0.2">
      <c r="AD857" s="270" t="e">
        <f>AD856-AE857*(AD856-AD855)</f>
        <v>#N/A</v>
      </c>
      <c r="AE857" s="271" t="e">
        <f>(AE856-AE852)/(AE856-AE855)</f>
        <v>#N/A</v>
      </c>
    </row>
    <row r="858" spans="30:31" x14ac:dyDescent="0.2">
      <c r="AD858" s="272">
        <f>V858</f>
        <v>0</v>
      </c>
      <c r="AE858" s="273">
        <f>W858</f>
        <v>0</v>
      </c>
    </row>
    <row r="859" spans="30:31" x14ac:dyDescent="0.2">
      <c r="AD859" s="267" t="e">
        <f>MATCH(AD858,'SRIM Data'!$Z$9:$Z$140)</f>
        <v>#N/A</v>
      </c>
      <c r="AE859" s="268"/>
    </row>
    <row r="860" spans="30:31" x14ac:dyDescent="0.2">
      <c r="AD860" s="267" t="e">
        <f>AD859+1</f>
        <v>#N/A</v>
      </c>
      <c r="AE860" s="268"/>
    </row>
    <row r="861" spans="30:31" x14ac:dyDescent="0.2">
      <c r="AD861" s="269" t="e">
        <f>INDEX('SRIM Data'!$Z$9:$Z$140,AD859)</f>
        <v>#N/A</v>
      </c>
      <c r="AE861" s="268" t="e">
        <f>INDEX('SRIM Data'!$AA$9:$AA$140,AD859)</f>
        <v>#N/A</v>
      </c>
    </row>
    <row r="862" spans="30:31" x14ac:dyDescent="0.2">
      <c r="AD862" s="269" t="e">
        <f>INDEX('SRIM Data'!$Z$9:$Z$140,AD860)</f>
        <v>#N/A</v>
      </c>
      <c r="AE862" s="268" t="e">
        <f>INDEX('SRIM Data'!$AA$9:$AA$140,AD860)</f>
        <v>#N/A</v>
      </c>
    </row>
    <row r="863" spans="30:31" x14ac:dyDescent="0.2">
      <c r="AD863" s="267" t="e">
        <f>(AD862-AD858)/(AD862-AD861)</f>
        <v>#N/A</v>
      </c>
      <c r="AE863" s="268" t="e">
        <f>AE862-AD863*(AE862-AE861)</f>
        <v>#N/A</v>
      </c>
    </row>
    <row r="864" spans="30:31" x14ac:dyDescent="0.2">
      <c r="AD864" s="267"/>
      <c r="AE864" s="268" t="e">
        <f>AE863-AE858</f>
        <v>#N/A</v>
      </c>
    </row>
    <row r="865" spans="30:31" x14ac:dyDescent="0.2">
      <c r="AD865" s="267"/>
      <c r="AE865" s="268" t="e">
        <f>MATCH(AE864,'SRIM Data'!$AA$9:$AA$140)</f>
        <v>#N/A</v>
      </c>
    </row>
    <row r="866" spans="30:31" x14ac:dyDescent="0.2">
      <c r="AD866" s="267"/>
      <c r="AE866" s="268" t="e">
        <f>AE865+1</f>
        <v>#N/A</v>
      </c>
    </row>
    <row r="867" spans="30:31" x14ac:dyDescent="0.2">
      <c r="AD867" s="269" t="e">
        <f>INDEX('SRIM Data'!$Z$9:$Z$140,AE865)</f>
        <v>#N/A</v>
      </c>
      <c r="AE867" s="268" t="e">
        <f>INDEX('SRIM Data'!$AA$9:$AA$140,AE865)</f>
        <v>#N/A</v>
      </c>
    </row>
    <row r="868" spans="30:31" x14ac:dyDescent="0.2">
      <c r="AD868" s="269" t="e">
        <f>INDEX('SRIM Data'!$Z$9:$Z$140,AE866)</f>
        <v>#N/A</v>
      </c>
      <c r="AE868" s="268" t="e">
        <f>INDEX('SRIM Data'!$AA$9:$AA$140,AE866)</f>
        <v>#N/A</v>
      </c>
    </row>
    <row r="869" spans="30:31" x14ac:dyDescent="0.2">
      <c r="AD869" s="270" t="e">
        <f>AD868-AE869*(AD868-AD867)</f>
        <v>#N/A</v>
      </c>
      <c r="AE869" s="271" t="e">
        <f>(AE868-AE864)/(AE868-AE867)</f>
        <v>#N/A</v>
      </c>
    </row>
    <row r="870" spans="30:31" x14ac:dyDescent="0.2">
      <c r="AD870" s="272">
        <f>V859</f>
        <v>0</v>
      </c>
      <c r="AE870" s="273">
        <f>W859</f>
        <v>0</v>
      </c>
    </row>
    <row r="871" spans="30:31" x14ac:dyDescent="0.2">
      <c r="AD871" s="267" t="e">
        <f>MATCH(AD870,'SRIM Data'!$Z$9:$Z$140)</f>
        <v>#N/A</v>
      </c>
      <c r="AE871" s="268"/>
    </row>
    <row r="872" spans="30:31" x14ac:dyDescent="0.2">
      <c r="AD872" s="267" t="e">
        <f>AD871+1</f>
        <v>#N/A</v>
      </c>
      <c r="AE872" s="268"/>
    </row>
    <row r="873" spans="30:31" x14ac:dyDescent="0.2">
      <c r="AD873" s="269" t="e">
        <f>INDEX('SRIM Data'!$Z$9:$Z$140,AD871)</f>
        <v>#N/A</v>
      </c>
      <c r="AE873" s="268" t="e">
        <f>INDEX('SRIM Data'!$AA$9:$AA$140,AD871)</f>
        <v>#N/A</v>
      </c>
    </row>
    <row r="874" spans="30:31" x14ac:dyDescent="0.2">
      <c r="AD874" s="269" t="e">
        <f>INDEX('SRIM Data'!$Z$9:$Z$140,AD872)</f>
        <v>#N/A</v>
      </c>
      <c r="AE874" s="268" t="e">
        <f>INDEX('SRIM Data'!$AA$9:$AA$140,AD872)</f>
        <v>#N/A</v>
      </c>
    </row>
    <row r="875" spans="30:31" x14ac:dyDescent="0.2">
      <c r="AD875" s="267" t="e">
        <f>(AD874-AD870)/(AD874-AD873)</f>
        <v>#N/A</v>
      </c>
      <c r="AE875" s="268" t="e">
        <f>AE874-AD875*(AE874-AE873)</f>
        <v>#N/A</v>
      </c>
    </row>
    <row r="876" spans="30:31" x14ac:dyDescent="0.2">
      <c r="AD876" s="267"/>
      <c r="AE876" s="268" t="e">
        <f>AE875-AE870</f>
        <v>#N/A</v>
      </c>
    </row>
    <row r="877" spans="30:31" x14ac:dyDescent="0.2">
      <c r="AD877" s="267"/>
      <c r="AE877" s="268" t="e">
        <f>MATCH(AE876,'SRIM Data'!$AA$9:$AA$140)</f>
        <v>#N/A</v>
      </c>
    </row>
    <row r="878" spans="30:31" x14ac:dyDescent="0.2">
      <c r="AD878" s="267"/>
      <c r="AE878" s="268" t="e">
        <f>AE877+1</f>
        <v>#N/A</v>
      </c>
    </row>
    <row r="879" spans="30:31" x14ac:dyDescent="0.2">
      <c r="AD879" s="269" t="e">
        <f>INDEX('SRIM Data'!$Z$9:$Z$140,AE877)</f>
        <v>#N/A</v>
      </c>
      <c r="AE879" s="268" t="e">
        <f>INDEX('SRIM Data'!$AA$9:$AA$140,AE877)</f>
        <v>#N/A</v>
      </c>
    </row>
    <row r="880" spans="30:31" x14ac:dyDescent="0.2">
      <c r="AD880" s="269" t="e">
        <f>INDEX('SRIM Data'!$Z$9:$Z$140,AE878)</f>
        <v>#N/A</v>
      </c>
      <c r="AE880" s="268" t="e">
        <f>INDEX('SRIM Data'!$AA$9:$AA$140,AE878)</f>
        <v>#N/A</v>
      </c>
    </row>
    <row r="881" spans="30:31" x14ac:dyDescent="0.2">
      <c r="AD881" s="270" t="e">
        <f>AD880-AE881*(AD880-AD879)</f>
        <v>#N/A</v>
      </c>
      <c r="AE881" s="271" t="e">
        <f>(AE880-AE876)/(AE880-AE879)</f>
        <v>#N/A</v>
      </c>
    </row>
    <row r="882" spans="30:31" x14ac:dyDescent="0.2">
      <c r="AD882" s="272">
        <f>V882</f>
        <v>0</v>
      </c>
      <c r="AE882" s="273">
        <f>W882</f>
        <v>0</v>
      </c>
    </row>
    <row r="883" spans="30:31" x14ac:dyDescent="0.2">
      <c r="AD883" s="267" t="e">
        <f>MATCH(AD882,'SRIM Data'!$Z$9:$Z$140)</f>
        <v>#N/A</v>
      </c>
      <c r="AE883" s="268"/>
    </row>
    <row r="884" spans="30:31" x14ac:dyDescent="0.2">
      <c r="AD884" s="267" t="e">
        <f>AD883+1</f>
        <v>#N/A</v>
      </c>
      <c r="AE884" s="268"/>
    </row>
    <row r="885" spans="30:31" x14ac:dyDescent="0.2">
      <c r="AD885" s="269" t="e">
        <f>INDEX('SRIM Data'!$Z$9:$Z$140,AD883)</f>
        <v>#N/A</v>
      </c>
      <c r="AE885" s="268" t="e">
        <f>INDEX('SRIM Data'!$AA$9:$AA$140,AD883)</f>
        <v>#N/A</v>
      </c>
    </row>
    <row r="886" spans="30:31" x14ac:dyDescent="0.2">
      <c r="AD886" s="269" t="e">
        <f>INDEX('SRIM Data'!$Z$9:$Z$140,AD884)</f>
        <v>#N/A</v>
      </c>
      <c r="AE886" s="268" t="e">
        <f>INDEX('SRIM Data'!$AA$9:$AA$140,AD884)</f>
        <v>#N/A</v>
      </c>
    </row>
    <row r="887" spans="30:31" x14ac:dyDescent="0.2">
      <c r="AD887" s="267" t="e">
        <f>(AD886-AD882)/(AD886-AD885)</f>
        <v>#N/A</v>
      </c>
      <c r="AE887" s="268" t="e">
        <f>AE886-AD887*(AE886-AE885)</f>
        <v>#N/A</v>
      </c>
    </row>
    <row r="888" spans="30:31" x14ac:dyDescent="0.2">
      <c r="AD888" s="267"/>
      <c r="AE888" s="268" t="e">
        <f>AE887-AE882</f>
        <v>#N/A</v>
      </c>
    </row>
    <row r="889" spans="30:31" x14ac:dyDescent="0.2">
      <c r="AD889" s="267"/>
      <c r="AE889" s="268" t="e">
        <f>MATCH(AE888,'SRIM Data'!$AA$9:$AA$140)</f>
        <v>#N/A</v>
      </c>
    </row>
    <row r="890" spans="30:31" x14ac:dyDescent="0.2">
      <c r="AD890" s="267"/>
      <c r="AE890" s="268" t="e">
        <f>AE889+1</f>
        <v>#N/A</v>
      </c>
    </row>
    <row r="891" spans="30:31" x14ac:dyDescent="0.2">
      <c r="AD891" s="269" t="e">
        <f>INDEX('SRIM Data'!$Z$9:$Z$140,AE889)</f>
        <v>#N/A</v>
      </c>
      <c r="AE891" s="268" t="e">
        <f>INDEX('SRIM Data'!$AA$9:$AA$140,AE889)</f>
        <v>#N/A</v>
      </c>
    </row>
    <row r="892" spans="30:31" x14ac:dyDescent="0.2">
      <c r="AD892" s="269" t="e">
        <f>INDEX('SRIM Data'!$Z$9:$Z$140,AE890)</f>
        <v>#N/A</v>
      </c>
      <c r="AE892" s="268" t="e">
        <f>INDEX('SRIM Data'!$AA$9:$AA$140,AE890)</f>
        <v>#N/A</v>
      </c>
    </row>
    <row r="893" spans="30:31" x14ac:dyDescent="0.2">
      <c r="AD893" s="270" t="e">
        <f>AD892-AE893*(AD892-AD891)</f>
        <v>#N/A</v>
      </c>
      <c r="AE893" s="271" t="e">
        <f>(AE892-AE888)/(AE892-AE891)</f>
        <v>#N/A</v>
      </c>
    </row>
    <row r="894" spans="30:31" x14ac:dyDescent="0.2">
      <c r="AD894" s="272">
        <f>V883</f>
        <v>0</v>
      </c>
      <c r="AE894" s="273">
        <f>W883</f>
        <v>0</v>
      </c>
    </row>
    <row r="895" spans="30:31" x14ac:dyDescent="0.2">
      <c r="AD895" s="267" t="e">
        <f>MATCH(AD894,'SRIM Data'!$Z$9:$Z$140)</f>
        <v>#N/A</v>
      </c>
      <c r="AE895" s="268"/>
    </row>
    <row r="896" spans="30:31" x14ac:dyDescent="0.2">
      <c r="AD896" s="267" t="e">
        <f>AD895+1</f>
        <v>#N/A</v>
      </c>
      <c r="AE896" s="268"/>
    </row>
    <row r="897" spans="30:31" x14ac:dyDescent="0.2">
      <c r="AD897" s="269" t="e">
        <f>INDEX('SRIM Data'!$Z$9:$Z$140,AD895)</f>
        <v>#N/A</v>
      </c>
      <c r="AE897" s="268" t="e">
        <f>INDEX('SRIM Data'!$AA$9:$AA$140,AD895)</f>
        <v>#N/A</v>
      </c>
    </row>
    <row r="898" spans="30:31" x14ac:dyDescent="0.2">
      <c r="AD898" s="269" t="e">
        <f>INDEX('SRIM Data'!$Z$9:$Z$140,AD896)</f>
        <v>#N/A</v>
      </c>
      <c r="AE898" s="268" t="e">
        <f>INDEX('SRIM Data'!$AA$9:$AA$140,AD896)</f>
        <v>#N/A</v>
      </c>
    </row>
    <row r="899" spans="30:31" x14ac:dyDescent="0.2">
      <c r="AD899" s="267" t="e">
        <f>(AD898-AD894)/(AD898-AD897)</f>
        <v>#N/A</v>
      </c>
      <c r="AE899" s="268" t="e">
        <f>AE898-AD899*(AE898-AE897)</f>
        <v>#N/A</v>
      </c>
    </row>
    <row r="900" spans="30:31" x14ac:dyDescent="0.2">
      <c r="AD900" s="267"/>
      <c r="AE900" s="268" t="e">
        <f>AE899-AE894</f>
        <v>#N/A</v>
      </c>
    </row>
    <row r="901" spans="30:31" x14ac:dyDescent="0.2">
      <c r="AD901" s="267"/>
      <c r="AE901" s="268" t="e">
        <f>MATCH(AE900,'SRIM Data'!$AA$9:$AA$140)</f>
        <v>#N/A</v>
      </c>
    </row>
    <row r="902" spans="30:31" x14ac:dyDescent="0.2">
      <c r="AD902" s="267"/>
      <c r="AE902" s="268" t="e">
        <f>AE901+1</f>
        <v>#N/A</v>
      </c>
    </row>
    <row r="903" spans="30:31" x14ac:dyDescent="0.2">
      <c r="AD903" s="269" t="e">
        <f>INDEX('SRIM Data'!$Z$9:$Z$140,AE901)</f>
        <v>#N/A</v>
      </c>
      <c r="AE903" s="268" t="e">
        <f>INDEX('SRIM Data'!$AA$9:$AA$140,AE901)</f>
        <v>#N/A</v>
      </c>
    </row>
    <row r="904" spans="30:31" x14ac:dyDescent="0.2">
      <c r="AD904" s="269" t="e">
        <f>INDEX('SRIM Data'!$Z$9:$Z$140,AE902)</f>
        <v>#N/A</v>
      </c>
      <c r="AE904" s="268" t="e">
        <f>INDEX('SRIM Data'!$AA$9:$AA$140,AE902)</f>
        <v>#N/A</v>
      </c>
    </row>
    <row r="905" spans="30:31" x14ac:dyDescent="0.2">
      <c r="AD905" s="270" t="e">
        <f>AD904-AE905*(AD904-AD903)</f>
        <v>#N/A</v>
      </c>
      <c r="AE905" s="271" t="e">
        <f>(AE904-AE900)/(AE904-AE903)</f>
        <v>#N/A</v>
      </c>
    </row>
    <row r="906" spans="30:31" x14ac:dyDescent="0.2">
      <c r="AD906" s="272">
        <f>V906</f>
        <v>0</v>
      </c>
      <c r="AE906" s="273">
        <f>W906</f>
        <v>0</v>
      </c>
    </row>
    <row r="907" spans="30:31" x14ac:dyDescent="0.2">
      <c r="AD907" s="267" t="e">
        <f>MATCH(AD906,'SRIM Data'!$Z$9:$Z$140)</f>
        <v>#N/A</v>
      </c>
      <c r="AE907" s="268"/>
    </row>
    <row r="908" spans="30:31" x14ac:dyDescent="0.2">
      <c r="AD908" s="267" t="e">
        <f>AD907+1</f>
        <v>#N/A</v>
      </c>
      <c r="AE908" s="268"/>
    </row>
    <row r="909" spans="30:31" x14ac:dyDescent="0.2">
      <c r="AD909" s="269" t="e">
        <f>INDEX('SRIM Data'!$Z$9:$Z$140,AD907)</f>
        <v>#N/A</v>
      </c>
      <c r="AE909" s="268" t="e">
        <f>INDEX('SRIM Data'!$AA$9:$AA$140,AD907)</f>
        <v>#N/A</v>
      </c>
    </row>
    <row r="910" spans="30:31" x14ac:dyDescent="0.2">
      <c r="AD910" s="269" t="e">
        <f>INDEX('SRIM Data'!$Z$9:$Z$140,AD908)</f>
        <v>#N/A</v>
      </c>
      <c r="AE910" s="268" t="e">
        <f>INDEX('SRIM Data'!$AA$9:$AA$140,AD908)</f>
        <v>#N/A</v>
      </c>
    </row>
    <row r="911" spans="30:31" x14ac:dyDescent="0.2">
      <c r="AD911" s="267" t="e">
        <f>(AD910-AD906)/(AD910-AD909)</f>
        <v>#N/A</v>
      </c>
      <c r="AE911" s="268" t="e">
        <f>AE910-AD911*(AE910-AE909)</f>
        <v>#N/A</v>
      </c>
    </row>
    <row r="912" spans="30:31" x14ac:dyDescent="0.2">
      <c r="AD912" s="267"/>
      <c r="AE912" s="268" t="e">
        <f>AE911-AE906</f>
        <v>#N/A</v>
      </c>
    </row>
    <row r="913" spans="30:31" x14ac:dyDescent="0.2">
      <c r="AD913" s="267"/>
      <c r="AE913" s="268" t="e">
        <f>MATCH(AE912,'SRIM Data'!$AA$9:$AA$140)</f>
        <v>#N/A</v>
      </c>
    </row>
    <row r="914" spans="30:31" x14ac:dyDescent="0.2">
      <c r="AD914" s="267"/>
      <c r="AE914" s="268" t="e">
        <f>AE913+1</f>
        <v>#N/A</v>
      </c>
    </row>
    <row r="915" spans="30:31" x14ac:dyDescent="0.2">
      <c r="AD915" s="269" t="e">
        <f>INDEX('SRIM Data'!$Z$9:$Z$140,AE913)</f>
        <v>#N/A</v>
      </c>
      <c r="AE915" s="268" t="e">
        <f>INDEX('SRIM Data'!$AA$9:$AA$140,AE913)</f>
        <v>#N/A</v>
      </c>
    </row>
    <row r="916" spans="30:31" x14ac:dyDescent="0.2">
      <c r="AD916" s="269" t="e">
        <f>INDEX('SRIM Data'!$Z$9:$Z$140,AE914)</f>
        <v>#N/A</v>
      </c>
      <c r="AE916" s="268" t="e">
        <f>INDEX('SRIM Data'!$AA$9:$AA$140,AE914)</f>
        <v>#N/A</v>
      </c>
    </row>
    <row r="917" spans="30:31" x14ac:dyDescent="0.2">
      <c r="AD917" s="270" t="e">
        <f>AD916-AE917*(AD916-AD915)</f>
        <v>#N/A</v>
      </c>
      <c r="AE917" s="271" t="e">
        <f>(AE916-AE912)/(AE916-AE915)</f>
        <v>#N/A</v>
      </c>
    </row>
    <row r="918" spans="30:31" x14ac:dyDescent="0.2">
      <c r="AD918" s="272">
        <f>V907</f>
        <v>0</v>
      </c>
      <c r="AE918" s="273">
        <f>W907</f>
        <v>0</v>
      </c>
    </row>
    <row r="919" spans="30:31" x14ac:dyDescent="0.2">
      <c r="AD919" s="267" t="e">
        <f>MATCH(AD918,'SRIM Data'!$Z$9:$Z$140)</f>
        <v>#N/A</v>
      </c>
      <c r="AE919" s="268"/>
    </row>
    <row r="920" spans="30:31" x14ac:dyDescent="0.2">
      <c r="AD920" s="267" t="e">
        <f>AD919+1</f>
        <v>#N/A</v>
      </c>
      <c r="AE920" s="268"/>
    </row>
    <row r="921" spans="30:31" x14ac:dyDescent="0.2">
      <c r="AD921" s="269" t="e">
        <f>INDEX('SRIM Data'!$Z$9:$Z$140,AD919)</f>
        <v>#N/A</v>
      </c>
      <c r="AE921" s="268" t="e">
        <f>INDEX('SRIM Data'!$AA$9:$AA$140,AD919)</f>
        <v>#N/A</v>
      </c>
    </row>
    <row r="922" spans="30:31" x14ac:dyDescent="0.2">
      <c r="AD922" s="269" t="e">
        <f>INDEX('SRIM Data'!$Z$9:$Z$140,AD920)</f>
        <v>#N/A</v>
      </c>
      <c r="AE922" s="268" t="e">
        <f>INDEX('SRIM Data'!$AA$9:$AA$140,AD920)</f>
        <v>#N/A</v>
      </c>
    </row>
    <row r="923" spans="30:31" x14ac:dyDescent="0.2">
      <c r="AD923" s="267" t="e">
        <f>(AD922-AD918)/(AD922-AD921)</f>
        <v>#N/A</v>
      </c>
      <c r="AE923" s="268" t="e">
        <f>AE922-AD923*(AE922-AE921)</f>
        <v>#N/A</v>
      </c>
    </row>
    <row r="924" spans="30:31" x14ac:dyDescent="0.2">
      <c r="AD924" s="267"/>
      <c r="AE924" s="268" t="e">
        <f>AE923-AE918</f>
        <v>#N/A</v>
      </c>
    </row>
    <row r="925" spans="30:31" x14ac:dyDescent="0.2">
      <c r="AD925" s="267"/>
      <c r="AE925" s="268" t="e">
        <f>MATCH(AE924,'SRIM Data'!$AA$9:$AA$140)</f>
        <v>#N/A</v>
      </c>
    </row>
    <row r="926" spans="30:31" x14ac:dyDescent="0.2">
      <c r="AD926" s="267"/>
      <c r="AE926" s="268" t="e">
        <f>AE925+1</f>
        <v>#N/A</v>
      </c>
    </row>
    <row r="927" spans="30:31" x14ac:dyDescent="0.2">
      <c r="AD927" s="269" t="e">
        <f>INDEX('SRIM Data'!$Z$9:$Z$140,AE925)</f>
        <v>#N/A</v>
      </c>
      <c r="AE927" s="268" t="e">
        <f>INDEX('SRIM Data'!$AA$9:$AA$140,AE925)</f>
        <v>#N/A</v>
      </c>
    </row>
    <row r="928" spans="30:31" x14ac:dyDescent="0.2">
      <c r="AD928" s="269" t="e">
        <f>INDEX('SRIM Data'!$Z$9:$Z$140,AE926)</f>
        <v>#N/A</v>
      </c>
      <c r="AE928" s="268" t="e">
        <f>INDEX('SRIM Data'!$AA$9:$AA$140,AE926)</f>
        <v>#N/A</v>
      </c>
    </row>
    <row r="929" spans="30:31" x14ac:dyDescent="0.2">
      <c r="AD929" s="270" t="e">
        <f>AD928-AE929*(AD928-AD927)</f>
        <v>#N/A</v>
      </c>
      <c r="AE929" s="271" t="e">
        <f>(AE928-AE924)/(AE928-AE927)</f>
        <v>#N/A</v>
      </c>
    </row>
    <row r="930" spans="30:31" x14ac:dyDescent="0.2">
      <c r="AD930" s="272">
        <f>V930</f>
        <v>0</v>
      </c>
      <c r="AE930" s="273">
        <f>W930</f>
        <v>0</v>
      </c>
    </row>
    <row r="931" spans="30:31" x14ac:dyDescent="0.2">
      <c r="AD931" s="267" t="e">
        <f>MATCH(AD930,'SRIM Data'!$Z$9:$Z$140)</f>
        <v>#N/A</v>
      </c>
      <c r="AE931" s="268"/>
    </row>
    <row r="932" spans="30:31" x14ac:dyDescent="0.2">
      <c r="AD932" s="267" t="e">
        <f>AD931+1</f>
        <v>#N/A</v>
      </c>
      <c r="AE932" s="268"/>
    </row>
    <row r="933" spans="30:31" x14ac:dyDescent="0.2">
      <c r="AD933" s="269" t="e">
        <f>INDEX('SRIM Data'!$Z$9:$Z$140,AD931)</f>
        <v>#N/A</v>
      </c>
      <c r="AE933" s="268" t="e">
        <f>INDEX('SRIM Data'!$AA$9:$AA$140,AD931)</f>
        <v>#N/A</v>
      </c>
    </row>
    <row r="934" spans="30:31" x14ac:dyDescent="0.2">
      <c r="AD934" s="269" t="e">
        <f>INDEX('SRIM Data'!$Z$9:$Z$140,AD932)</f>
        <v>#N/A</v>
      </c>
      <c r="AE934" s="268" t="e">
        <f>INDEX('SRIM Data'!$AA$9:$AA$140,AD932)</f>
        <v>#N/A</v>
      </c>
    </row>
    <row r="935" spans="30:31" x14ac:dyDescent="0.2">
      <c r="AD935" s="267" t="e">
        <f>(AD934-AD930)/(AD934-AD933)</f>
        <v>#N/A</v>
      </c>
      <c r="AE935" s="268" t="e">
        <f>AE934-AD935*(AE934-AE933)</f>
        <v>#N/A</v>
      </c>
    </row>
    <row r="936" spans="30:31" x14ac:dyDescent="0.2">
      <c r="AD936" s="267"/>
      <c r="AE936" s="268" t="e">
        <f>AE935-AE930</f>
        <v>#N/A</v>
      </c>
    </row>
    <row r="937" spans="30:31" x14ac:dyDescent="0.2">
      <c r="AD937" s="267"/>
      <c r="AE937" s="268" t="e">
        <f>MATCH(AE936,'SRIM Data'!$AA$9:$AA$140)</f>
        <v>#N/A</v>
      </c>
    </row>
    <row r="938" spans="30:31" x14ac:dyDescent="0.2">
      <c r="AD938" s="267"/>
      <c r="AE938" s="268" t="e">
        <f>AE937+1</f>
        <v>#N/A</v>
      </c>
    </row>
    <row r="939" spans="30:31" x14ac:dyDescent="0.2">
      <c r="AD939" s="269" t="e">
        <f>INDEX('SRIM Data'!$Z$9:$Z$140,AE937)</f>
        <v>#N/A</v>
      </c>
      <c r="AE939" s="268" t="e">
        <f>INDEX('SRIM Data'!$AA$9:$AA$140,AE937)</f>
        <v>#N/A</v>
      </c>
    </row>
    <row r="940" spans="30:31" x14ac:dyDescent="0.2">
      <c r="AD940" s="269" t="e">
        <f>INDEX('SRIM Data'!$Z$9:$Z$140,AE938)</f>
        <v>#N/A</v>
      </c>
      <c r="AE940" s="268" t="e">
        <f>INDEX('SRIM Data'!$AA$9:$AA$140,AE938)</f>
        <v>#N/A</v>
      </c>
    </row>
    <row r="941" spans="30:31" x14ac:dyDescent="0.2">
      <c r="AD941" s="270" t="e">
        <f>AD940-AE941*(AD940-AD939)</f>
        <v>#N/A</v>
      </c>
      <c r="AE941" s="271" t="e">
        <f>(AE940-AE936)/(AE940-AE939)</f>
        <v>#N/A</v>
      </c>
    </row>
    <row r="942" spans="30:31" x14ac:dyDescent="0.2">
      <c r="AD942" s="272">
        <f>V931</f>
        <v>0</v>
      </c>
      <c r="AE942" s="273">
        <f>W931</f>
        <v>0</v>
      </c>
    </row>
    <row r="943" spans="30:31" x14ac:dyDescent="0.2">
      <c r="AD943" s="267" t="e">
        <f>MATCH(AD942,'SRIM Data'!$Z$9:$Z$140)</f>
        <v>#N/A</v>
      </c>
      <c r="AE943" s="268"/>
    </row>
    <row r="944" spans="30:31" x14ac:dyDescent="0.2">
      <c r="AD944" s="267" t="e">
        <f>AD943+1</f>
        <v>#N/A</v>
      </c>
      <c r="AE944" s="268"/>
    </row>
    <row r="945" spans="30:31" x14ac:dyDescent="0.2">
      <c r="AD945" s="269" t="e">
        <f>INDEX('SRIM Data'!$Z$9:$Z$140,AD943)</f>
        <v>#N/A</v>
      </c>
      <c r="AE945" s="268" t="e">
        <f>INDEX('SRIM Data'!$AA$9:$AA$140,AD943)</f>
        <v>#N/A</v>
      </c>
    </row>
    <row r="946" spans="30:31" x14ac:dyDescent="0.2">
      <c r="AD946" s="269" t="e">
        <f>INDEX('SRIM Data'!$Z$9:$Z$140,AD944)</f>
        <v>#N/A</v>
      </c>
      <c r="AE946" s="268" t="e">
        <f>INDEX('SRIM Data'!$AA$9:$AA$140,AD944)</f>
        <v>#N/A</v>
      </c>
    </row>
    <row r="947" spans="30:31" x14ac:dyDescent="0.2">
      <c r="AD947" s="267" t="e">
        <f>(AD946-AD942)/(AD946-AD945)</f>
        <v>#N/A</v>
      </c>
      <c r="AE947" s="268" t="e">
        <f>AE946-AD947*(AE946-AE945)</f>
        <v>#N/A</v>
      </c>
    </row>
    <row r="948" spans="30:31" x14ac:dyDescent="0.2">
      <c r="AD948" s="267"/>
      <c r="AE948" s="268" t="e">
        <f>AE947-AE942</f>
        <v>#N/A</v>
      </c>
    </row>
    <row r="949" spans="30:31" x14ac:dyDescent="0.2">
      <c r="AD949" s="267"/>
      <c r="AE949" s="268" t="e">
        <f>MATCH(AE948,'SRIM Data'!$AA$9:$AA$140)</f>
        <v>#N/A</v>
      </c>
    </row>
    <row r="950" spans="30:31" x14ac:dyDescent="0.2">
      <c r="AD950" s="267"/>
      <c r="AE950" s="268" t="e">
        <f>AE949+1</f>
        <v>#N/A</v>
      </c>
    </row>
    <row r="951" spans="30:31" x14ac:dyDescent="0.2">
      <c r="AD951" s="269" t="e">
        <f>INDEX('SRIM Data'!$Z$9:$Z$140,AE949)</f>
        <v>#N/A</v>
      </c>
      <c r="AE951" s="268" t="e">
        <f>INDEX('SRIM Data'!$AA$9:$AA$140,AE949)</f>
        <v>#N/A</v>
      </c>
    </row>
    <row r="952" spans="30:31" x14ac:dyDescent="0.2">
      <c r="AD952" s="269" t="e">
        <f>INDEX('SRIM Data'!$Z$9:$Z$140,AE950)</f>
        <v>#N/A</v>
      </c>
      <c r="AE952" s="268" t="e">
        <f>INDEX('SRIM Data'!$AA$9:$AA$140,AE950)</f>
        <v>#N/A</v>
      </c>
    </row>
    <row r="953" spans="30:31" x14ac:dyDescent="0.2">
      <c r="AD953" s="270" t="e">
        <f>AD952-AE953*(AD952-AD951)</f>
        <v>#N/A</v>
      </c>
      <c r="AE953" s="271" t="e">
        <f>(AE952-AE948)/(AE952-AE951)</f>
        <v>#N/A</v>
      </c>
    </row>
    <row r="954" spans="30:31" x14ac:dyDescent="0.2">
      <c r="AD954" s="272">
        <f>V954</f>
        <v>0</v>
      </c>
      <c r="AE954" s="273">
        <f>W954</f>
        <v>0</v>
      </c>
    </row>
    <row r="955" spans="30:31" x14ac:dyDescent="0.2">
      <c r="AD955" s="267" t="e">
        <f>MATCH(AD954,'SRIM Data'!$Z$9:$Z$140)</f>
        <v>#N/A</v>
      </c>
      <c r="AE955" s="268"/>
    </row>
    <row r="956" spans="30:31" x14ac:dyDescent="0.2">
      <c r="AD956" s="267" t="e">
        <f>AD955+1</f>
        <v>#N/A</v>
      </c>
      <c r="AE956" s="268"/>
    </row>
    <row r="957" spans="30:31" x14ac:dyDescent="0.2">
      <c r="AD957" s="269" t="e">
        <f>INDEX('SRIM Data'!$Z$9:$Z$140,AD955)</f>
        <v>#N/A</v>
      </c>
      <c r="AE957" s="268" t="e">
        <f>INDEX('SRIM Data'!$AA$9:$AA$140,AD955)</f>
        <v>#N/A</v>
      </c>
    </row>
    <row r="958" spans="30:31" x14ac:dyDescent="0.2">
      <c r="AD958" s="269" t="e">
        <f>INDEX('SRIM Data'!$Z$9:$Z$140,AD956)</f>
        <v>#N/A</v>
      </c>
      <c r="AE958" s="268" t="e">
        <f>INDEX('SRIM Data'!$AA$9:$AA$140,AD956)</f>
        <v>#N/A</v>
      </c>
    </row>
    <row r="959" spans="30:31" x14ac:dyDescent="0.2">
      <c r="AD959" s="267" t="e">
        <f>(AD958-AD954)/(AD958-AD957)</f>
        <v>#N/A</v>
      </c>
      <c r="AE959" s="268" t="e">
        <f>AE958-AD959*(AE958-AE957)</f>
        <v>#N/A</v>
      </c>
    </row>
    <row r="960" spans="30:31" x14ac:dyDescent="0.2">
      <c r="AD960" s="267"/>
      <c r="AE960" s="268" t="e">
        <f>AE959-AE954</f>
        <v>#N/A</v>
      </c>
    </row>
    <row r="961" spans="30:31" x14ac:dyDescent="0.2">
      <c r="AD961" s="267"/>
      <c r="AE961" s="268" t="e">
        <f>MATCH(AE960,'SRIM Data'!$AA$9:$AA$140)</f>
        <v>#N/A</v>
      </c>
    </row>
    <row r="962" spans="30:31" x14ac:dyDescent="0.2">
      <c r="AD962" s="267"/>
      <c r="AE962" s="268" t="e">
        <f>AE961+1</f>
        <v>#N/A</v>
      </c>
    </row>
    <row r="963" spans="30:31" x14ac:dyDescent="0.2">
      <c r="AD963" s="269" t="e">
        <f>INDEX('SRIM Data'!$Z$9:$Z$140,AE961)</f>
        <v>#N/A</v>
      </c>
      <c r="AE963" s="268" t="e">
        <f>INDEX('SRIM Data'!$AA$9:$AA$140,AE961)</f>
        <v>#N/A</v>
      </c>
    </row>
    <row r="964" spans="30:31" x14ac:dyDescent="0.2">
      <c r="AD964" s="269" t="e">
        <f>INDEX('SRIM Data'!$Z$9:$Z$140,AE962)</f>
        <v>#N/A</v>
      </c>
      <c r="AE964" s="268" t="e">
        <f>INDEX('SRIM Data'!$AA$9:$AA$140,AE962)</f>
        <v>#N/A</v>
      </c>
    </row>
    <row r="965" spans="30:31" x14ac:dyDescent="0.2">
      <c r="AD965" s="270" t="e">
        <f>AD964-AE965*(AD964-AD963)</f>
        <v>#N/A</v>
      </c>
      <c r="AE965" s="271" t="e">
        <f>(AE964-AE960)/(AE964-AE963)</f>
        <v>#N/A</v>
      </c>
    </row>
    <row r="966" spans="30:31" x14ac:dyDescent="0.2">
      <c r="AD966" s="272">
        <f>V955</f>
        <v>0</v>
      </c>
      <c r="AE966" s="273">
        <f>W955</f>
        <v>0</v>
      </c>
    </row>
    <row r="967" spans="30:31" x14ac:dyDescent="0.2">
      <c r="AD967" s="267" t="e">
        <f>MATCH(AD966,'SRIM Data'!$Z$9:$Z$140)</f>
        <v>#N/A</v>
      </c>
      <c r="AE967" s="268"/>
    </row>
    <row r="968" spans="30:31" x14ac:dyDescent="0.2">
      <c r="AD968" s="267" t="e">
        <f>AD967+1</f>
        <v>#N/A</v>
      </c>
      <c r="AE968" s="268"/>
    </row>
    <row r="969" spans="30:31" x14ac:dyDescent="0.2">
      <c r="AD969" s="269" t="e">
        <f>INDEX('SRIM Data'!$Z$9:$Z$140,AD967)</f>
        <v>#N/A</v>
      </c>
      <c r="AE969" s="268" t="e">
        <f>INDEX('SRIM Data'!$AA$9:$AA$140,AD967)</f>
        <v>#N/A</v>
      </c>
    </row>
    <row r="970" spans="30:31" x14ac:dyDescent="0.2">
      <c r="AD970" s="269" t="e">
        <f>INDEX('SRIM Data'!$Z$9:$Z$140,AD968)</f>
        <v>#N/A</v>
      </c>
      <c r="AE970" s="268" t="e">
        <f>INDEX('SRIM Data'!$AA$9:$AA$140,AD968)</f>
        <v>#N/A</v>
      </c>
    </row>
    <row r="971" spans="30:31" x14ac:dyDescent="0.2">
      <c r="AD971" s="267" t="e">
        <f>(AD970-AD966)/(AD970-AD969)</f>
        <v>#N/A</v>
      </c>
      <c r="AE971" s="268" t="e">
        <f>AE970-AD971*(AE970-AE969)</f>
        <v>#N/A</v>
      </c>
    </row>
    <row r="972" spans="30:31" x14ac:dyDescent="0.2">
      <c r="AD972" s="267"/>
      <c r="AE972" s="268" t="e">
        <f>AE971-AE966</f>
        <v>#N/A</v>
      </c>
    </row>
    <row r="973" spans="30:31" x14ac:dyDescent="0.2">
      <c r="AD973" s="267"/>
      <c r="AE973" s="268" t="e">
        <f>MATCH(AE972,'SRIM Data'!$AA$9:$AA$140)</f>
        <v>#N/A</v>
      </c>
    </row>
    <row r="974" spans="30:31" x14ac:dyDescent="0.2">
      <c r="AD974" s="267"/>
      <c r="AE974" s="268" t="e">
        <f>AE973+1</f>
        <v>#N/A</v>
      </c>
    </row>
    <row r="975" spans="30:31" x14ac:dyDescent="0.2">
      <c r="AD975" s="269" t="e">
        <f>INDEX('SRIM Data'!$Z$9:$Z$140,AE973)</f>
        <v>#N/A</v>
      </c>
      <c r="AE975" s="268" t="e">
        <f>INDEX('SRIM Data'!$AA$9:$AA$140,AE973)</f>
        <v>#N/A</v>
      </c>
    </row>
    <row r="976" spans="30:31" x14ac:dyDescent="0.2">
      <c r="AD976" s="269" t="e">
        <f>INDEX('SRIM Data'!$Z$9:$Z$140,AE974)</f>
        <v>#N/A</v>
      </c>
      <c r="AE976" s="268" t="e">
        <f>INDEX('SRIM Data'!$AA$9:$AA$140,AE974)</f>
        <v>#N/A</v>
      </c>
    </row>
    <row r="977" spans="30:31" x14ac:dyDescent="0.2">
      <c r="AD977" s="270" t="e">
        <f>AD976-AE977*(AD976-AD975)</f>
        <v>#N/A</v>
      </c>
      <c r="AE977" s="271" t="e">
        <f>(AE976-AE972)/(AE976-AE975)</f>
        <v>#N/A</v>
      </c>
    </row>
    <row r="978" spans="30:31" x14ac:dyDescent="0.2">
      <c r="AD978" s="272">
        <f>V978</f>
        <v>0</v>
      </c>
      <c r="AE978" s="273">
        <f>W978</f>
        <v>0</v>
      </c>
    </row>
    <row r="979" spans="30:31" x14ac:dyDescent="0.2">
      <c r="AD979" s="267" t="e">
        <f>MATCH(AD978,'SRIM Data'!$Z$9:$Z$140)</f>
        <v>#N/A</v>
      </c>
      <c r="AE979" s="268"/>
    </row>
    <row r="980" spans="30:31" x14ac:dyDescent="0.2">
      <c r="AD980" s="267" t="e">
        <f>AD979+1</f>
        <v>#N/A</v>
      </c>
      <c r="AE980" s="268"/>
    </row>
    <row r="981" spans="30:31" x14ac:dyDescent="0.2">
      <c r="AD981" s="269" t="e">
        <f>INDEX('SRIM Data'!$Z$9:$Z$140,AD979)</f>
        <v>#N/A</v>
      </c>
      <c r="AE981" s="268" t="e">
        <f>INDEX('SRIM Data'!$AA$9:$AA$140,AD979)</f>
        <v>#N/A</v>
      </c>
    </row>
    <row r="982" spans="30:31" x14ac:dyDescent="0.2">
      <c r="AD982" s="269" t="e">
        <f>INDEX('SRIM Data'!$Z$9:$Z$140,AD980)</f>
        <v>#N/A</v>
      </c>
      <c r="AE982" s="268" t="e">
        <f>INDEX('SRIM Data'!$AA$9:$AA$140,AD980)</f>
        <v>#N/A</v>
      </c>
    </row>
    <row r="983" spans="30:31" x14ac:dyDescent="0.2">
      <c r="AD983" s="267" t="e">
        <f>(AD982-AD978)/(AD982-AD981)</f>
        <v>#N/A</v>
      </c>
      <c r="AE983" s="268" t="e">
        <f>AE982-AD983*(AE982-AE981)</f>
        <v>#N/A</v>
      </c>
    </row>
    <row r="984" spans="30:31" x14ac:dyDescent="0.2">
      <c r="AD984" s="267"/>
      <c r="AE984" s="268" t="e">
        <f>AE983-AE978</f>
        <v>#N/A</v>
      </c>
    </row>
    <row r="985" spans="30:31" x14ac:dyDescent="0.2">
      <c r="AD985" s="267"/>
      <c r="AE985" s="268" t="e">
        <f>MATCH(AE984,'SRIM Data'!$AA$9:$AA$140)</f>
        <v>#N/A</v>
      </c>
    </row>
    <row r="986" spans="30:31" x14ac:dyDescent="0.2">
      <c r="AD986" s="267"/>
      <c r="AE986" s="268" t="e">
        <f>AE985+1</f>
        <v>#N/A</v>
      </c>
    </row>
    <row r="987" spans="30:31" x14ac:dyDescent="0.2">
      <c r="AD987" s="269" t="e">
        <f>INDEX('SRIM Data'!$Z$9:$Z$140,AE985)</f>
        <v>#N/A</v>
      </c>
      <c r="AE987" s="268" t="e">
        <f>INDEX('SRIM Data'!$AA$9:$AA$140,AE985)</f>
        <v>#N/A</v>
      </c>
    </row>
    <row r="988" spans="30:31" x14ac:dyDescent="0.2">
      <c r="AD988" s="269" t="e">
        <f>INDEX('SRIM Data'!$Z$9:$Z$140,AE986)</f>
        <v>#N/A</v>
      </c>
      <c r="AE988" s="268" t="e">
        <f>INDEX('SRIM Data'!$AA$9:$AA$140,AE986)</f>
        <v>#N/A</v>
      </c>
    </row>
    <row r="989" spans="30:31" x14ac:dyDescent="0.2">
      <c r="AD989" s="270" t="e">
        <f>AD988-AE989*(AD988-AD987)</f>
        <v>#N/A</v>
      </c>
      <c r="AE989" s="271" t="e">
        <f>(AE988-AE984)/(AE988-AE987)</f>
        <v>#N/A</v>
      </c>
    </row>
    <row r="990" spans="30:31" x14ac:dyDescent="0.2">
      <c r="AD990" s="272">
        <f>V979</f>
        <v>0</v>
      </c>
      <c r="AE990" s="273">
        <f>W979</f>
        <v>0</v>
      </c>
    </row>
    <row r="991" spans="30:31" x14ac:dyDescent="0.2">
      <c r="AD991" s="267" t="e">
        <f>MATCH(AD990,'SRIM Data'!$Z$9:$Z$140)</f>
        <v>#N/A</v>
      </c>
      <c r="AE991" s="268"/>
    </row>
    <row r="992" spans="30:31" x14ac:dyDescent="0.2">
      <c r="AD992" s="267" t="e">
        <f>AD991+1</f>
        <v>#N/A</v>
      </c>
      <c r="AE992" s="268"/>
    </row>
    <row r="993" spans="30:31" x14ac:dyDescent="0.2">
      <c r="AD993" s="269" t="e">
        <f>INDEX('SRIM Data'!$Z$9:$Z$140,AD991)</f>
        <v>#N/A</v>
      </c>
      <c r="AE993" s="268" t="e">
        <f>INDEX('SRIM Data'!$AA$9:$AA$140,AD991)</f>
        <v>#N/A</v>
      </c>
    </row>
    <row r="994" spans="30:31" x14ac:dyDescent="0.2">
      <c r="AD994" s="269" t="e">
        <f>INDEX('SRIM Data'!$Z$9:$Z$140,AD992)</f>
        <v>#N/A</v>
      </c>
      <c r="AE994" s="268" t="e">
        <f>INDEX('SRIM Data'!$AA$9:$AA$140,AD992)</f>
        <v>#N/A</v>
      </c>
    </row>
    <row r="995" spans="30:31" x14ac:dyDescent="0.2">
      <c r="AD995" s="267" t="e">
        <f>(AD994-AD990)/(AD994-AD993)</f>
        <v>#N/A</v>
      </c>
      <c r="AE995" s="268" t="e">
        <f>AE994-AD995*(AE994-AE993)</f>
        <v>#N/A</v>
      </c>
    </row>
    <row r="996" spans="30:31" x14ac:dyDescent="0.2">
      <c r="AD996" s="267"/>
      <c r="AE996" s="268" t="e">
        <f>AE995-AE990</f>
        <v>#N/A</v>
      </c>
    </row>
    <row r="997" spans="30:31" x14ac:dyDescent="0.2">
      <c r="AD997" s="267"/>
      <c r="AE997" s="268" t="e">
        <f>MATCH(AE996,'SRIM Data'!$AA$9:$AA$140)</f>
        <v>#N/A</v>
      </c>
    </row>
    <row r="998" spans="30:31" x14ac:dyDescent="0.2">
      <c r="AD998" s="267"/>
      <c r="AE998" s="268" t="e">
        <f>AE997+1</f>
        <v>#N/A</v>
      </c>
    </row>
    <row r="999" spans="30:31" x14ac:dyDescent="0.2">
      <c r="AD999" s="269" t="e">
        <f>INDEX('SRIM Data'!$Z$9:$Z$140,AE997)</f>
        <v>#N/A</v>
      </c>
      <c r="AE999" s="268" t="e">
        <f>INDEX('SRIM Data'!$AA$9:$AA$140,AE997)</f>
        <v>#N/A</v>
      </c>
    </row>
    <row r="1000" spans="30:31" x14ac:dyDescent="0.2">
      <c r="AD1000" s="269" t="e">
        <f>INDEX('SRIM Data'!$Z$9:$Z$140,AE998)</f>
        <v>#N/A</v>
      </c>
      <c r="AE1000" s="268" t="e">
        <f>INDEX('SRIM Data'!$AA$9:$AA$140,AE998)</f>
        <v>#N/A</v>
      </c>
    </row>
    <row r="1001" spans="30:31" x14ac:dyDescent="0.2">
      <c r="AD1001" s="270" t="e">
        <f>AD1000-AE1001*(AD1000-AD999)</f>
        <v>#N/A</v>
      </c>
      <c r="AE1001" s="271" t="e">
        <f>(AE1000-AE996)/(AE1000-AE999)</f>
        <v>#N/A</v>
      </c>
    </row>
    <row r="1002" spans="30:31" x14ac:dyDescent="0.2">
      <c r="AD1002" s="272">
        <f>V1002</f>
        <v>0</v>
      </c>
      <c r="AE1002" s="273">
        <f>W1002</f>
        <v>0</v>
      </c>
    </row>
    <row r="1003" spans="30:31" x14ac:dyDescent="0.2">
      <c r="AD1003" s="267" t="e">
        <f>MATCH(AD1002,'SRIM Data'!$Z$9:$Z$140)</f>
        <v>#N/A</v>
      </c>
      <c r="AE1003" s="268"/>
    </row>
    <row r="1004" spans="30:31" x14ac:dyDescent="0.2">
      <c r="AD1004" s="267" t="e">
        <f>AD1003+1</f>
        <v>#N/A</v>
      </c>
      <c r="AE1004" s="268"/>
    </row>
    <row r="1005" spans="30:31" x14ac:dyDescent="0.2">
      <c r="AD1005" s="269" t="e">
        <f>INDEX('SRIM Data'!$Z$9:$Z$140,AD1003)</f>
        <v>#N/A</v>
      </c>
      <c r="AE1005" s="268" t="e">
        <f>INDEX('SRIM Data'!$AA$9:$AA$140,AD1003)</f>
        <v>#N/A</v>
      </c>
    </row>
    <row r="1006" spans="30:31" x14ac:dyDescent="0.2">
      <c r="AD1006" s="269" t="e">
        <f>INDEX('SRIM Data'!$Z$9:$Z$140,AD1004)</f>
        <v>#N/A</v>
      </c>
      <c r="AE1006" s="268" t="e">
        <f>INDEX('SRIM Data'!$AA$9:$AA$140,AD1004)</f>
        <v>#N/A</v>
      </c>
    </row>
    <row r="1007" spans="30:31" x14ac:dyDescent="0.2">
      <c r="AD1007" s="267" t="e">
        <f>(AD1006-AD1002)/(AD1006-AD1005)</f>
        <v>#N/A</v>
      </c>
      <c r="AE1007" s="268" t="e">
        <f>AE1006-AD1007*(AE1006-AE1005)</f>
        <v>#N/A</v>
      </c>
    </row>
    <row r="1008" spans="30:31" x14ac:dyDescent="0.2">
      <c r="AD1008" s="267"/>
      <c r="AE1008" s="268" t="e">
        <f>AE1007-AE1002</f>
        <v>#N/A</v>
      </c>
    </row>
    <row r="1009" spans="30:31" x14ac:dyDescent="0.2">
      <c r="AD1009" s="267"/>
      <c r="AE1009" s="268" t="e">
        <f>MATCH(AE1008,'SRIM Data'!$AA$9:$AA$140)</f>
        <v>#N/A</v>
      </c>
    </row>
    <row r="1010" spans="30:31" x14ac:dyDescent="0.2">
      <c r="AD1010" s="267"/>
      <c r="AE1010" s="268" t="e">
        <f>AE1009+1</f>
        <v>#N/A</v>
      </c>
    </row>
    <row r="1011" spans="30:31" x14ac:dyDescent="0.2">
      <c r="AD1011" s="269" t="e">
        <f>INDEX('SRIM Data'!$Z$9:$Z$140,AE1009)</f>
        <v>#N/A</v>
      </c>
      <c r="AE1011" s="268" t="e">
        <f>INDEX('SRIM Data'!$AA$9:$AA$140,AE1009)</f>
        <v>#N/A</v>
      </c>
    </row>
    <row r="1012" spans="30:31" x14ac:dyDescent="0.2">
      <c r="AD1012" s="269" t="e">
        <f>INDEX('SRIM Data'!$Z$9:$Z$140,AE1010)</f>
        <v>#N/A</v>
      </c>
      <c r="AE1012" s="268" t="e">
        <f>INDEX('SRIM Data'!$AA$9:$AA$140,AE1010)</f>
        <v>#N/A</v>
      </c>
    </row>
    <row r="1013" spans="30:31" x14ac:dyDescent="0.2">
      <c r="AD1013" s="270" t="e">
        <f>AD1012-AE1013*(AD1012-AD1011)</f>
        <v>#N/A</v>
      </c>
      <c r="AE1013" s="271" t="e">
        <f>(AE1012-AE1008)/(AE1012-AE1011)</f>
        <v>#N/A</v>
      </c>
    </row>
    <row r="1014" spans="30:31" x14ac:dyDescent="0.2">
      <c r="AD1014" s="272">
        <f>V1003</f>
        <v>0</v>
      </c>
      <c r="AE1014" s="273">
        <f>W1003</f>
        <v>0</v>
      </c>
    </row>
    <row r="1015" spans="30:31" x14ac:dyDescent="0.2">
      <c r="AD1015" s="267" t="e">
        <f>MATCH(AD1014,'SRIM Data'!$Z$9:$Z$140)</f>
        <v>#N/A</v>
      </c>
      <c r="AE1015" s="268"/>
    </row>
    <row r="1016" spans="30:31" x14ac:dyDescent="0.2">
      <c r="AD1016" s="267" t="e">
        <f>AD1015+1</f>
        <v>#N/A</v>
      </c>
      <c r="AE1016" s="268"/>
    </row>
    <row r="1017" spans="30:31" x14ac:dyDescent="0.2">
      <c r="AD1017" s="269" t="e">
        <f>INDEX('SRIM Data'!$Z$9:$Z$140,AD1015)</f>
        <v>#N/A</v>
      </c>
      <c r="AE1017" s="268" t="e">
        <f>INDEX('SRIM Data'!$AA$9:$AA$140,AD1015)</f>
        <v>#N/A</v>
      </c>
    </row>
    <row r="1018" spans="30:31" x14ac:dyDescent="0.2">
      <c r="AD1018" s="269" t="e">
        <f>INDEX('SRIM Data'!$Z$9:$Z$140,AD1016)</f>
        <v>#N/A</v>
      </c>
      <c r="AE1018" s="268" t="e">
        <f>INDEX('SRIM Data'!$AA$9:$AA$140,AD1016)</f>
        <v>#N/A</v>
      </c>
    </row>
    <row r="1019" spans="30:31" x14ac:dyDescent="0.2">
      <c r="AD1019" s="267" t="e">
        <f>(AD1018-AD1014)/(AD1018-AD1017)</f>
        <v>#N/A</v>
      </c>
      <c r="AE1019" s="268" t="e">
        <f>AE1018-AD1019*(AE1018-AE1017)</f>
        <v>#N/A</v>
      </c>
    </row>
    <row r="1020" spans="30:31" x14ac:dyDescent="0.2">
      <c r="AD1020" s="267"/>
      <c r="AE1020" s="268" t="e">
        <f>AE1019-AE1014</f>
        <v>#N/A</v>
      </c>
    </row>
    <row r="1021" spans="30:31" x14ac:dyDescent="0.2">
      <c r="AD1021" s="267"/>
      <c r="AE1021" s="268" t="e">
        <f>MATCH(AE1020,'SRIM Data'!$AA$9:$AA$140)</f>
        <v>#N/A</v>
      </c>
    </row>
    <row r="1022" spans="30:31" x14ac:dyDescent="0.2">
      <c r="AD1022" s="267"/>
      <c r="AE1022" s="268" t="e">
        <f>AE1021+1</f>
        <v>#N/A</v>
      </c>
    </row>
    <row r="1023" spans="30:31" x14ac:dyDescent="0.2">
      <c r="AD1023" s="269" t="e">
        <f>INDEX('SRIM Data'!$Z$9:$Z$140,AE1021)</f>
        <v>#N/A</v>
      </c>
      <c r="AE1023" s="268" t="e">
        <f>INDEX('SRIM Data'!$AA$9:$AA$140,AE1021)</f>
        <v>#N/A</v>
      </c>
    </row>
    <row r="1024" spans="30:31" x14ac:dyDescent="0.2">
      <c r="AD1024" s="269" t="e">
        <f>INDEX('SRIM Data'!$Z$9:$Z$140,AE1022)</f>
        <v>#N/A</v>
      </c>
      <c r="AE1024" s="268" t="e">
        <f>INDEX('SRIM Data'!$AA$9:$AA$140,AE1022)</f>
        <v>#N/A</v>
      </c>
    </row>
    <row r="1025" spans="30:31" x14ac:dyDescent="0.2">
      <c r="AD1025" s="270" t="e">
        <f>AD1024-AE1025*(AD1024-AD1023)</f>
        <v>#N/A</v>
      </c>
      <c r="AE1025" s="271" t="e">
        <f>(AE1024-AE1020)/(AE1024-AE1023)</f>
        <v>#N/A</v>
      </c>
    </row>
    <row r="1026" spans="30:31" x14ac:dyDescent="0.2">
      <c r="AD1026" s="272">
        <f>V1026</f>
        <v>0</v>
      </c>
      <c r="AE1026" s="273">
        <f>W1026</f>
        <v>0</v>
      </c>
    </row>
    <row r="1027" spans="30:31" x14ac:dyDescent="0.2">
      <c r="AD1027" s="267" t="e">
        <f>MATCH(AD1026,'SRIM Data'!$Z$9:$Z$140)</f>
        <v>#N/A</v>
      </c>
      <c r="AE1027" s="268"/>
    </row>
    <row r="1028" spans="30:31" x14ac:dyDescent="0.2">
      <c r="AD1028" s="267" t="e">
        <f>AD1027+1</f>
        <v>#N/A</v>
      </c>
      <c r="AE1028" s="268"/>
    </row>
    <row r="1029" spans="30:31" x14ac:dyDescent="0.2">
      <c r="AD1029" s="269" t="e">
        <f>INDEX('SRIM Data'!$Z$9:$Z$140,AD1027)</f>
        <v>#N/A</v>
      </c>
      <c r="AE1029" s="268" t="e">
        <f>INDEX('SRIM Data'!$AA$9:$AA$140,AD1027)</f>
        <v>#N/A</v>
      </c>
    </row>
    <row r="1030" spans="30:31" x14ac:dyDescent="0.2">
      <c r="AD1030" s="269" t="e">
        <f>INDEX('SRIM Data'!$Z$9:$Z$140,AD1028)</f>
        <v>#N/A</v>
      </c>
      <c r="AE1030" s="268" t="e">
        <f>INDEX('SRIM Data'!$AA$9:$AA$140,AD1028)</f>
        <v>#N/A</v>
      </c>
    </row>
    <row r="1031" spans="30:31" x14ac:dyDescent="0.2">
      <c r="AD1031" s="267" t="e">
        <f>(AD1030-AD1026)/(AD1030-AD1029)</f>
        <v>#N/A</v>
      </c>
      <c r="AE1031" s="268" t="e">
        <f>AE1030-AD1031*(AE1030-AE1029)</f>
        <v>#N/A</v>
      </c>
    </row>
    <row r="1032" spans="30:31" x14ac:dyDescent="0.2">
      <c r="AD1032" s="267"/>
      <c r="AE1032" s="268" t="e">
        <f>AE1031-AE1026</f>
        <v>#N/A</v>
      </c>
    </row>
    <row r="1033" spans="30:31" x14ac:dyDescent="0.2">
      <c r="AD1033" s="267"/>
      <c r="AE1033" s="268" t="e">
        <f>MATCH(AE1032,'SRIM Data'!$AA$9:$AA$140)</f>
        <v>#N/A</v>
      </c>
    </row>
    <row r="1034" spans="30:31" x14ac:dyDescent="0.2">
      <c r="AD1034" s="267"/>
      <c r="AE1034" s="268" t="e">
        <f>AE1033+1</f>
        <v>#N/A</v>
      </c>
    </row>
    <row r="1035" spans="30:31" x14ac:dyDescent="0.2">
      <c r="AD1035" s="269" t="e">
        <f>INDEX('SRIM Data'!$Z$9:$Z$140,AE1033)</f>
        <v>#N/A</v>
      </c>
      <c r="AE1035" s="268" t="e">
        <f>INDEX('SRIM Data'!$AA$9:$AA$140,AE1033)</f>
        <v>#N/A</v>
      </c>
    </row>
    <row r="1036" spans="30:31" x14ac:dyDescent="0.2">
      <c r="AD1036" s="269" t="e">
        <f>INDEX('SRIM Data'!$Z$9:$Z$140,AE1034)</f>
        <v>#N/A</v>
      </c>
      <c r="AE1036" s="268" t="e">
        <f>INDEX('SRIM Data'!$AA$9:$AA$140,AE1034)</f>
        <v>#N/A</v>
      </c>
    </row>
    <row r="1037" spans="30:31" x14ac:dyDescent="0.2">
      <c r="AD1037" s="270" t="e">
        <f>AD1036-AE1037*(AD1036-AD1035)</f>
        <v>#N/A</v>
      </c>
      <c r="AE1037" s="271" t="e">
        <f>(AE1036-AE1032)/(AE1036-AE1035)</f>
        <v>#N/A</v>
      </c>
    </row>
    <row r="1038" spans="30:31" x14ac:dyDescent="0.2">
      <c r="AD1038" s="272">
        <f>V1027</f>
        <v>0</v>
      </c>
      <c r="AE1038" s="273">
        <f>W1027</f>
        <v>0</v>
      </c>
    </row>
    <row r="1039" spans="30:31" x14ac:dyDescent="0.2">
      <c r="AD1039" s="267" t="e">
        <f>MATCH(AD1038,'SRIM Data'!$Z$9:$Z$140)</f>
        <v>#N/A</v>
      </c>
      <c r="AE1039" s="268"/>
    </row>
    <row r="1040" spans="30:31" x14ac:dyDescent="0.2">
      <c r="AD1040" s="267" t="e">
        <f>AD1039+1</f>
        <v>#N/A</v>
      </c>
      <c r="AE1040" s="268"/>
    </row>
    <row r="1041" spans="30:31" x14ac:dyDescent="0.2">
      <c r="AD1041" s="269" t="e">
        <f>INDEX('SRIM Data'!$Z$9:$Z$140,AD1039)</f>
        <v>#N/A</v>
      </c>
      <c r="AE1041" s="268" t="e">
        <f>INDEX('SRIM Data'!$AA$9:$AA$140,AD1039)</f>
        <v>#N/A</v>
      </c>
    </row>
    <row r="1042" spans="30:31" x14ac:dyDescent="0.2">
      <c r="AD1042" s="269" t="e">
        <f>INDEX('SRIM Data'!$Z$9:$Z$140,AD1040)</f>
        <v>#N/A</v>
      </c>
      <c r="AE1042" s="268" t="e">
        <f>INDEX('SRIM Data'!$AA$9:$AA$140,AD1040)</f>
        <v>#N/A</v>
      </c>
    </row>
    <row r="1043" spans="30:31" x14ac:dyDescent="0.2">
      <c r="AD1043" s="267" t="e">
        <f>(AD1042-AD1038)/(AD1042-AD1041)</f>
        <v>#N/A</v>
      </c>
      <c r="AE1043" s="268" t="e">
        <f>AE1042-AD1043*(AE1042-AE1041)</f>
        <v>#N/A</v>
      </c>
    </row>
    <row r="1044" spans="30:31" x14ac:dyDescent="0.2">
      <c r="AD1044" s="267"/>
      <c r="AE1044" s="268" t="e">
        <f>AE1043-AE1038</f>
        <v>#N/A</v>
      </c>
    </row>
    <row r="1045" spans="30:31" x14ac:dyDescent="0.2">
      <c r="AD1045" s="267"/>
      <c r="AE1045" s="268" t="e">
        <f>MATCH(AE1044,'SRIM Data'!$AA$9:$AA$140)</f>
        <v>#N/A</v>
      </c>
    </row>
    <row r="1046" spans="30:31" x14ac:dyDescent="0.2">
      <c r="AD1046" s="267"/>
      <c r="AE1046" s="268" t="e">
        <f>AE1045+1</f>
        <v>#N/A</v>
      </c>
    </row>
    <row r="1047" spans="30:31" x14ac:dyDescent="0.2">
      <c r="AD1047" s="269" t="e">
        <f>INDEX('SRIM Data'!$Z$9:$Z$140,AE1045)</f>
        <v>#N/A</v>
      </c>
      <c r="AE1047" s="268" t="e">
        <f>INDEX('SRIM Data'!$AA$9:$AA$140,AE1045)</f>
        <v>#N/A</v>
      </c>
    </row>
    <row r="1048" spans="30:31" x14ac:dyDescent="0.2">
      <c r="AD1048" s="269" t="e">
        <f>INDEX('SRIM Data'!$Z$9:$Z$140,AE1046)</f>
        <v>#N/A</v>
      </c>
      <c r="AE1048" s="268" t="e">
        <f>INDEX('SRIM Data'!$AA$9:$AA$140,AE1046)</f>
        <v>#N/A</v>
      </c>
    </row>
    <row r="1049" spans="30:31" x14ac:dyDescent="0.2">
      <c r="AD1049" s="270" t="e">
        <f>AD1048-AE1049*(AD1048-AD1047)</f>
        <v>#N/A</v>
      </c>
      <c r="AE1049" s="271" t="e">
        <f>(AE1048-AE1044)/(AE1048-AE1047)</f>
        <v>#N/A</v>
      </c>
    </row>
    <row r="1050" spans="30:31" x14ac:dyDescent="0.2">
      <c r="AD1050" s="272">
        <f>V1050</f>
        <v>0</v>
      </c>
      <c r="AE1050" s="273">
        <f>W1050</f>
        <v>0</v>
      </c>
    </row>
    <row r="1051" spans="30:31" x14ac:dyDescent="0.2">
      <c r="AD1051" s="267" t="e">
        <f>MATCH(AD1050,'SRIM Data'!$Z$9:$Z$140)</f>
        <v>#N/A</v>
      </c>
      <c r="AE1051" s="268"/>
    </row>
    <row r="1052" spans="30:31" x14ac:dyDescent="0.2">
      <c r="AD1052" s="267" t="e">
        <f>AD1051+1</f>
        <v>#N/A</v>
      </c>
      <c r="AE1052" s="268"/>
    </row>
    <row r="1053" spans="30:31" x14ac:dyDescent="0.2">
      <c r="AD1053" s="269" t="e">
        <f>INDEX('SRIM Data'!$Z$9:$Z$140,AD1051)</f>
        <v>#N/A</v>
      </c>
      <c r="AE1053" s="268" t="e">
        <f>INDEX('SRIM Data'!$AA$9:$AA$140,AD1051)</f>
        <v>#N/A</v>
      </c>
    </row>
    <row r="1054" spans="30:31" x14ac:dyDescent="0.2">
      <c r="AD1054" s="269" t="e">
        <f>INDEX('SRIM Data'!$Z$9:$Z$140,AD1052)</f>
        <v>#N/A</v>
      </c>
      <c r="AE1054" s="268" t="e">
        <f>INDEX('SRIM Data'!$AA$9:$AA$140,AD1052)</f>
        <v>#N/A</v>
      </c>
    </row>
    <row r="1055" spans="30:31" x14ac:dyDescent="0.2">
      <c r="AD1055" s="267" t="e">
        <f>(AD1054-AD1050)/(AD1054-AD1053)</f>
        <v>#N/A</v>
      </c>
      <c r="AE1055" s="268" t="e">
        <f>AE1054-AD1055*(AE1054-AE1053)</f>
        <v>#N/A</v>
      </c>
    </row>
    <row r="1056" spans="30:31" x14ac:dyDescent="0.2">
      <c r="AD1056" s="267"/>
      <c r="AE1056" s="268" t="e">
        <f>AE1055-AE1050</f>
        <v>#N/A</v>
      </c>
    </row>
    <row r="1057" spans="30:31" x14ac:dyDescent="0.2">
      <c r="AD1057" s="267"/>
      <c r="AE1057" s="268" t="e">
        <f>MATCH(AE1056,'SRIM Data'!$AA$9:$AA$140)</f>
        <v>#N/A</v>
      </c>
    </row>
    <row r="1058" spans="30:31" x14ac:dyDescent="0.2">
      <c r="AD1058" s="267"/>
      <c r="AE1058" s="268" t="e">
        <f>AE1057+1</f>
        <v>#N/A</v>
      </c>
    </row>
    <row r="1059" spans="30:31" x14ac:dyDescent="0.2">
      <c r="AD1059" s="269" t="e">
        <f>INDEX('SRIM Data'!$Z$9:$Z$140,AE1057)</f>
        <v>#N/A</v>
      </c>
      <c r="AE1059" s="268" t="e">
        <f>INDEX('SRIM Data'!$AA$9:$AA$140,AE1057)</f>
        <v>#N/A</v>
      </c>
    </row>
    <row r="1060" spans="30:31" x14ac:dyDescent="0.2">
      <c r="AD1060" s="269" t="e">
        <f>INDEX('SRIM Data'!$Z$9:$Z$140,AE1058)</f>
        <v>#N/A</v>
      </c>
      <c r="AE1060" s="268" t="e">
        <f>INDEX('SRIM Data'!$AA$9:$AA$140,AE1058)</f>
        <v>#N/A</v>
      </c>
    </row>
    <row r="1061" spans="30:31" x14ac:dyDescent="0.2">
      <c r="AD1061" s="270" t="e">
        <f>AD1060-AE1061*(AD1060-AD1059)</f>
        <v>#N/A</v>
      </c>
      <c r="AE1061" s="271" t="e">
        <f>(AE1060-AE1056)/(AE1060-AE1059)</f>
        <v>#N/A</v>
      </c>
    </row>
    <row r="1062" spans="30:31" x14ac:dyDescent="0.2">
      <c r="AD1062" s="272">
        <f>V1051</f>
        <v>0</v>
      </c>
      <c r="AE1062" s="273">
        <f>W1051</f>
        <v>0</v>
      </c>
    </row>
    <row r="1063" spans="30:31" x14ac:dyDescent="0.2">
      <c r="AD1063" s="267" t="e">
        <f>MATCH(AD1062,'SRIM Data'!$Z$9:$Z$140)</f>
        <v>#N/A</v>
      </c>
      <c r="AE1063" s="268"/>
    </row>
    <row r="1064" spans="30:31" x14ac:dyDescent="0.2">
      <c r="AD1064" s="267" t="e">
        <f>AD1063+1</f>
        <v>#N/A</v>
      </c>
      <c r="AE1064" s="268"/>
    </row>
    <row r="1065" spans="30:31" x14ac:dyDescent="0.2">
      <c r="AD1065" s="269" t="e">
        <f>INDEX('SRIM Data'!$Z$9:$Z$140,AD1063)</f>
        <v>#N/A</v>
      </c>
      <c r="AE1065" s="268" t="e">
        <f>INDEX('SRIM Data'!$AA$9:$AA$140,AD1063)</f>
        <v>#N/A</v>
      </c>
    </row>
    <row r="1066" spans="30:31" x14ac:dyDescent="0.2">
      <c r="AD1066" s="269" t="e">
        <f>INDEX('SRIM Data'!$Z$9:$Z$140,AD1064)</f>
        <v>#N/A</v>
      </c>
      <c r="AE1066" s="268" t="e">
        <f>INDEX('SRIM Data'!$AA$9:$AA$140,AD1064)</f>
        <v>#N/A</v>
      </c>
    </row>
    <row r="1067" spans="30:31" x14ac:dyDescent="0.2">
      <c r="AD1067" s="267" t="e">
        <f>(AD1066-AD1062)/(AD1066-AD1065)</f>
        <v>#N/A</v>
      </c>
      <c r="AE1067" s="268" t="e">
        <f>AE1066-AD1067*(AE1066-AE1065)</f>
        <v>#N/A</v>
      </c>
    </row>
    <row r="1068" spans="30:31" x14ac:dyDescent="0.2">
      <c r="AD1068" s="267"/>
      <c r="AE1068" s="268" t="e">
        <f>AE1067-AE1062</f>
        <v>#N/A</v>
      </c>
    </row>
    <row r="1069" spans="30:31" x14ac:dyDescent="0.2">
      <c r="AD1069" s="267"/>
      <c r="AE1069" s="268" t="e">
        <f>MATCH(AE1068,'SRIM Data'!$AA$9:$AA$140)</f>
        <v>#N/A</v>
      </c>
    </row>
    <row r="1070" spans="30:31" x14ac:dyDescent="0.2">
      <c r="AD1070" s="267"/>
      <c r="AE1070" s="268" t="e">
        <f>AE1069+1</f>
        <v>#N/A</v>
      </c>
    </row>
    <row r="1071" spans="30:31" x14ac:dyDescent="0.2">
      <c r="AD1071" s="269" t="e">
        <f>INDEX('SRIM Data'!$Z$9:$Z$140,AE1069)</f>
        <v>#N/A</v>
      </c>
      <c r="AE1071" s="268" t="e">
        <f>INDEX('SRIM Data'!$AA$9:$AA$140,AE1069)</f>
        <v>#N/A</v>
      </c>
    </row>
    <row r="1072" spans="30:31" x14ac:dyDescent="0.2">
      <c r="AD1072" s="269" t="e">
        <f>INDEX('SRIM Data'!$Z$9:$Z$140,AE1070)</f>
        <v>#N/A</v>
      </c>
      <c r="AE1072" s="268" t="e">
        <f>INDEX('SRIM Data'!$AA$9:$AA$140,AE1070)</f>
        <v>#N/A</v>
      </c>
    </row>
    <row r="1073" spans="30:31" x14ac:dyDescent="0.2">
      <c r="AD1073" s="270" t="e">
        <f>AD1072-AE1073*(AD1072-AD1071)</f>
        <v>#N/A</v>
      </c>
      <c r="AE1073" s="271" t="e">
        <f>(AE1072-AE1068)/(AE1072-AE1071)</f>
        <v>#N/A</v>
      </c>
    </row>
    <row r="1074" spans="30:31" x14ac:dyDescent="0.2">
      <c r="AD1074" s="272">
        <f>V1074</f>
        <v>0</v>
      </c>
      <c r="AE1074" s="273">
        <f>W1074</f>
        <v>0</v>
      </c>
    </row>
    <row r="1075" spans="30:31" x14ac:dyDescent="0.2">
      <c r="AD1075" s="267" t="e">
        <f>MATCH(AD1074,'SRIM Data'!$Z$9:$Z$140)</f>
        <v>#N/A</v>
      </c>
      <c r="AE1075" s="268"/>
    </row>
    <row r="1076" spans="30:31" x14ac:dyDescent="0.2">
      <c r="AD1076" s="267" t="e">
        <f>AD1075+1</f>
        <v>#N/A</v>
      </c>
      <c r="AE1076" s="268"/>
    </row>
    <row r="1077" spans="30:31" x14ac:dyDescent="0.2">
      <c r="AD1077" s="269" t="e">
        <f>INDEX('SRIM Data'!$Z$9:$Z$140,AD1075)</f>
        <v>#N/A</v>
      </c>
      <c r="AE1077" s="268" t="e">
        <f>INDEX('SRIM Data'!$AA$9:$AA$140,AD1075)</f>
        <v>#N/A</v>
      </c>
    </row>
    <row r="1078" spans="30:31" x14ac:dyDescent="0.2">
      <c r="AD1078" s="269" t="e">
        <f>INDEX('SRIM Data'!$Z$9:$Z$140,AD1076)</f>
        <v>#N/A</v>
      </c>
      <c r="AE1078" s="268" t="e">
        <f>INDEX('SRIM Data'!$AA$9:$AA$140,AD1076)</f>
        <v>#N/A</v>
      </c>
    </row>
    <row r="1079" spans="30:31" x14ac:dyDescent="0.2">
      <c r="AD1079" s="267" t="e">
        <f>(AD1078-AD1074)/(AD1078-AD1077)</f>
        <v>#N/A</v>
      </c>
      <c r="AE1079" s="268" t="e">
        <f>AE1078-AD1079*(AE1078-AE1077)</f>
        <v>#N/A</v>
      </c>
    </row>
    <row r="1080" spans="30:31" x14ac:dyDescent="0.2">
      <c r="AD1080" s="267"/>
      <c r="AE1080" s="268" t="e">
        <f>AE1079-AE1074</f>
        <v>#N/A</v>
      </c>
    </row>
    <row r="1081" spans="30:31" x14ac:dyDescent="0.2">
      <c r="AD1081" s="267"/>
      <c r="AE1081" s="268" t="e">
        <f>MATCH(AE1080,'SRIM Data'!$AA$9:$AA$140)</f>
        <v>#N/A</v>
      </c>
    </row>
    <row r="1082" spans="30:31" x14ac:dyDescent="0.2">
      <c r="AD1082" s="267"/>
      <c r="AE1082" s="268" t="e">
        <f>AE1081+1</f>
        <v>#N/A</v>
      </c>
    </row>
    <row r="1083" spans="30:31" x14ac:dyDescent="0.2">
      <c r="AD1083" s="269" t="e">
        <f>INDEX('SRIM Data'!$Z$9:$Z$140,AE1081)</f>
        <v>#N/A</v>
      </c>
      <c r="AE1083" s="268" t="e">
        <f>INDEX('SRIM Data'!$AA$9:$AA$140,AE1081)</f>
        <v>#N/A</v>
      </c>
    </row>
    <row r="1084" spans="30:31" x14ac:dyDescent="0.2">
      <c r="AD1084" s="269" t="e">
        <f>INDEX('SRIM Data'!$Z$9:$Z$140,AE1082)</f>
        <v>#N/A</v>
      </c>
      <c r="AE1084" s="268" t="e">
        <f>INDEX('SRIM Data'!$AA$9:$AA$140,AE1082)</f>
        <v>#N/A</v>
      </c>
    </row>
    <row r="1085" spans="30:31" x14ac:dyDescent="0.2">
      <c r="AD1085" s="270" t="e">
        <f>AD1084-AE1085*(AD1084-AD1083)</f>
        <v>#N/A</v>
      </c>
      <c r="AE1085" s="271" t="e">
        <f>(AE1084-AE1080)/(AE1084-AE1083)</f>
        <v>#N/A</v>
      </c>
    </row>
    <row r="1086" spans="30:31" x14ac:dyDescent="0.2">
      <c r="AD1086" s="272">
        <f>V1075</f>
        <v>0</v>
      </c>
      <c r="AE1086" s="273">
        <f>W1075</f>
        <v>0</v>
      </c>
    </row>
    <row r="1087" spans="30:31" x14ac:dyDescent="0.2">
      <c r="AD1087" s="267" t="e">
        <f>MATCH(AD1086,'SRIM Data'!$Z$9:$Z$140)</f>
        <v>#N/A</v>
      </c>
      <c r="AE1087" s="268"/>
    </row>
    <row r="1088" spans="30:31" x14ac:dyDescent="0.2">
      <c r="AD1088" s="267" t="e">
        <f>AD1087+1</f>
        <v>#N/A</v>
      </c>
      <c r="AE1088" s="268"/>
    </row>
    <row r="1089" spans="30:31" x14ac:dyDescent="0.2">
      <c r="AD1089" s="269" t="e">
        <f>INDEX('SRIM Data'!$Z$9:$Z$140,AD1087)</f>
        <v>#N/A</v>
      </c>
      <c r="AE1089" s="268" t="e">
        <f>INDEX('SRIM Data'!$AA$9:$AA$140,AD1087)</f>
        <v>#N/A</v>
      </c>
    </row>
    <row r="1090" spans="30:31" x14ac:dyDescent="0.2">
      <c r="AD1090" s="269" t="e">
        <f>INDEX('SRIM Data'!$Z$9:$Z$140,AD1088)</f>
        <v>#N/A</v>
      </c>
      <c r="AE1090" s="268" t="e">
        <f>INDEX('SRIM Data'!$AA$9:$AA$140,AD1088)</f>
        <v>#N/A</v>
      </c>
    </row>
    <row r="1091" spans="30:31" x14ac:dyDescent="0.2">
      <c r="AD1091" s="267" t="e">
        <f>(AD1090-AD1086)/(AD1090-AD1089)</f>
        <v>#N/A</v>
      </c>
      <c r="AE1091" s="268" t="e">
        <f>AE1090-AD1091*(AE1090-AE1089)</f>
        <v>#N/A</v>
      </c>
    </row>
    <row r="1092" spans="30:31" x14ac:dyDescent="0.2">
      <c r="AD1092" s="267"/>
      <c r="AE1092" s="268" t="e">
        <f>AE1091-AE1086</f>
        <v>#N/A</v>
      </c>
    </row>
    <row r="1093" spans="30:31" x14ac:dyDescent="0.2">
      <c r="AD1093" s="267"/>
      <c r="AE1093" s="268" t="e">
        <f>MATCH(AE1092,'SRIM Data'!$AA$9:$AA$140)</f>
        <v>#N/A</v>
      </c>
    </row>
    <row r="1094" spans="30:31" x14ac:dyDescent="0.2">
      <c r="AD1094" s="267"/>
      <c r="AE1094" s="268" t="e">
        <f>AE1093+1</f>
        <v>#N/A</v>
      </c>
    </row>
    <row r="1095" spans="30:31" x14ac:dyDescent="0.2">
      <c r="AD1095" s="269" t="e">
        <f>INDEX('SRIM Data'!$Z$9:$Z$140,AE1093)</f>
        <v>#N/A</v>
      </c>
      <c r="AE1095" s="268" t="e">
        <f>INDEX('SRIM Data'!$AA$9:$AA$140,AE1093)</f>
        <v>#N/A</v>
      </c>
    </row>
    <row r="1096" spans="30:31" x14ac:dyDescent="0.2">
      <c r="AD1096" s="269" t="e">
        <f>INDEX('SRIM Data'!$Z$9:$Z$140,AE1094)</f>
        <v>#N/A</v>
      </c>
      <c r="AE1096" s="268" t="e">
        <f>INDEX('SRIM Data'!$AA$9:$AA$140,AE1094)</f>
        <v>#N/A</v>
      </c>
    </row>
    <row r="1097" spans="30:31" x14ac:dyDescent="0.2">
      <c r="AD1097" s="270" t="e">
        <f>AD1096-AE1097*(AD1096-AD1095)</f>
        <v>#N/A</v>
      </c>
      <c r="AE1097" s="271" t="e">
        <f>(AE1096-AE1092)/(AE1096-AE1095)</f>
        <v>#N/A</v>
      </c>
    </row>
    <row r="1098" spans="30:31" x14ac:dyDescent="0.2">
      <c r="AD1098" s="272">
        <f>V1098</f>
        <v>0</v>
      </c>
      <c r="AE1098" s="273">
        <f>W1098</f>
        <v>0</v>
      </c>
    </row>
    <row r="1099" spans="30:31" x14ac:dyDescent="0.2">
      <c r="AD1099" s="267" t="e">
        <f>MATCH(AD1098,'SRIM Data'!$Z$9:$Z$140)</f>
        <v>#N/A</v>
      </c>
      <c r="AE1099" s="268"/>
    </row>
    <row r="1100" spans="30:31" x14ac:dyDescent="0.2">
      <c r="AD1100" s="267" t="e">
        <f>AD1099+1</f>
        <v>#N/A</v>
      </c>
      <c r="AE1100" s="268"/>
    </row>
    <row r="1101" spans="30:31" x14ac:dyDescent="0.2">
      <c r="AD1101" s="269" t="e">
        <f>INDEX('SRIM Data'!$Z$9:$Z$140,AD1099)</f>
        <v>#N/A</v>
      </c>
      <c r="AE1101" s="268" t="e">
        <f>INDEX('SRIM Data'!$AA$9:$AA$140,AD1099)</f>
        <v>#N/A</v>
      </c>
    </row>
    <row r="1102" spans="30:31" x14ac:dyDescent="0.2">
      <c r="AD1102" s="269" t="e">
        <f>INDEX('SRIM Data'!$Z$9:$Z$140,AD1100)</f>
        <v>#N/A</v>
      </c>
      <c r="AE1102" s="268" t="e">
        <f>INDEX('SRIM Data'!$AA$9:$AA$140,AD1100)</f>
        <v>#N/A</v>
      </c>
    </row>
    <row r="1103" spans="30:31" x14ac:dyDescent="0.2">
      <c r="AD1103" s="267" t="e">
        <f>(AD1102-AD1098)/(AD1102-AD1101)</f>
        <v>#N/A</v>
      </c>
      <c r="AE1103" s="268" t="e">
        <f>AE1102-AD1103*(AE1102-AE1101)</f>
        <v>#N/A</v>
      </c>
    </row>
    <row r="1104" spans="30:31" x14ac:dyDescent="0.2">
      <c r="AD1104" s="267"/>
      <c r="AE1104" s="268" t="e">
        <f>AE1103-AE1098</f>
        <v>#N/A</v>
      </c>
    </row>
    <row r="1105" spans="30:31" x14ac:dyDescent="0.2">
      <c r="AD1105" s="267"/>
      <c r="AE1105" s="268" t="e">
        <f>MATCH(AE1104,'SRIM Data'!$AA$9:$AA$140)</f>
        <v>#N/A</v>
      </c>
    </row>
    <row r="1106" spans="30:31" x14ac:dyDescent="0.2">
      <c r="AD1106" s="267"/>
      <c r="AE1106" s="268" t="e">
        <f>AE1105+1</f>
        <v>#N/A</v>
      </c>
    </row>
    <row r="1107" spans="30:31" x14ac:dyDescent="0.2">
      <c r="AD1107" s="269" t="e">
        <f>INDEX('SRIM Data'!$Z$9:$Z$140,AE1105)</f>
        <v>#N/A</v>
      </c>
      <c r="AE1107" s="268" t="e">
        <f>INDEX('SRIM Data'!$AA$9:$AA$140,AE1105)</f>
        <v>#N/A</v>
      </c>
    </row>
    <row r="1108" spans="30:31" x14ac:dyDescent="0.2">
      <c r="AD1108" s="269" t="e">
        <f>INDEX('SRIM Data'!$Z$9:$Z$140,AE1106)</f>
        <v>#N/A</v>
      </c>
      <c r="AE1108" s="268" t="e">
        <f>INDEX('SRIM Data'!$AA$9:$AA$140,AE1106)</f>
        <v>#N/A</v>
      </c>
    </row>
    <row r="1109" spans="30:31" x14ac:dyDescent="0.2">
      <c r="AD1109" s="270" t="e">
        <f>AD1108-AE1109*(AD1108-AD1107)</f>
        <v>#N/A</v>
      </c>
      <c r="AE1109" s="271" t="e">
        <f>(AE1108-AE1104)/(AE1108-AE1107)</f>
        <v>#N/A</v>
      </c>
    </row>
    <row r="1110" spans="30:31" x14ac:dyDescent="0.2">
      <c r="AD1110" s="272">
        <f>V1099</f>
        <v>0</v>
      </c>
      <c r="AE1110" s="273">
        <f>W1099</f>
        <v>0</v>
      </c>
    </row>
    <row r="1111" spans="30:31" x14ac:dyDescent="0.2">
      <c r="AD1111" s="267" t="e">
        <f>MATCH(AD1110,'SRIM Data'!$Z$9:$Z$140)</f>
        <v>#N/A</v>
      </c>
      <c r="AE1111" s="268"/>
    </row>
    <row r="1112" spans="30:31" x14ac:dyDescent="0.2">
      <c r="AD1112" s="267" t="e">
        <f>AD1111+1</f>
        <v>#N/A</v>
      </c>
      <c r="AE1112" s="268"/>
    </row>
    <row r="1113" spans="30:31" x14ac:dyDescent="0.2">
      <c r="AD1113" s="269" t="e">
        <f>INDEX('SRIM Data'!$Z$9:$Z$140,AD1111)</f>
        <v>#N/A</v>
      </c>
      <c r="AE1113" s="268" t="e">
        <f>INDEX('SRIM Data'!$AA$9:$AA$140,AD1111)</f>
        <v>#N/A</v>
      </c>
    </row>
    <row r="1114" spans="30:31" x14ac:dyDescent="0.2">
      <c r="AD1114" s="269" t="e">
        <f>INDEX('SRIM Data'!$Z$9:$Z$140,AD1112)</f>
        <v>#N/A</v>
      </c>
      <c r="AE1114" s="268" t="e">
        <f>INDEX('SRIM Data'!$AA$9:$AA$140,AD1112)</f>
        <v>#N/A</v>
      </c>
    </row>
    <row r="1115" spans="30:31" x14ac:dyDescent="0.2">
      <c r="AD1115" s="267" t="e">
        <f>(AD1114-AD1110)/(AD1114-AD1113)</f>
        <v>#N/A</v>
      </c>
      <c r="AE1115" s="268" t="e">
        <f>AE1114-AD1115*(AE1114-AE1113)</f>
        <v>#N/A</v>
      </c>
    </row>
    <row r="1116" spans="30:31" x14ac:dyDescent="0.2">
      <c r="AD1116" s="267"/>
      <c r="AE1116" s="268" t="e">
        <f>AE1115-AE1110</f>
        <v>#N/A</v>
      </c>
    </row>
    <row r="1117" spans="30:31" x14ac:dyDescent="0.2">
      <c r="AD1117" s="267"/>
      <c r="AE1117" s="268" t="e">
        <f>MATCH(AE1116,'SRIM Data'!$AA$9:$AA$140)</f>
        <v>#N/A</v>
      </c>
    </row>
    <row r="1118" spans="30:31" x14ac:dyDescent="0.2">
      <c r="AD1118" s="267"/>
      <c r="AE1118" s="268" t="e">
        <f>AE1117+1</f>
        <v>#N/A</v>
      </c>
    </row>
    <row r="1119" spans="30:31" x14ac:dyDescent="0.2">
      <c r="AD1119" s="269" t="e">
        <f>INDEX('SRIM Data'!$Z$9:$Z$140,AE1117)</f>
        <v>#N/A</v>
      </c>
      <c r="AE1119" s="268" t="e">
        <f>INDEX('SRIM Data'!$AA$9:$AA$140,AE1117)</f>
        <v>#N/A</v>
      </c>
    </row>
    <row r="1120" spans="30:31" x14ac:dyDescent="0.2">
      <c r="AD1120" s="269" t="e">
        <f>INDEX('SRIM Data'!$Z$9:$Z$140,AE1118)</f>
        <v>#N/A</v>
      </c>
      <c r="AE1120" s="268" t="e">
        <f>INDEX('SRIM Data'!$AA$9:$AA$140,AE1118)</f>
        <v>#N/A</v>
      </c>
    </row>
    <row r="1121" spans="30:31" x14ac:dyDescent="0.2">
      <c r="AD1121" s="270" t="e">
        <f>AD1120-AE1121*(AD1120-AD1119)</f>
        <v>#N/A</v>
      </c>
      <c r="AE1121" s="271" t="e">
        <f>(AE1120-AE1116)/(AE1120-AE1119)</f>
        <v>#N/A</v>
      </c>
    </row>
    <row r="1122" spans="30:31" x14ac:dyDescent="0.2">
      <c r="AD1122" s="272">
        <f>V1122</f>
        <v>0</v>
      </c>
      <c r="AE1122" s="273">
        <f>W1122</f>
        <v>0</v>
      </c>
    </row>
    <row r="1123" spans="30:31" x14ac:dyDescent="0.2">
      <c r="AD1123" s="267" t="e">
        <f>MATCH(AD1122,'SRIM Data'!$Z$9:$Z$140)</f>
        <v>#N/A</v>
      </c>
      <c r="AE1123" s="268"/>
    </row>
    <row r="1124" spans="30:31" x14ac:dyDescent="0.2">
      <c r="AD1124" s="267" t="e">
        <f>AD1123+1</f>
        <v>#N/A</v>
      </c>
      <c r="AE1124" s="268"/>
    </row>
    <row r="1125" spans="30:31" x14ac:dyDescent="0.2">
      <c r="AD1125" s="269" t="e">
        <f>INDEX('SRIM Data'!$Z$9:$Z$140,AD1123)</f>
        <v>#N/A</v>
      </c>
      <c r="AE1125" s="268" t="e">
        <f>INDEX('SRIM Data'!$AA$9:$AA$140,AD1123)</f>
        <v>#N/A</v>
      </c>
    </row>
    <row r="1126" spans="30:31" x14ac:dyDescent="0.2">
      <c r="AD1126" s="269" t="e">
        <f>INDEX('SRIM Data'!$Z$9:$Z$140,AD1124)</f>
        <v>#N/A</v>
      </c>
      <c r="AE1126" s="268" t="e">
        <f>INDEX('SRIM Data'!$AA$9:$AA$140,AD1124)</f>
        <v>#N/A</v>
      </c>
    </row>
    <row r="1127" spans="30:31" x14ac:dyDescent="0.2">
      <c r="AD1127" s="267" t="e">
        <f>(AD1126-AD1122)/(AD1126-AD1125)</f>
        <v>#N/A</v>
      </c>
      <c r="AE1127" s="268" t="e">
        <f>AE1126-AD1127*(AE1126-AE1125)</f>
        <v>#N/A</v>
      </c>
    </row>
    <row r="1128" spans="30:31" x14ac:dyDescent="0.2">
      <c r="AD1128" s="267"/>
      <c r="AE1128" s="268" t="e">
        <f>AE1127-AE1122</f>
        <v>#N/A</v>
      </c>
    </row>
    <row r="1129" spans="30:31" x14ac:dyDescent="0.2">
      <c r="AD1129" s="267"/>
      <c r="AE1129" s="268" t="e">
        <f>MATCH(AE1128,'SRIM Data'!$AA$9:$AA$140)</f>
        <v>#N/A</v>
      </c>
    </row>
    <row r="1130" spans="30:31" x14ac:dyDescent="0.2">
      <c r="AD1130" s="267"/>
      <c r="AE1130" s="268" t="e">
        <f>AE1129+1</f>
        <v>#N/A</v>
      </c>
    </row>
    <row r="1131" spans="30:31" x14ac:dyDescent="0.2">
      <c r="AD1131" s="269" t="e">
        <f>INDEX('SRIM Data'!$Z$9:$Z$140,AE1129)</f>
        <v>#N/A</v>
      </c>
      <c r="AE1131" s="268" t="e">
        <f>INDEX('SRIM Data'!$AA$9:$AA$140,AE1129)</f>
        <v>#N/A</v>
      </c>
    </row>
    <row r="1132" spans="30:31" x14ac:dyDescent="0.2">
      <c r="AD1132" s="269" t="e">
        <f>INDEX('SRIM Data'!$Z$9:$Z$140,AE1130)</f>
        <v>#N/A</v>
      </c>
      <c r="AE1132" s="268" t="e">
        <f>INDEX('SRIM Data'!$AA$9:$AA$140,AE1130)</f>
        <v>#N/A</v>
      </c>
    </row>
    <row r="1133" spans="30:31" x14ac:dyDescent="0.2">
      <c r="AD1133" s="270" t="e">
        <f>AD1132-AE1133*(AD1132-AD1131)</f>
        <v>#N/A</v>
      </c>
      <c r="AE1133" s="271" t="e">
        <f>(AE1132-AE1128)/(AE1132-AE1131)</f>
        <v>#N/A</v>
      </c>
    </row>
    <row r="1134" spans="30:31" x14ac:dyDescent="0.2">
      <c r="AD1134" s="272">
        <f>V1123</f>
        <v>0</v>
      </c>
      <c r="AE1134" s="273">
        <f>W1123</f>
        <v>0</v>
      </c>
    </row>
    <row r="1135" spans="30:31" x14ac:dyDescent="0.2">
      <c r="AD1135" s="267" t="e">
        <f>MATCH(AD1134,'SRIM Data'!$Z$9:$Z$140)</f>
        <v>#N/A</v>
      </c>
      <c r="AE1135" s="268"/>
    </row>
    <row r="1136" spans="30:31" x14ac:dyDescent="0.2">
      <c r="AD1136" s="267" t="e">
        <f>AD1135+1</f>
        <v>#N/A</v>
      </c>
      <c r="AE1136" s="268"/>
    </row>
    <row r="1137" spans="30:31" x14ac:dyDescent="0.2">
      <c r="AD1137" s="269" t="e">
        <f>INDEX('SRIM Data'!$Z$9:$Z$140,AD1135)</f>
        <v>#N/A</v>
      </c>
      <c r="AE1137" s="268" t="e">
        <f>INDEX('SRIM Data'!$AA$9:$AA$140,AD1135)</f>
        <v>#N/A</v>
      </c>
    </row>
    <row r="1138" spans="30:31" x14ac:dyDescent="0.2">
      <c r="AD1138" s="269" t="e">
        <f>INDEX('SRIM Data'!$Z$9:$Z$140,AD1136)</f>
        <v>#N/A</v>
      </c>
      <c r="AE1138" s="268" t="e">
        <f>INDEX('SRIM Data'!$AA$9:$AA$140,AD1136)</f>
        <v>#N/A</v>
      </c>
    </row>
    <row r="1139" spans="30:31" x14ac:dyDescent="0.2">
      <c r="AD1139" s="267" t="e">
        <f>(AD1138-AD1134)/(AD1138-AD1137)</f>
        <v>#N/A</v>
      </c>
      <c r="AE1139" s="268" t="e">
        <f>AE1138-AD1139*(AE1138-AE1137)</f>
        <v>#N/A</v>
      </c>
    </row>
    <row r="1140" spans="30:31" x14ac:dyDescent="0.2">
      <c r="AD1140" s="267"/>
      <c r="AE1140" s="268" t="e">
        <f>AE1139-AE1134</f>
        <v>#N/A</v>
      </c>
    </row>
    <row r="1141" spans="30:31" x14ac:dyDescent="0.2">
      <c r="AD1141" s="267"/>
      <c r="AE1141" s="268" t="e">
        <f>MATCH(AE1140,'SRIM Data'!$AA$9:$AA$140)</f>
        <v>#N/A</v>
      </c>
    </row>
    <row r="1142" spans="30:31" x14ac:dyDescent="0.2">
      <c r="AD1142" s="267"/>
      <c r="AE1142" s="268" t="e">
        <f>AE1141+1</f>
        <v>#N/A</v>
      </c>
    </row>
    <row r="1143" spans="30:31" x14ac:dyDescent="0.2">
      <c r="AD1143" s="269" t="e">
        <f>INDEX('SRIM Data'!$Z$9:$Z$140,AE1141)</f>
        <v>#N/A</v>
      </c>
      <c r="AE1143" s="268" t="e">
        <f>INDEX('SRIM Data'!$AA$9:$AA$140,AE1141)</f>
        <v>#N/A</v>
      </c>
    </row>
    <row r="1144" spans="30:31" x14ac:dyDescent="0.2">
      <c r="AD1144" s="269" t="e">
        <f>INDEX('SRIM Data'!$Z$9:$Z$140,AE1142)</f>
        <v>#N/A</v>
      </c>
      <c r="AE1144" s="268" t="e">
        <f>INDEX('SRIM Data'!$AA$9:$AA$140,AE1142)</f>
        <v>#N/A</v>
      </c>
    </row>
    <row r="1145" spans="30:31" x14ac:dyDescent="0.2">
      <c r="AD1145" s="270" t="e">
        <f>AD1144-AE1145*(AD1144-AD1143)</f>
        <v>#N/A</v>
      </c>
      <c r="AE1145" s="271" t="e">
        <f>(AE1144-AE1140)/(AE1144-AE1143)</f>
        <v>#N/A</v>
      </c>
    </row>
    <row r="1146" spans="30:31" x14ac:dyDescent="0.2">
      <c r="AD1146" s="272">
        <f>V1146</f>
        <v>0</v>
      </c>
      <c r="AE1146" s="273">
        <f>W1146</f>
        <v>0</v>
      </c>
    </row>
    <row r="1147" spans="30:31" x14ac:dyDescent="0.2">
      <c r="AD1147" s="267" t="e">
        <f>MATCH(AD1146,'SRIM Data'!$Z$9:$Z$140)</f>
        <v>#N/A</v>
      </c>
      <c r="AE1147" s="268"/>
    </row>
    <row r="1148" spans="30:31" x14ac:dyDescent="0.2">
      <c r="AD1148" s="267" t="e">
        <f>AD1147+1</f>
        <v>#N/A</v>
      </c>
      <c r="AE1148" s="268"/>
    </row>
    <row r="1149" spans="30:31" x14ac:dyDescent="0.2">
      <c r="AD1149" s="269" t="e">
        <f>INDEX('SRIM Data'!$Z$9:$Z$140,AD1147)</f>
        <v>#N/A</v>
      </c>
      <c r="AE1149" s="268" t="e">
        <f>INDEX('SRIM Data'!$AA$9:$AA$140,AD1147)</f>
        <v>#N/A</v>
      </c>
    </row>
    <row r="1150" spans="30:31" x14ac:dyDescent="0.2">
      <c r="AD1150" s="269" t="e">
        <f>INDEX('SRIM Data'!$Z$9:$Z$140,AD1148)</f>
        <v>#N/A</v>
      </c>
      <c r="AE1150" s="268" t="e">
        <f>INDEX('SRIM Data'!$AA$9:$AA$140,AD1148)</f>
        <v>#N/A</v>
      </c>
    </row>
    <row r="1151" spans="30:31" x14ac:dyDescent="0.2">
      <c r="AD1151" s="267" t="e">
        <f>(AD1150-AD1146)/(AD1150-AD1149)</f>
        <v>#N/A</v>
      </c>
      <c r="AE1151" s="268" t="e">
        <f>AE1150-AD1151*(AE1150-AE1149)</f>
        <v>#N/A</v>
      </c>
    </row>
    <row r="1152" spans="30:31" x14ac:dyDescent="0.2">
      <c r="AD1152" s="267"/>
      <c r="AE1152" s="268" t="e">
        <f>AE1151-AE1146</f>
        <v>#N/A</v>
      </c>
    </row>
    <row r="1153" spans="30:31" x14ac:dyDescent="0.2">
      <c r="AD1153" s="267"/>
      <c r="AE1153" s="268" t="e">
        <f>MATCH(AE1152,'SRIM Data'!$AA$9:$AA$140)</f>
        <v>#N/A</v>
      </c>
    </row>
    <row r="1154" spans="30:31" x14ac:dyDescent="0.2">
      <c r="AD1154" s="267"/>
      <c r="AE1154" s="268" t="e">
        <f>AE1153+1</f>
        <v>#N/A</v>
      </c>
    </row>
    <row r="1155" spans="30:31" x14ac:dyDescent="0.2">
      <c r="AD1155" s="269" t="e">
        <f>INDEX('SRIM Data'!$Z$9:$Z$140,AE1153)</f>
        <v>#N/A</v>
      </c>
      <c r="AE1155" s="268" t="e">
        <f>INDEX('SRIM Data'!$AA$9:$AA$140,AE1153)</f>
        <v>#N/A</v>
      </c>
    </row>
    <row r="1156" spans="30:31" x14ac:dyDescent="0.2">
      <c r="AD1156" s="269" t="e">
        <f>INDEX('SRIM Data'!$Z$9:$Z$140,AE1154)</f>
        <v>#N/A</v>
      </c>
      <c r="AE1156" s="268" t="e">
        <f>INDEX('SRIM Data'!$AA$9:$AA$140,AE1154)</f>
        <v>#N/A</v>
      </c>
    </row>
    <row r="1157" spans="30:31" x14ac:dyDescent="0.2">
      <c r="AD1157" s="270" t="e">
        <f>AD1156-AE1157*(AD1156-AD1155)</f>
        <v>#N/A</v>
      </c>
      <c r="AE1157" s="271" t="e">
        <f>(AE1156-AE1152)/(AE1156-AE1155)</f>
        <v>#N/A</v>
      </c>
    </row>
    <row r="1158" spans="30:31" x14ac:dyDescent="0.2">
      <c r="AD1158" s="272">
        <f>V1147</f>
        <v>0</v>
      </c>
      <c r="AE1158" s="273">
        <f>W1147</f>
        <v>0</v>
      </c>
    </row>
    <row r="1159" spans="30:31" x14ac:dyDescent="0.2">
      <c r="AD1159" s="267" t="e">
        <f>MATCH(AD1158,'SRIM Data'!$Z$9:$Z$140)</f>
        <v>#N/A</v>
      </c>
      <c r="AE1159" s="268"/>
    </row>
    <row r="1160" spans="30:31" x14ac:dyDescent="0.2">
      <c r="AD1160" s="267" t="e">
        <f>AD1159+1</f>
        <v>#N/A</v>
      </c>
      <c r="AE1160" s="268"/>
    </row>
    <row r="1161" spans="30:31" x14ac:dyDescent="0.2">
      <c r="AD1161" s="269" t="e">
        <f>INDEX('SRIM Data'!$Z$9:$Z$140,AD1159)</f>
        <v>#N/A</v>
      </c>
      <c r="AE1161" s="268" t="e">
        <f>INDEX('SRIM Data'!$AA$9:$AA$140,AD1159)</f>
        <v>#N/A</v>
      </c>
    </row>
    <row r="1162" spans="30:31" x14ac:dyDescent="0.2">
      <c r="AD1162" s="269" t="e">
        <f>INDEX('SRIM Data'!$Z$9:$Z$140,AD1160)</f>
        <v>#N/A</v>
      </c>
      <c r="AE1162" s="268" t="e">
        <f>INDEX('SRIM Data'!$AA$9:$AA$140,AD1160)</f>
        <v>#N/A</v>
      </c>
    </row>
    <row r="1163" spans="30:31" x14ac:dyDescent="0.2">
      <c r="AD1163" s="267" t="e">
        <f>(AD1162-AD1158)/(AD1162-AD1161)</f>
        <v>#N/A</v>
      </c>
      <c r="AE1163" s="268" t="e">
        <f>AE1162-AD1163*(AE1162-AE1161)</f>
        <v>#N/A</v>
      </c>
    </row>
    <row r="1164" spans="30:31" x14ac:dyDescent="0.2">
      <c r="AD1164" s="267"/>
      <c r="AE1164" s="268" t="e">
        <f>AE1163-AE1158</f>
        <v>#N/A</v>
      </c>
    </row>
    <row r="1165" spans="30:31" x14ac:dyDescent="0.2">
      <c r="AD1165" s="267"/>
      <c r="AE1165" s="268" t="e">
        <f>MATCH(AE1164,'SRIM Data'!$AA$9:$AA$140)</f>
        <v>#N/A</v>
      </c>
    </row>
    <row r="1166" spans="30:31" x14ac:dyDescent="0.2">
      <c r="AD1166" s="267"/>
      <c r="AE1166" s="268" t="e">
        <f>AE1165+1</f>
        <v>#N/A</v>
      </c>
    </row>
    <row r="1167" spans="30:31" x14ac:dyDescent="0.2">
      <c r="AD1167" s="269" t="e">
        <f>INDEX('SRIM Data'!$Z$9:$Z$140,AE1165)</f>
        <v>#N/A</v>
      </c>
      <c r="AE1167" s="268" t="e">
        <f>INDEX('SRIM Data'!$AA$9:$AA$140,AE1165)</f>
        <v>#N/A</v>
      </c>
    </row>
    <row r="1168" spans="30:31" x14ac:dyDescent="0.2">
      <c r="AD1168" s="269" t="e">
        <f>INDEX('SRIM Data'!$Z$9:$Z$140,AE1166)</f>
        <v>#N/A</v>
      </c>
      <c r="AE1168" s="268" t="e">
        <f>INDEX('SRIM Data'!$AA$9:$AA$140,AE1166)</f>
        <v>#N/A</v>
      </c>
    </row>
    <row r="1169" spans="30:31" x14ac:dyDescent="0.2">
      <c r="AD1169" s="270" t="e">
        <f>AD1168-AE1169*(AD1168-AD1167)</f>
        <v>#N/A</v>
      </c>
      <c r="AE1169" s="271" t="e">
        <f>(AE1168-AE1164)/(AE1168-AE1167)</f>
        <v>#N/A</v>
      </c>
    </row>
    <row r="1170" spans="30:31" x14ac:dyDescent="0.2">
      <c r="AD1170" s="272">
        <f>V1170</f>
        <v>0</v>
      </c>
      <c r="AE1170" s="273">
        <f>W1170</f>
        <v>0</v>
      </c>
    </row>
    <row r="1171" spans="30:31" x14ac:dyDescent="0.2">
      <c r="AD1171" s="267" t="e">
        <f>MATCH(AD1170,'SRIM Data'!$Z$9:$Z$140)</f>
        <v>#N/A</v>
      </c>
      <c r="AE1171" s="268"/>
    </row>
    <row r="1172" spans="30:31" x14ac:dyDescent="0.2">
      <c r="AD1172" s="267" t="e">
        <f>AD1171+1</f>
        <v>#N/A</v>
      </c>
      <c r="AE1172" s="268"/>
    </row>
    <row r="1173" spans="30:31" x14ac:dyDescent="0.2">
      <c r="AD1173" s="269" t="e">
        <f>INDEX('SRIM Data'!$Z$9:$Z$140,AD1171)</f>
        <v>#N/A</v>
      </c>
      <c r="AE1173" s="268" t="e">
        <f>INDEX('SRIM Data'!$AA$9:$AA$140,AD1171)</f>
        <v>#N/A</v>
      </c>
    </row>
    <row r="1174" spans="30:31" x14ac:dyDescent="0.2">
      <c r="AD1174" s="269" t="e">
        <f>INDEX('SRIM Data'!$Z$9:$Z$140,AD1172)</f>
        <v>#N/A</v>
      </c>
      <c r="AE1174" s="268" t="e">
        <f>INDEX('SRIM Data'!$AA$9:$AA$140,AD1172)</f>
        <v>#N/A</v>
      </c>
    </row>
    <row r="1175" spans="30:31" x14ac:dyDescent="0.2">
      <c r="AD1175" s="267" t="e">
        <f>(AD1174-AD1170)/(AD1174-AD1173)</f>
        <v>#N/A</v>
      </c>
      <c r="AE1175" s="268" t="e">
        <f>AE1174-AD1175*(AE1174-AE1173)</f>
        <v>#N/A</v>
      </c>
    </row>
    <row r="1176" spans="30:31" x14ac:dyDescent="0.2">
      <c r="AD1176" s="267"/>
      <c r="AE1176" s="268" t="e">
        <f>AE1175-AE1170</f>
        <v>#N/A</v>
      </c>
    </row>
    <row r="1177" spans="30:31" x14ac:dyDescent="0.2">
      <c r="AD1177" s="267"/>
      <c r="AE1177" s="268" t="e">
        <f>MATCH(AE1176,'SRIM Data'!$AA$9:$AA$140)</f>
        <v>#N/A</v>
      </c>
    </row>
    <row r="1178" spans="30:31" x14ac:dyDescent="0.2">
      <c r="AD1178" s="267"/>
      <c r="AE1178" s="268" t="e">
        <f>AE1177+1</f>
        <v>#N/A</v>
      </c>
    </row>
    <row r="1179" spans="30:31" x14ac:dyDescent="0.2">
      <c r="AD1179" s="269" t="e">
        <f>INDEX('SRIM Data'!$Z$9:$Z$140,AE1177)</f>
        <v>#N/A</v>
      </c>
      <c r="AE1179" s="268" t="e">
        <f>INDEX('SRIM Data'!$AA$9:$AA$140,AE1177)</f>
        <v>#N/A</v>
      </c>
    </row>
    <row r="1180" spans="30:31" x14ac:dyDescent="0.2">
      <c r="AD1180" s="269" t="e">
        <f>INDEX('SRIM Data'!$Z$9:$Z$140,AE1178)</f>
        <v>#N/A</v>
      </c>
      <c r="AE1180" s="268" t="e">
        <f>INDEX('SRIM Data'!$AA$9:$AA$140,AE1178)</f>
        <v>#N/A</v>
      </c>
    </row>
    <row r="1181" spans="30:31" x14ac:dyDescent="0.2">
      <c r="AD1181" s="270" t="e">
        <f>AD1180-AE1181*(AD1180-AD1179)</f>
        <v>#N/A</v>
      </c>
      <c r="AE1181" s="271" t="e">
        <f>(AE1180-AE1176)/(AE1180-AE1179)</f>
        <v>#N/A</v>
      </c>
    </row>
    <row r="1182" spans="30:31" x14ac:dyDescent="0.2">
      <c r="AD1182" s="272">
        <f>V1171</f>
        <v>0</v>
      </c>
      <c r="AE1182" s="273">
        <f>W1171</f>
        <v>0</v>
      </c>
    </row>
    <row r="1183" spans="30:31" x14ac:dyDescent="0.2">
      <c r="AD1183" s="267" t="e">
        <f>MATCH(AD1182,'SRIM Data'!$Z$9:$Z$140)</f>
        <v>#N/A</v>
      </c>
      <c r="AE1183" s="268"/>
    </row>
    <row r="1184" spans="30:31" x14ac:dyDescent="0.2">
      <c r="AD1184" s="267" t="e">
        <f>AD1183+1</f>
        <v>#N/A</v>
      </c>
      <c r="AE1184" s="268"/>
    </row>
    <row r="1185" spans="30:31" x14ac:dyDescent="0.2">
      <c r="AD1185" s="269" t="e">
        <f>INDEX('SRIM Data'!$Z$9:$Z$140,AD1183)</f>
        <v>#N/A</v>
      </c>
      <c r="AE1185" s="268" t="e">
        <f>INDEX('SRIM Data'!$AA$9:$AA$140,AD1183)</f>
        <v>#N/A</v>
      </c>
    </row>
    <row r="1186" spans="30:31" x14ac:dyDescent="0.2">
      <c r="AD1186" s="269" t="e">
        <f>INDEX('SRIM Data'!$Z$9:$Z$140,AD1184)</f>
        <v>#N/A</v>
      </c>
      <c r="AE1186" s="268" t="e">
        <f>INDEX('SRIM Data'!$AA$9:$AA$140,AD1184)</f>
        <v>#N/A</v>
      </c>
    </row>
    <row r="1187" spans="30:31" x14ac:dyDescent="0.2">
      <c r="AD1187" s="267" t="e">
        <f>(AD1186-AD1182)/(AD1186-AD1185)</f>
        <v>#N/A</v>
      </c>
      <c r="AE1187" s="268" t="e">
        <f>AE1186-AD1187*(AE1186-AE1185)</f>
        <v>#N/A</v>
      </c>
    </row>
    <row r="1188" spans="30:31" x14ac:dyDescent="0.2">
      <c r="AD1188" s="267"/>
      <c r="AE1188" s="268" t="e">
        <f>AE1187-AE1182</f>
        <v>#N/A</v>
      </c>
    </row>
    <row r="1189" spans="30:31" x14ac:dyDescent="0.2">
      <c r="AD1189" s="267"/>
      <c r="AE1189" s="268" t="e">
        <f>MATCH(AE1188,'SRIM Data'!$AA$9:$AA$140)</f>
        <v>#N/A</v>
      </c>
    </row>
    <row r="1190" spans="30:31" x14ac:dyDescent="0.2">
      <c r="AD1190" s="267"/>
      <c r="AE1190" s="268" t="e">
        <f>AE1189+1</f>
        <v>#N/A</v>
      </c>
    </row>
    <row r="1191" spans="30:31" x14ac:dyDescent="0.2">
      <c r="AD1191" s="269" t="e">
        <f>INDEX('SRIM Data'!$Z$9:$Z$140,AE1189)</f>
        <v>#N/A</v>
      </c>
      <c r="AE1191" s="268" t="e">
        <f>INDEX('SRIM Data'!$AA$9:$AA$140,AE1189)</f>
        <v>#N/A</v>
      </c>
    </row>
    <row r="1192" spans="30:31" x14ac:dyDescent="0.2">
      <c r="AD1192" s="269" t="e">
        <f>INDEX('SRIM Data'!$Z$9:$Z$140,AE1190)</f>
        <v>#N/A</v>
      </c>
      <c r="AE1192" s="268" t="e">
        <f>INDEX('SRIM Data'!$AA$9:$AA$140,AE1190)</f>
        <v>#N/A</v>
      </c>
    </row>
    <row r="1193" spans="30:31" x14ac:dyDescent="0.2">
      <c r="AD1193" s="270" t="e">
        <f>AD1192-AE1193*(AD1192-AD1191)</f>
        <v>#N/A</v>
      </c>
      <c r="AE1193" s="271" t="e">
        <f>(AE1192-AE1188)/(AE1192-AE1191)</f>
        <v>#N/A</v>
      </c>
    </row>
    <row r="1194" spans="30:31" x14ac:dyDescent="0.2">
      <c r="AD1194" s="272">
        <f>V1194</f>
        <v>0</v>
      </c>
      <c r="AE1194" s="273">
        <f>W1194</f>
        <v>0</v>
      </c>
    </row>
    <row r="1195" spans="30:31" x14ac:dyDescent="0.2">
      <c r="AD1195" s="267" t="e">
        <f>MATCH(AD1194,'SRIM Data'!$Z$9:$Z$140)</f>
        <v>#N/A</v>
      </c>
      <c r="AE1195" s="268"/>
    </row>
    <row r="1196" spans="30:31" x14ac:dyDescent="0.2">
      <c r="AD1196" s="267" t="e">
        <f>AD1195+1</f>
        <v>#N/A</v>
      </c>
      <c r="AE1196" s="268"/>
    </row>
    <row r="1197" spans="30:31" x14ac:dyDescent="0.2">
      <c r="AD1197" s="269" t="e">
        <f>INDEX('SRIM Data'!$Z$9:$Z$140,AD1195)</f>
        <v>#N/A</v>
      </c>
      <c r="AE1197" s="268" t="e">
        <f>INDEX('SRIM Data'!$AA$9:$AA$140,AD1195)</f>
        <v>#N/A</v>
      </c>
    </row>
    <row r="1198" spans="30:31" x14ac:dyDescent="0.2">
      <c r="AD1198" s="269" t="e">
        <f>INDEX('SRIM Data'!$Z$9:$Z$140,AD1196)</f>
        <v>#N/A</v>
      </c>
      <c r="AE1198" s="268" t="e">
        <f>INDEX('SRIM Data'!$AA$9:$AA$140,AD1196)</f>
        <v>#N/A</v>
      </c>
    </row>
    <row r="1199" spans="30:31" x14ac:dyDescent="0.2">
      <c r="AD1199" s="267" t="e">
        <f>(AD1198-AD1194)/(AD1198-AD1197)</f>
        <v>#N/A</v>
      </c>
      <c r="AE1199" s="268" t="e">
        <f>AE1198-AD1199*(AE1198-AE1197)</f>
        <v>#N/A</v>
      </c>
    </row>
    <row r="1200" spans="30:31" x14ac:dyDescent="0.2">
      <c r="AD1200" s="267"/>
      <c r="AE1200" s="268" t="e">
        <f>AE1199-AE1194</f>
        <v>#N/A</v>
      </c>
    </row>
    <row r="1201" spans="30:31" x14ac:dyDescent="0.2">
      <c r="AD1201" s="267"/>
      <c r="AE1201" s="268" t="e">
        <f>MATCH(AE1200,'SRIM Data'!$AA$9:$AA$140)</f>
        <v>#N/A</v>
      </c>
    </row>
    <row r="1202" spans="30:31" x14ac:dyDescent="0.2">
      <c r="AD1202" s="267"/>
      <c r="AE1202" s="268" t="e">
        <f>AE1201+1</f>
        <v>#N/A</v>
      </c>
    </row>
    <row r="1203" spans="30:31" x14ac:dyDescent="0.2">
      <c r="AD1203" s="269" t="e">
        <f>INDEX('SRIM Data'!$Z$9:$Z$140,AE1201)</f>
        <v>#N/A</v>
      </c>
      <c r="AE1203" s="268" t="e">
        <f>INDEX('SRIM Data'!$AA$9:$AA$140,AE1201)</f>
        <v>#N/A</v>
      </c>
    </row>
    <row r="1204" spans="30:31" x14ac:dyDescent="0.2">
      <c r="AD1204" s="269" t="e">
        <f>INDEX('SRIM Data'!$Z$9:$Z$140,AE1202)</f>
        <v>#N/A</v>
      </c>
      <c r="AE1204" s="268" t="e">
        <f>INDEX('SRIM Data'!$AA$9:$AA$140,AE1202)</f>
        <v>#N/A</v>
      </c>
    </row>
    <row r="1205" spans="30:31" x14ac:dyDescent="0.2">
      <c r="AD1205" s="270" t="e">
        <f>AD1204-AE1205*(AD1204-AD1203)</f>
        <v>#N/A</v>
      </c>
      <c r="AE1205" s="271" t="e">
        <f>(AE1204-AE1200)/(AE1204-AE1203)</f>
        <v>#N/A</v>
      </c>
    </row>
    <row r="1206" spans="30:31" x14ac:dyDescent="0.2">
      <c r="AD1206" s="272">
        <f>V1195</f>
        <v>0</v>
      </c>
      <c r="AE1206" s="273">
        <f>W1195</f>
        <v>0</v>
      </c>
    </row>
    <row r="1207" spans="30:31" x14ac:dyDescent="0.2">
      <c r="AD1207" s="267" t="e">
        <f>MATCH(AD1206,'SRIM Data'!$Z$9:$Z$140)</f>
        <v>#N/A</v>
      </c>
      <c r="AE1207" s="268"/>
    </row>
    <row r="1208" spans="30:31" x14ac:dyDescent="0.2">
      <c r="AD1208" s="267" t="e">
        <f>AD1207+1</f>
        <v>#N/A</v>
      </c>
      <c r="AE1208" s="268"/>
    </row>
    <row r="1209" spans="30:31" x14ac:dyDescent="0.2">
      <c r="AD1209" s="269" t="e">
        <f>INDEX('SRIM Data'!$Z$9:$Z$140,AD1207)</f>
        <v>#N/A</v>
      </c>
      <c r="AE1209" s="268" t="e">
        <f>INDEX('SRIM Data'!$AA$9:$AA$140,AD1207)</f>
        <v>#N/A</v>
      </c>
    </row>
    <row r="1210" spans="30:31" x14ac:dyDescent="0.2">
      <c r="AD1210" s="269" t="e">
        <f>INDEX('SRIM Data'!$Z$9:$Z$140,AD1208)</f>
        <v>#N/A</v>
      </c>
      <c r="AE1210" s="268" t="e">
        <f>INDEX('SRIM Data'!$AA$9:$AA$140,AD1208)</f>
        <v>#N/A</v>
      </c>
    </row>
    <row r="1211" spans="30:31" x14ac:dyDescent="0.2">
      <c r="AD1211" s="267" t="e">
        <f>(AD1210-AD1206)/(AD1210-AD1209)</f>
        <v>#N/A</v>
      </c>
      <c r="AE1211" s="268" t="e">
        <f>AE1210-AD1211*(AE1210-AE1209)</f>
        <v>#N/A</v>
      </c>
    </row>
    <row r="1212" spans="30:31" x14ac:dyDescent="0.2">
      <c r="AD1212" s="267"/>
      <c r="AE1212" s="268" t="e">
        <f>AE1211-AE1206</f>
        <v>#N/A</v>
      </c>
    </row>
    <row r="1213" spans="30:31" x14ac:dyDescent="0.2">
      <c r="AD1213" s="267"/>
      <c r="AE1213" s="268" t="e">
        <f>MATCH(AE1212,'SRIM Data'!$AA$9:$AA$140)</f>
        <v>#N/A</v>
      </c>
    </row>
    <row r="1214" spans="30:31" x14ac:dyDescent="0.2">
      <c r="AD1214" s="267"/>
      <c r="AE1214" s="268" t="e">
        <f>AE1213+1</f>
        <v>#N/A</v>
      </c>
    </row>
    <row r="1215" spans="30:31" x14ac:dyDescent="0.2">
      <c r="AD1215" s="269" t="e">
        <f>INDEX('SRIM Data'!$Z$9:$Z$140,AE1213)</f>
        <v>#N/A</v>
      </c>
      <c r="AE1215" s="268" t="e">
        <f>INDEX('SRIM Data'!$AA$9:$AA$140,AE1213)</f>
        <v>#N/A</v>
      </c>
    </row>
    <row r="1216" spans="30:31" x14ac:dyDescent="0.2">
      <c r="AD1216" s="269" t="e">
        <f>INDEX('SRIM Data'!$Z$9:$Z$140,AE1214)</f>
        <v>#N/A</v>
      </c>
      <c r="AE1216" s="268" t="e">
        <f>INDEX('SRIM Data'!$AA$9:$AA$140,AE1214)</f>
        <v>#N/A</v>
      </c>
    </row>
    <row r="1217" spans="30:31" x14ac:dyDescent="0.2">
      <c r="AD1217" s="270" t="e">
        <f>AD1216-AE1217*(AD1216-AD1215)</f>
        <v>#N/A</v>
      </c>
      <c r="AE1217" s="271" t="e">
        <f>(AE1216-AE1212)/(AE1216-AE1215)</f>
        <v>#N/A</v>
      </c>
    </row>
    <row r="1218" spans="30:31" x14ac:dyDescent="0.2">
      <c r="AD1218" s="272">
        <f>V1218</f>
        <v>0</v>
      </c>
      <c r="AE1218" s="273">
        <f>W1218</f>
        <v>0</v>
      </c>
    </row>
    <row r="1219" spans="30:31" x14ac:dyDescent="0.2">
      <c r="AD1219" s="267" t="e">
        <f>MATCH(AD1218,'SRIM Data'!$Z$9:$Z$140)</f>
        <v>#N/A</v>
      </c>
      <c r="AE1219" s="268"/>
    </row>
    <row r="1220" spans="30:31" x14ac:dyDescent="0.2">
      <c r="AD1220" s="267" t="e">
        <f>AD1219+1</f>
        <v>#N/A</v>
      </c>
      <c r="AE1220" s="268"/>
    </row>
    <row r="1221" spans="30:31" x14ac:dyDescent="0.2">
      <c r="AD1221" s="269" t="e">
        <f>INDEX('SRIM Data'!$Z$9:$Z$140,AD1219)</f>
        <v>#N/A</v>
      </c>
      <c r="AE1221" s="268" t="e">
        <f>INDEX('SRIM Data'!$AA$9:$AA$140,AD1219)</f>
        <v>#N/A</v>
      </c>
    </row>
    <row r="1222" spans="30:31" x14ac:dyDescent="0.2">
      <c r="AD1222" s="269" t="e">
        <f>INDEX('SRIM Data'!$Z$9:$Z$140,AD1220)</f>
        <v>#N/A</v>
      </c>
      <c r="AE1222" s="268" t="e">
        <f>INDEX('SRIM Data'!$AA$9:$AA$140,AD1220)</f>
        <v>#N/A</v>
      </c>
    </row>
    <row r="1223" spans="30:31" x14ac:dyDescent="0.2">
      <c r="AD1223" s="267" t="e">
        <f>(AD1222-AD1218)/(AD1222-AD1221)</f>
        <v>#N/A</v>
      </c>
      <c r="AE1223" s="268" t="e">
        <f>AE1222-AD1223*(AE1222-AE1221)</f>
        <v>#N/A</v>
      </c>
    </row>
    <row r="1224" spans="30:31" x14ac:dyDescent="0.2">
      <c r="AD1224" s="267"/>
      <c r="AE1224" s="268" t="e">
        <f>AE1223-AE1218</f>
        <v>#N/A</v>
      </c>
    </row>
    <row r="1225" spans="30:31" x14ac:dyDescent="0.2">
      <c r="AD1225" s="267"/>
      <c r="AE1225" s="268" t="e">
        <f>MATCH(AE1224,'SRIM Data'!$AA$9:$AA$140)</f>
        <v>#N/A</v>
      </c>
    </row>
    <row r="1226" spans="30:31" x14ac:dyDescent="0.2">
      <c r="AD1226" s="267"/>
      <c r="AE1226" s="268" t="e">
        <f>AE1225+1</f>
        <v>#N/A</v>
      </c>
    </row>
    <row r="1227" spans="30:31" x14ac:dyDescent="0.2">
      <c r="AD1227" s="269" t="e">
        <f>INDEX('SRIM Data'!$Z$9:$Z$140,AE1225)</f>
        <v>#N/A</v>
      </c>
      <c r="AE1227" s="268" t="e">
        <f>INDEX('SRIM Data'!$AA$9:$AA$140,AE1225)</f>
        <v>#N/A</v>
      </c>
    </row>
    <row r="1228" spans="30:31" x14ac:dyDescent="0.2">
      <c r="AD1228" s="269" t="e">
        <f>INDEX('SRIM Data'!$Z$9:$Z$140,AE1226)</f>
        <v>#N/A</v>
      </c>
      <c r="AE1228" s="268" t="e">
        <f>INDEX('SRIM Data'!$AA$9:$AA$140,AE1226)</f>
        <v>#N/A</v>
      </c>
    </row>
    <row r="1229" spans="30:31" x14ac:dyDescent="0.2">
      <c r="AD1229" s="270" t="e">
        <f>AD1228-AE1229*(AD1228-AD1227)</f>
        <v>#N/A</v>
      </c>
      <c r="AE1229" s="271" t="e">
        <f>(AE1228-AE1224)/(AE1228-AE1227)</f>
        <v>#N/A</v>
      </c>
    </row>
    <row r="1230" spans="30:31" x14ac:dyDescent="0.2">
      <c r="AD1230" s="272">
        <f>V1219</f>
        <v>0</v>
      </c>
      <c r="AE1230" s="273">
        <f>W1219</f>
        <v>0</v>
      </c>
    </row>
    <row r="1231" spans="30:31" x14ac:dyDescent="0.2">
      <c r="AD1231" s="267" t="e">
        <f>MATCH(AD1230,'SRIM Data'!$Z$9:$Z$140)</f>
        <v>#N/A</v>
      </c>
      <c r="AE1231" s="268"/>
    </row>
    <row r="1232" spans="30:31" x14ac:dyDescent="0.2">
      <c r="AD1232" s="267" t="e">
        <f>AD1231+1</f>
        <v>#N/A</v>
      </c>
      <c r="AE1232" s="268"/>
    </row>
    <row r="1233" spans="30:31" x14ac:dyDescent="0.2">
      <c r="AD1233" s="269" t="e">
        <f>INDEX('SRIM Data'!$Z$9:$Z$140,AD1231)</f>
        <v>#N/A</v>
      </c>
      <c r="AE1233" s="268" t="e">
        <f>INDEX('SRIM Data'!$AA$9:$AA$140,AD1231)</f>
        <v>#N/A</v>
      </c>
    </row>
    <row r="1234" spans="30:31" x14ac:dyDescent="0.2">
      <c r="AD1234" s="269" t="e">
        <f>INDEX('SRIM Data'!$Z$9:$Z$140,AD1232)</f>
        <v>#N/A</v>
      </c>
      <c r="AE1234" s="268" t="e">
        <f>INDEX('SRIM Data'!$AA$9:$AA$140,AD1232)</f>
        <v>#N/A</v>
      </c>
    </row>
    <row r="1235" spans="30:31" x14ac:dyDescent="0.2">
      <c r="AD1235" s="267" t="e">
        <f>(AD1234-AD1230)/(AD1234-AD1233)</f>
        <v>#N/A</v>
      </c>
      <c r="AE1235" s="268" t="e">
        <f>AE1234-AD1235*(AE1234-AE1233)</f>
        <v>#N/A</v>
      </c>
    </row>
    <row r="1236" spans="30:31" x14ac:dyDescent="0.2">
      <c r="AD1236" s="267"/>
      <c r="AE1236" s="268" t="e">
        <f>AE1235-AE1230</f>
        <v>#N/A</v>
      </c>
    </row>
    <row r="1237" spans="30:31" x14ac:dyDescent="0.2">
      <c r="AD1237" s="267"/>
      <c r="AE1237" s="268" t="e">
        <f>MATCH(AE1236,'SRIM Data'!$AA$9:$AA$140)</f>
        <v>#N/A</v>
      </c>
    </row>
    <row r="1238" spans="30:31" x14ac:dyDescent="0.2">
      <c r="AD1238" s="267"/>
      <c r="AE1238" s="268" t="e">
        <f>AE1237+1</f>
        <v>#N/A</v>
      </c>
    </row>
    <row r="1239" spans="30:31" x14ac:dyDescent="0.2">
      <c r="AD1239" s="269" t="e">
        <f>INDEX('SRIM Data'!$Z$9:$Z$140,AE1237)</f>
        <v>#N/A</v>
      </c>
      <c r="AE1239" s="268" t="e">
        <f>INDEX('SRIM Data'!$AA$9:$AA$140,AE1237)</f>
        <v>#N/A</v>
      </c>
    </row>
    <row r="1240" spans="30:31" x14ac:dyDescent="0.2">
      <c r="AD1240" s="269" t="e">
        <f>INDEX('SRIM Data'!$Z$9:$Z$140,AE1238)</f>
        <v>#N/A</v>
      </c>
      <c r="AE1240" s="268" t="e">
        <f>INDEX('SRIM Data'!$AA$9:$AA$140,AE1238)</f>
        <v>#N/A</v>
      </c>
    </row>
    <row r="1241" spans="30:31" x14ac:dyDescent="0.2">
      <c r="AD1241" s="270" t="e">
        <f>AD1240-AE1241*(AD1240-AD1239)</f>
        <v>#N/A</v>
      </c>
      <c r="AE1241" s="271" t="e">
        <f>(AE1240-AE1236)/(AE1240-AE1239)</f>
        <v>#N/A</v>
      </c>
    </row>
    <row r="1242" spans="30:31" x14ac:dyDescent="0.2">
      <c r="AD1242" s="272">
        <f>V1242</f>
        <v>0</v>
      </c>
      <c r="AE1242" s="273">
        <f>W1242</f>
        <v>0</v>
      </c>
    </row>
    <row r="1243" spans="30:31" x14ac:dyDescent="0.2">
      <c r="AD1243" s="267" t="e">
        <f>MATCH(AD1242,'SRIM Data'!$Z$9:$Z$140)</f>
        <v>#N/A</v>
      </c>
      <c r="AE1243" s="268"/>
    </row>
    <row r="1244" spans="30:31" x14ac:dyDescent="0.2">
      <c r="AD1244" s="267" t="e">
        <f>AD1243+1</f>
        <v>#N/A</v>
      </c>
      <c r="AE1244" s="268"/>
    </row>
    <row r="1245" spans="30:31" x14ac:dyDescent="0.2">
      <c r="AD1245" s="269" t="e">
        <f>INDEX('SRIM Data'!$Z$9:$Z$140,AD1243)</f>
        <v>#N/A</v>
      </c>
      <c r="AE1245" s="268" t="e">
        <f>INDEX('SRIM Data'!$AA$9:$AA$140,AD1243)</f>
        <v>#N/A</v>
      </c>
    </row>
    <row r="1246" spans="30:31" x14ac:dyDescent="0.2">
      <c r="AD1246" s="269" t="e">
        <f>INDEX('SRIM Data'!$Z$9:$Z$140,AD1244)</f>
        <v>#N/A</v>
      </c>
      <c r="AE1246" s="268" t="e">
        <f>INDEX('SRIM Data'!$AA$9:$AA$140,AD1244)</f>
        <v>#N/A</v>
      </c>
    </row>
    <row r="1247" spans="30:31" x14ac:dyDescent="0.2">
      <c r="AD1247" s="267" t="e">
        <f>(AD1246-AD1242)/(AD1246-AD1245)</f>
        <v>#N/A</v>
      </c>
      <c r="AE1247" s="268" t="e">
        <f>AE1246-AD1247*(AE1246-AE1245)</f>
        <v>#N/A</v>
      </c>
    </row>
    <row r="1248" spans="30:31" x14ac:dyDescent="0.2">
      <c r="AD1248" s="267"/>
      <c r="AE1248" s="268" t="e">
        <f>AE1247-AE1242</f>
        <v>#N/A</v>
      </c>
    </row>
    <row r="1249" spans="30:31" x14ac:dyDescent="0.2">
      <c r="AD1249" s="267"/>
      <c r="AE1249" s="268" t="e">
        <f>MATCH(AE1248,'SRIM Data'!$AA$9:$AA$140)</f>
        <v>#N/A</v>
      </c>
    </row>
    <row r="1250" spans="30:31" x14ac:dyDescent="0.2">
      <c r="AD1250" s="267"/>
      <c r="AE1250" s="268" t="e">
        <f>AE1249+1</f>
        <v>#N/A</v>
      </c>
    </row>
    <row r="1251" spans="30:31" x14ac:dyDescent="0.2">
      <c r="AD1251" s="269" t="e">
        <f>INDEX('SRIM Data'!$Z$9:$Z$140,AE1249)</f>
        <v>#N/A</v>
      </c>
      <c r="AE1251" s="268" t="e">
        <f>INDEX('SRIM Data'!$AA$9:$AA$140,AE1249)</f>
        <v>#N/A</v>
      </c>
    </row>
    <row r="1252" spans="30:31" x14ac:dyDescent="0.2">
      <c r="AD1252" s="269" t="e">
        <f>INDEX('SRIM Data'!$Z$9:$Z$140,AE1250)</f>
        <v>#N/A</v>
      </c>
      <c r="AE1252" s="268" t="e">
        <f>INDEX('SRIM Data'!$AA$9:$AA$140,AE1250)</f>
        <v>#N/A</v>
      </c>
    </row>
    <row r="1253" spans="30:31" x14ac:dyDescent="0.2">
      <c r="AD1253" s="270" t="e">
        <f>AD1252-AE1253*(AD1252-AD1251)</f>
        <v>#N/A</v>
      </c>
      <c r="AE1253" s="271" t="e">
        <f>(AE1252-AE1248)/(AE1252-AE1251)</f>
        <v>#N/A</v>
      </c>
    </row>
    <row r="1254" spans="30:31" x14ac:dyDescent="0.2">
      <c r="AD1254" s="272">
        <f>V1243</f>
        <v>0</v>
      </c>
      <c r="AE1254" s="273">
        <f>W1243</f>
        <v>0</v>
      </c>
    </row>
    <row r="1255" spans="30:31" x14ac:dyDescent="0.2">
      <c r="AD1255" s="267" t="e">
        <f>MATCH(AD1254,'SRIM Data'!$Z$9:$Z$140)</f>
        <v>#N/A</v>
      </c>
      <c r="AE1255" s="268"/>
    </row>
    <row r="1256" spans="30:31" x14ac:dyDescent="0.2">
      <c r="AD1256" s="267" t="e">
        <f>AD1255+1</f>
        <v>#N/A</v>
      </c>
      <c r="AE1256" s="268"/>
    </row>
    <row r="1257" spans="30:31" x14ac:dyDescent="0.2">
      <c r="AD1257" s="269" t="e">
        <f>INDEX('SRIM Data'!$Z$9:$Z$140,AD1255)</f>
        <v>#N/A</v>
      </c>
      <c r="AE1257" s="268" t="e">
        <f>INDEX('SRIM Data'!$AA$9:$AA$140,AD1255)</f>
        <v>#N/A</v>
      </c>
    </row>
    <row r="1258" spans="30:31" x14ac:dyDescent="0.2">
      <c r="AD1258" s="269" t="e">
        <f>INDEX('SRIM Data'!$Z$9:$Z$140,AD1256)</f>
        <v>#N/A</v>
      </c>
      <c r="AE1258" s="268" t="e">
        <f>INDEX('SRIM Data'!$AA$9:$AA$140,AD1256)</f>
        <v>#N/A</v>
      </c>
    </row>
    <row r="1259" spans="30:31" x14ac:dyDescent="0.2">
      <c r="AD1259" s="267" t="e">
        <f>(AD1258-AD1254)/(AD1258-AD1257)</f>
        <v>#N/A</v>
      </c>
      <c r="AE1259" s="268" t="e">
        <f>AE1258-AD1259*(AE1258-AE1257)</f>
        <v>#N/A</v>
      </c>
    </row>
    <row r="1260" spans="30:31" x14ac:dyDescent="0.2">
      <c r="AD1260" s="267"/>
      <c r="AE1260" s="268" t="e">
        <f>AE1259-AE1254</f>
        <v>#N/A</v>
      </c>
    </row>
    <row r="1261" spans="30:31" x14ac:dyDescent="0.2">
      <c r="AD1261" s="267"/>
      <c r="AE1261" s="268" t="e">
        <f>MATCH(AE1260,'SRIM Data'!$AA$9:$AA$140)</f>
        <v>#N/A</v>
      </c>
    </row>
    <row r="1262" spans="30:31" x14ac:dyDescent="0.2">
      <c r="AD1262" s="267"/>
      <c r="AE1262" s="268" t="e">
        <f>AE1261+1</f>
        <v>#N/A</v>
      </c>
    </row>
    <row r="1263" spans="30:31" x14ac:dyDescent="0.2">
      <c r="AD1263" s="269" t="e">
        <f>INDEX('SRIM Data'!$Z$9:$Z$140,AE1261)</f>
        <v>#N/A</v>
      </c>
      <c r="AE1263" s="268" t="e">
        <f>INDEX('SRIM Data'!$AA$9:$AA$140,AE1261)</f>
        <v>#N/A</v>
      </c>
    </row>
    <row r="1264" spans="30:31" x14ac:dyDescent="0.2">
      <c r="AD1264" s="269" t="e">
        <f>INDEX('SRIM Data'!$Z$9:$Z$140,AE1262)</f>
        <v>#N/A</v>
      </c>
      <c r="AE1264" s="268" t="e">
        <f>INDEX('SRIM Data'!$AA$9:$AA$140,AE1262)</f>
        <v>#N/A</v>
      </c>
    </row>
    <row r="1265" spans="30:31" x14ac:dyDescent="0.2">
      <c r="AD1265" s="270" t="e">
        <f>AD1264-AE1265*(AD1264-AD1263)</f>
        <v>#N/A</v>
      </c>
      <c r="AE1265" s="271" t="e">
        <f>(AE1264-AE1260)/(AE1264-AE1263)</f>
        <v>#N/A</v>
      </c>
    </row>
    <row r="1266" spans="30:31" x14ac:dyDescent="0.2">
      <c r="AD1266" s="272">
        <f>V1266</f>
        <v>0</v>
      </c>
      <c r="AE1266" s="273">
        <f>W1266</f>
        <v>0</v>
      </c>
    </row>
    <row r="1267" spans="30:31" x14ac:dyDescent="0.2">
      <c r="AD1267" s="267" t="e">
        <f>MATCH(AD1266,'SRIM Data'!$Z$9:$Z$140)</f>
        <v>#N/A</v>
      </c>
      <c r="AE1267" s="268"/>
    </row>
    <row r="1268" spans="30:31" x14ac:dyDescent="0.2">
      <c r="AD1268" s="267" t="e">
        <f>AD1267+1</f>
        <v>#N/A</v>
      </c>
      <c r="AE1268" s="268"/>
    </row>
    <row r="1269" spans="30:31" x14ac:dyDescent="0.2">
      <c r="AD1269" s="269" t="e">
        <f>INDEX('SRIM Data'!$Z$9:$Z$140,AD1267)</f>
        <v>#N/A</v>
      </c>
      <c r="AE1269" s="268" t="e">
        <f>INDEX('SRIM Data'!$AA$9:$AA$140,AD1267)</f>
        <v>#N/A</v>
      </c>
    </row>
    <row r="1270" spans="30:31" x14ac:dyDescent="0.2">
      <c r="AD1270" s="269" t="e">
        <f>INDEX('SRIM Data'!$Z$9:$Z$140,AD1268)</f>
        <v>#N/A</v>
      </c>
      <c r="AE1270" s="268" t="e">
        <f>INDEX('SRIM Data'!$AA$9:$AA$140,AD1268)</f>
        <v>#N/A</v>
      </c>
    </row>
    <row r="1271" spans="30:31" x14ac:dyDescent="0.2">
      <c r="AD1271" s="267" t="e">
        <f>(AD1270-AD1266)/(AD1270-AD1269)</f>
        <v>#N/A</v>
      </c>
      <c r="AE1271" s="268" t="e">
        <f>AE1270-AD1271*(AE1270-AE1269)</f>
        <v>#N/A</v>
      </c>
    </row>
    <row r="1272" spans="30:31" x14ac:dyDescent="0.2">
      <c r="AD1272" s="267"/>
      <c r="AE1272" s="268" t="e">
        <f>AE1271-AE1266</f>
        <v>#N/A</v>
      </c>
    </row>
    <row r="1273" spans="30:31" x14ac:dyDescent="0.2">
      <c r="AD1273" s="267"/>
      <c r="AE1273" s="268" t="e">
        <f>MATCH(AE1272,'SRIM Data'!$AA$9:$AA$140)</f>
        <v>#N/A</v>
      </c>
    </row>
    <row r="1274" spans="30:31" x14ac:dyDescent="0.2">
      <c r="AD1274" s="267"/>
      <c r="AE1274" s="268" t="e">
        <f>AE1273+1</f>
        <v>#N/A</v>
      </c>
    </row>
    <row r="1275" spans="30:31" x14ac:dyDescent="0.2">
      <c r="AD1275" s="269" t="e">
        <f>INDEX('SRIM Data'!$Z$9:$Z$140,AE1273)</f>
        <v>#N/A</v>
      </c>
      <c r="AE1275" s="268" t="e">
        <f>INDEX('SRIM Data'!$AA$9:$AA$140,AE1273)</f>
        <v>#N/A</v>
      </c>
    </row>
    <row r="1276" spans="30:31" x14ac:dyDescent="0.2">
      <c r="AD1276" s="269" t="e">
        <f>INDEX('SRIM Data'!$Z$9:$Z$140,AE1274)</f>
        <v>#N/A</v>
      </c>
      <c r="AE1276" s="268" t="e">
        <f>INDEX('SRIM Data'!$AA$9:$AA$140,AE1274)</f>
        <v>#N/A</v>
      </c>
    </row>
    <row r="1277" spans="30:31" x14ac:dyDescent="0.2">
      <c r="AD1277" s="270" t="e">
        <f>AD1276-AE1277*(AD1276-AD1275)</f>
        <v>#N/A</v>
      </c>
      <c r="AE1277" s="271" t="e">
        <f>(AE1276-AE1272)/(AE1276-AE1275)</f>
        <v>#N/A</v>
      </c>
    </row>
    <row r="1278" spans="30:31" x14ac:dyDescent="0.2">
      <c r="AD1278" s="272">
        <f>V1267</f>
        <v>0</v>
      </c>
      <c r="AE1278" s="273">
        <f>W1267</f>
        <v>0</v>
      </c>
    </row>
    <row r="1279" spans="30:31" x14ac:dyDescent="0.2">
      <c r="AD1279" s="267" t="e">
        <f>MATCH(AD1278,'SRIM Data'!$Z$9:$Z$140)</f>
        <v>#N/A</v>
      </c>
      <c r="AE1279" s="268"/>
    </row>
    <row r="1280" spans="30:31" x14ac:dyDescent="0.2">
      <c r="AD1280" s="267" t="e">
        <f>AD1279+1</f>
        <v>#N/A</v>
      </c>
      <c r="AE1280" s="268"/>
    </row>
    <row r="1281" spans="30:31" x14ac:dyDescent="0.2">
      <c r="AD1281" s="269" t="e">
        <f>INDEX('SRIM Data'!$Z$9:$Z$140,AD1279)</f>
        <v>#N/A</v>
      </c>
      <c r="AE1281" s="268" t="e">
        <f>INDEX('SRIM Data'!$AA$9:$AA$140,AD1279)</f>
        <v>#N/A</v>
      </c>
    </row>
    <row r="1282" spans="30:31" x14ac:dyDescent="0.2">
      <c r="AD1282" s="269" t="e">
        <f>INDEX('SRIM Data'!$Z$9:$Z$140,AD1280)</f>
        <v>#N/A</v>
      </c>
      <c r="AE1282" s="268" t="e">
        <f>INDEX('SRIM Data'!$AA$9:$AA$140,AD1280)</f>
        <v>#N/A</v>
      </c>
    </row>
    <row r="1283" spans="30:31" x14ac:dyDescent="0.2">
      <c r="AD1283" s="267" t="e">
        <f>(AD1282-AD1278)/(AD1282-AD1281)</f>
        <v>#N/A</v>
      </c>
      <c r="AE1283" s="268" t="e">
        <f>AE1282-AD1283*(AE1282-AE1281)</f>
        <v>#N/A</v>
      </c>
    </row>
    <row r="1284" spans="30:31" x14ac:dyDescent="0.2">
      <c r="AD1284" s="267"/>
      <c r="AE1284" s="268" t="e">
        <f>AE1283-AE1278</f>
        <v>#N/A</v>
      </c>
    </row>
    <row r="1285" spans="30:31" x14ac:dyDescent="0.2">
      <c r="AD1285" s="267"/>
      <c r="AE1285" s="268" t="e">
        <f>MATCH(AE1284,'SRIM Data'!$AA$9:$AA$140)</f>
        <v>#N/A</v>
      </c>
    </row>
    <row r="1286" spans="30:31" x14ac:dyDescent="0.2">
      <c r="AD1286" s="267"/>
      <c r="AE1286" s="268" t="e">
        <f>AE1285+1</f>
        <v>#N/A</v>
      </c>
    </row>
    <row r="1287" spans="30:31" x14ac:dyDescent="0.2">
      <c r="AD1287" s="269" t="e">
        <f>INDEX('SRIM Data'!$Z$9:$Z$140,AE1285)</f>
        <v>#N/A</v>
      </c>
      <c r="AE1287" s="268" t="e">
        <f>INDEX('SRIM Data'!$AA$9:$AA$140,AE1285)</f>
        <v>#N/A</v>
      </c>
    </row>
    <row r="1288" spans="30:31" x14ac:dyDescent="0.2">
      <c r="AD1288" s="269" t="e">
        <f>INDEX('SRIM Data'!$Z$9:$Z$140,AE1286)</f>
        <v>#N/A</v>
      </c>
      <c r="AE1288" s="268" t="e">
        <f>INDEX('SRIM Data'!$AA$9:$AA$140,AE1286)</f>
        <v>#N/A</v>
      </c>
    </row>
    <row r="1289" spans="30:31" x14ac:dyDescent="0.2">
      <c r="AD1289" s="270" t="e">
        <f>AD1288-AE1289*(AD1288-AD1287)</f>
        <v>#N/A</v>
      </c>
      <c r="AE1289" s="271" t="e">
        <f>(AE1288-AE1284)/(AE1288-AE1287)</f>
        <v>#N/A</v>
      </c>
    </row>
    <row r="1290" spans="30:31" x14ac:dyDescent="0.2">
      <c r="AD1290" s="272">
        <f>V1290</f>
        <v>0</v>
      </c>
      <c r="AE1290" s="273">
        <f>W1290</f>
        <v>0</v>
      </c>
    </row>
    <row r="1291" spans="30:31" x14ac:dyDescent="0.2">
      <c r="AD1291" s="267" t="e">
        <f>MATCH(AD1290,'SRIM Data'!$Z$9:$Z$140)</f>
        <v>#N/A</v>
      </c>
      <c r="AE1291" s="268"/>
    </row>
    <row r="1292" spans="30:31" x14ac:dyDescent="0.2">
      <c r="AD1292" s="267" t="e">
        <f>AD1291+1</f>
        <v>#N/A</v>
      </c>
      <c r="AE1292" s="268"/>
    </row>
    <row r="1293" spans="30:31" x14ac:dyDescent="0.2">
      <c r="AD1293" s="269" t="e">
        <f>INDEX('SRIM Data'!$Z$9:$Z$140,AD1291)</f>
        <v>#N/A</v>
      </c>
      <c r="AE1293" s="268" t="e">
        <f>INDEX('SRIM Data'!$AA$9:$AA$140,AD1291)</f>
        <v>#N/A</v>
      </c>
    </row>
    <row r="1294" spans="30:31" x14ac:dyDescent="0.2">
      <c r="AD1294" s="269" t="e">
        <f>INDEX('SRIM Data'!$Z$9:$Z$140,AD1292)</f>
        <v>#N/A</v>
      </c>
      <c r="AE1294" s="268" t="e">
        <f>INDEX('SRIM Data'!$AA$9:$AA$140,AD1292)</f>
        <v>#N/A</v>
      </c>
    </row>
    <row r="1295" spans="30:31" x14ac:dyDescent="0.2">
      <c r="AD1295" s="267" t="e">
        <f>(AD1294-AD1290)/(AD1294-AD1293)</f>
        <v>#N/A</v>
      </c>
      <c r="AE1295" s="268" t="e">
        <f>AE1294-AD1295*(AE1294-AE1293)</f>
        <v>#N/A</v>
      </c>
    </row>
    <row r="1296" spans="30:31" x14ac:dyDescent="0.2">
      <c r="AD1296" s="267"/>
      <c r="AE1296" s="268" t="e">
        <f>AE1295-AE1290</f>
        <v>#N/A</v>
      </c>
    </row>
    <row r="1297" spans="30:31" x14ac:dyDescent="0.2">
      <c r="AD1297" s="267"/>
      <c r="AE1297" s="268" t="e">
        <f>MATCH(AE1296,'SRIM Data'!$AA$9:$AA$140)</f>
        <v>#N/A</v>
      </c>
    </row>
    <row r="1298" spans="30:31" x14ac:dyDescent="0.2">
      <c r="AD1298" s="267"/>
      <c r="AE1298" s="268" t="e">
        <f>AE1297+1</f>
        <v>#N/A</v>
      </c>
    </row>
    <row r="1299" spans="30:31" x14ac:dyDescent="0.2">
      <c r="AD1299" s="269" t="e">
        <f>INDEX('SRIM Data'!$Z$9:$Z$140,AE1297)</f>
        <v>#N/A</v>
      </c>
      <c r="AE1299" s="268" t="e">
        <f>INDEX('SRIM Data'!$AA$9:$AA$140,AE1297)</f>
        <v>#N/A</v>
      </c>
    </row>
    <row r="1300" spans="30:31" x14ac:dyDescent="0.2">
      <c r="AD1300" s="269" t="e">
        <f>INDEX('SRIM Data'!$Z$9:$Z$140,AE1298)</f>
        <v>#N/A</v>
      </c>
      <c r="AE1300" s="268" t="e">
        <f>INDEX('SRIM Data'!$AA$9:$AA$140,AE1298)</f>
        <v>#N/A</v>
      </c>
    </row>
    <row r="1301" spans="30:31" x14ac:dyDescent="0.2">
      <c r="AD1301" s="270" t="e">
        <f>AD1300-AE1301*(AD1300-AD1299)</f>
        <v>#N/A</v>
      </c>
      <c r="AE1301" s="271" t="e">
        <f>(AE1300-AE1296)/(AE1300-AE1299)</f>
        <v>#N/A</v>
      </c>
    </row>
    <row r="1302" spans="30:31" x14ac:dyDescent="0.2">
      <c r="AD1302" s="272">
        <f>V1291</f>
        <v>0</v>
      </c>
      <c r="AE1302" s="273">
        <f>W1291</f>
        <v>0</v>
      </c>
    </row>
    <row r="1303" spans="30:31" x14ac:dyDescent="0.2">
      <c r="AD1303" s="267" t="e">
        <f>MATCH(AD1302,'SRIM Data'!$Z$9:$Z$140)</f>
        <v>#N/A</v>
      </c>
      <c r="AE1303" s="268"/>
    </row>
    <row r="1304" spans="30:31" x14ac:dyDescent="0.2">
      <c r="AD1304" s="267" t="e">
        <f>AD1303+1</f>
        <v>#N/A</v>
      </c>
      <c r="AE1304" s="268"/>
    </row>
    <row r="1305" spans="30:31" x14ac:dyDescent="0.2">
      <c r="AD1305" s="269" t="e">
        <f>INDEX('SRIM Data'!$Z$9:$Z$140,AD1303)</f>
        <v>#N/A</v>
      </c>
      <c r="AE1305" s="268" t="e">
        <f>INDEX('SRIM Data'!$AA$9:$AA$140,AD1303)</f>
        <v>#N/A</v>
      </c>
    </row>
    <row r="1306" spans="30:31" x14ac:dyDescent="0.2">
      <c r="AD1306" s="269" t="e">
        <f>INDEX('SRIM Data'!$Z$9:$Z$140,AD1304)</f>
        <v>#N/A</v>
      </c>
      <c r="AE1306" s="268" t="e">
        <f>INDEX('SRIM Data'!$AA$9:$AA$140,AD1304)</f>
        <v>#N/A</v>
      </c>
    </row>
    <row r="1307" spans="30:31" x14ac:dyDescent="0.2">
      <c r="AD1307" s="267" t="e">
        <f>(AD1306-AD1302)/(AD1306-AD1305)</f>
        <v>#N/A</v>
      </c>
      <c r="AE1307" s="268" t="e">
        <f>AE1306-AD1307*(AE1306-AE1305)</f>
        <v>#N/A</v>
      </c>
    </row>
    <row r="1308" spans="30:31" x14ac:dyDescent="0.2">
      <c r="AD1308" s="267"/>
      <c r="AE1308" s="268" t="e">
        <f>AE1307-AE1302</f>
        <v>#N/A</v>
      </c>
    </row>
    <row r="1309" spans="30:31" x14ac:dyDescent="0.2">
      <c r="AD1309" s="267"/>
      <c r="AE1309" s="268" t="e">
        <f>MATCH(AE1308,'SRIM Data'!$AA$9:$AA$140)</f>
        <v>#N/A</v>
      </c>
    </row>
    <row r="1310" spans="30:31" x14ac:dyDescent="0.2">
      <c r="AD1310" s="267"/>
      <c r="AE1310" s="268" t="e">
        <f>AE1309+1</f>
        <v>#N/A</v>
      </c>
    </row>
    <row r="1311" spans="30:31" x14ac:dyDescent="0.2">
      <c r="AD1311" s="269" t="e">
        <f>INDEX('SRIM Data'!$Z$9:$Z$140,AE1309)</f>
        <v>#N/A</v>
      </c>
      <c r="AE1311" s="268" t="e">
        <f>INDEX('SRIM Data'!$AA$9:$AA$140,AE1309)</f>
        <v>#N/A</v>
      </c>
    </row>
    <row r="1312" spans="30:31" x14ac:dyDescent="0.2">
      <c r="AD1312" s="269" t="e">
        <f>INDEX('SRIM Data'!$Z$9:$Z$140,AE1310)</f>
        <v>#N/A</v>
      </c>
      <c r="AE1312" s="268" t="e">
        <f>INDEX('SRIM Data'!$AA$9:$AA$140,AE1310)</f>
        <v>#N/A</v>
      </c>
    </row>
    <row r="1313" spans="30:31" x14ac:dyDescent="0.2">
      <c r="AD1313" s="270" t="e">
        <f>AD1312-AE1313*(AD1312-AD1311)</f>
        <v>#N/A</v>
      </c>
      <c r="AE1313" s="271" t="e">
        <f>(AE1312-AE1308)/(AE1312-AE1311)</f>
        <v>#N/A</v>
      </c>
    </row>
    <row r="1314" spans="30:31" x14ac:dyDescent="0.2">
      <c r="AD1314" s="272">
        <f>V1314</f>
        <v>0</v>
      </c>
      <c r="AE1314" s="273">
        <f>W1314</f>
        <v>0</v>
      </c>
    </row>
    <row r="1315" spans="30:31" x14ac:dyDescent="0.2">
      <c r="AD1315" s="267" t="e">
        <f>MATCH(AD1314,'SRIM Data'!$Z$9:$Z$140)</f>
        <v>#N/A</v>
      </c>
      <c r="AE1315" s="268"/>
    </row>
    <row r="1316" spans="30:31" x14ac:dyDescent="0.2">
      <c r="AD1316" s="267" t="e">
        <f>AD1315+1</f>
        <v>#N/A</v>
      </c>
      <c r="AE1316" s="268"/>
    </row>
    <row r="1317" spans="30:31" x14ac:dyDescent="0.2">
      <c r="AD1317" s="269" t="e">
        <f>INDEX('SRIM Data'!$Z$9:$Z$140,AD1315)</f>
        <v>#N/A</v>
      </c>
      <c r="AE1317" s="268" t="e">
        <f>INDEX('SRIM Data'!$AA$9:$AA$140,AD1315)</f>
        <v>#N/A</v>
      </c>
    </row>
    <row r="1318" spans="30:31" x14ac:dyDescent="0.2">
      <c r="AD1318" s="269" t="e">
        <f>INDEX('SRIM Data'!$Z$9:$Z$140,AD1316)</f>
        <v>#N/A</v>
      </c>
      <c r="AE1318" s="268" t="e">
        <f>INDEX('SRIM Data'!$AA$9:$AA$140,AD1316)</f>
        <v>#N/A</v>
      </c>
    </row>
    <row r="1319" spans="30:31" x14ac:dyDescent="0.2">
      <c r="AD1319" s="267" t="e">
        <f>(AD1318-AD1314)/(AD1318-AD1317)</f>
        <v>#N/A</v>
      </c>
      <c r="AE1319" s="268" t="e">
        <f>AE1318-AD1319*(AE1318-AE1317)</f>
        <v>#N/A</v>
      </c>
    </row>
    <row r="1320" spans="30:31" x14ac:dyDescent="0.2">
      <c r="AD1320" s="267"/>
      <c r="AE1320" s="268" t="e">
        <f>AE1319-AE1314</f>
        <v>#N/A</v>
      </c>
    </row>
    <row r="1321" spans="30:31" x14ac:dyDescent="0.2">
      <c r="AD1321" s="267"/>
      <c r="AE1321" s="268" t="e">
        <f>MATCH(AE1320,'SRIM Data'!$AA$9:$AA$140)</f>
        <v>#N/A</v>
      </c>
    </row>
    <row r="1322" spans="30:31" x14ac:dyDescent="0.2">
      <c r="AD1322" s="267"/>
      <c r="AE1322" s="268" t="e">
        <f>AE1321+1</f>
        <v>#N/A</v>
      </c>
    </row>
    <row r="1323" spans="30:31" x14ac:dyDescent="0.2">
      <c r="AD1323" s="269" t="e">
        <f>INDEX('SRIM Data'!$Z$9:$Z$140,AE1321)</f>
        <v>#N/A</v>
      </c>
      <c r="AE1323" s="268" t="e">
        <f>INDEX('SRIM Data'!$AA$9:$AA$140,AE1321)</f>
        <v>#N/A</v>
      </c>
    </row>
    <row r="1324" spans="30:31" x14ac:dyDescent="0.2">
      <c r="AD1324" s="269" t="e">
        <f>INDEX('SRIM Data'!$Z$9:$Z$140,AE1322)</f>
        <v>#N/A</v>
      </c>
      <c r="AE1324" s="268" t="e">
        <f>INDEX('SRIM Data'!$AA$9:$AA$140,AE1322)</f>
        <v>#N/A</v>
      </c>
    </row>
    <row r="1325" spans="30:31" x14ac:dyDescent="0.2">
      <c r="AD1325" s="270" t="e">
        <f>AD1324-AE1325*(AD1324-AD1323)</f>
        <v>#N/A</v>
      </c>
      <c r="AE1325" s="271" t="e">
        <f>(AE1324-AE1320)/(AE1324-AE1323)</f>
        <v>#N/A</v>
      </c>
    </row>
    <row r="1326" spans="30:31" x14ac:dyDescent="0.2">
      <c r="AD1326" s="272">
        <f>V1315</f>
        <v>0</v>
      </c>
      <c r="AE1326" s="273">
        <f>W1315</f>
        <v>0</v>
      </c>
    </row>
    <row r="1327" spans="30:31" x14ac:dyDescent="0.2">
      <c r="AD1327" s="267" t="e">
        <f>MATCH(AD1326,'SRIM Data'!$Z$9:$Z$140)</f>
        <v>#N/A</v>
      </c>
      <c r="AE1327" s="268"/>
    </row>
    <row r="1328" spans="30:31" x14ac:dyDescent="0.2">
      <c r="AD1328" s="267" t="e">
        <f>AD1327+1</f>
        <v>#N/A</v>
      </c>
      <c r="AE1328" s="268"/>
    </row>
    <row r="1329" spans="30:31" x14ac:dyDescent="0.2">
      <c r="AD1329" s="269" t="e">
        <f>INDEX('SRIM Data'!$Z$9:$Z$140,AD1327)</f>
        <v>#N/A</v>
      </c>
      <c r="AE1329" s="268" t="e">
        <f>INDEX('SRIM Data'!$AA$9:$AA$140,AD1327)</f>
        <v>#N/A</v>
      </c>
    </row>
    <row r="1330" spans="30:31" x14ac:dyDescent="0.2">
      <c r="AD1330" s="269" t="e">
        <f>INDEX('SRIM Data'!$Z$9:$Z$140,AD1328)</f>
        <v>#N/A</v>
      </c>
      <c r="AE1330" s="268" t="e">
        <f>INDEX('SRIM Data'!$AA$9:$AA$140,AD1328)</f>
        <v>#N/A</v>
      </c>
    </row>
    <row r="1331" spans="30:31" x14ac:dyDescent="0.2">
      <c r="AD1331" s="267" t="e">
        <f>(AD1330-AD1326)/(AD1330-AD1329)</f>
        <v>#N/A</v>
      </c>
      <c r="AE1331" s="268" t="e">
        <f>AE1330-AD1331*(AE1330-AE1329)</f>
        <v>#N/A</v>
      </c>
    </row>
    <row r="1332" spans="30:31" x14ac:dyDescent="0.2">
      <c r="AD1332" s="267"/>
      <c r="AE1332" s="268" t="e">
        <f>AE1331-AE1326</f>
        <v>#N/A</v>
      </c>
    </row>
    <row r="1333" spans="30:31" x14ac:dyDescent="0.2">
      <c r="AD1333" s="267"/>
      <c r="AE1333" s="268" t="e">
        <f>MATCH(AE1332,'SRIM Data'!$AA$9:$AA$140)</f>
        <v>#N/A</v>
      </c>
    </row>
    <row r="1334" spans="30:31" x14ac:dyDescent="0.2">
      <c r="AD1334" s="267"/>
      <c r="AE1334" s="268" t="e">
        <f>AE1333+1</f>
        <v>#N/A</v>
      </c>
    </row>
    <row r="1335" spans="30:31" x14ac:dyDescent="0.2">
      <c r="AD1335" s="269" t="e">
        <f>INDEX('SRIM Data'!$Z$9:$Z$140,AE1333)</f>
        <v>#N/A</v>
      </c>
      <c r="AE1335" s="268" t="e">
        <f>INDEX('SRIM Data'!$AA$9:$AA$140,AE1333)</f>
        <v>#N/A</v>
      </c>
    </row>
    <row r="1336" spans="30:31" x14ac:dyDescent="0.2">
      <c r="AD1336" s="269" t="e">
        <f>INDEX('SRIM Data'!$Z$9:$Z$140,AE1334)</f>
        <v>#N/A</v>
      </c>
      <c r="AE1336" s="268" t="e">
        <f>INDEX('SRIM Data'!$AA$9:$AA$140,AE1334)</f>
        <v>#N/A</v>
      </c>
    </row>
    <row r="1337" spans="30:31" x14ac:dyDescent="0.2">
      <c r="AD1337" s="270" t="e">
        <f>AD1336-AE1337*(AD1336-AD1335)</f>
        <v>#N/A</v>
      </c>
      <c r="AE1337" s="271" t="e">
        <f>(AE1336-AE1332)/(AE1336-AE1335)</f>
        <v>#N/A</v>
      </c>
    </row>
    <row r="1338" spans="30:31" x14ac:dyDescent="0.2">
      <c r="AD1338" s="272">
        <f>V1338</f>
        <v>0</v>
      </c>
      <c r="AE1338" s="273">
        <f>W1338</f>
        <v>0</v>
      </c>
    </row>
    <row r="1339" spans="30:31" x14ac:dyDescent="0.2">
      <c r="AD1339" s="267" t="e">
        <f>MATCH(AD1338,'SRIM Data'!$Z$9:$Z$140)</f>
        <v>#N/A</v>
      </c>
      <c r="AE1339" s="268"/>
    </row>
    <row r="1340" spans="30:31" x14ac:dyDescent="0.2">
      <c r="AD1340" s="267" t="e">
        <f>AD1339+1</f>
        <v>#N/A</v>
      </c>
      <c r="AE1340" s="268"/>
    </row>
    <row r="1341" spans="30:31" x14ac:dyDescent="0.2">
      <c r="AD1341" s="269" t="e">
        <f>INDEX('SRIM Data'!$Z$9:$Z$140,AD1339)</f>
        <v>#N/A</v>
      </c>
      <c r="AE1341" s="268" t="e">
        <f>INDEX('SRIM Data'!$AA$9:$AA$140,AD1339)</f>
        <v>#N/A</v>
      </c>
    </row>
    <row r="1342" spans="30:31" x14ac:dyDescent="0.2">
      <c r="AD1342" s="269" t="e">
        <f>INDEX('SRIM Data'!$Z$9:$Z$140,AD1340)</f>
        <v>#N/A</v>
      </c>
      <c r="AE1342" s="268" t="e">
        <f>INDEX('SRIM Data'!$AA$9:$AA$140,AD1340)</f>
        <v>#N/A</v>
      </c>
    </row>
    <row r="1343" spans="30:31" x14ac:dyDescent="0.2">
      <c r="AD1343" s="267" t="e">
        <f>(AD1342-AD1338)/(AD1342-AD1341)</f>
        <v>#N/A</v>
      </c>
      <c r="AE1343" s="268" t="e">
        <f>AE1342-AD1343*(AE1342-AE1341)</f>
        <v>#N/A</v>
      </c>
    </row>
    <row r="1344" spans="30:31" x14ac:dyDescent="0.2">
      <c r="AD1344" s="267"/>
      <c r="AE1344" s="268" t="e">
        <f>AE1343-AE1338</f>
        <v>#N/A</v>
      </c>
    </row>
    <row r="1345" spans="30:31" x14ac:dyDescent="0.2">
      <c r="AD1345" s="267"/>
      <c r="AE1345" s="268" t="e">
        <f>MATCH(AE1344,'SRIM Data'!$AA$9:$AA$140)</f>
        <v>#N/A</v>
      </c>
    </row>
    <row r="1346" spans="30:31" x14ac:dyDescent="0.2">
      <c r="AD1346" s="267"/>
      <c r="AE1346" s="268" t="e">
        <f>AE1345+1</f>
        <v>#N/A</v>
      </c>
    </row>
    <row r="1347" spans="30:31" x14ac:dyDescent="0.2">
      <c r="AD1347" s="269" t="e">
        <f>INDEX('SRIM Data'!$Z$9:$Z$140,AE1345)</f>
        <v>#N/A</v>
      </c>
      <c r="AE1347" s="268" t="e">
        <f>INDEX('SRIM Data'!$AA$9:$AA$140,AE1345)</f>
        <v>#N/A</v>
      </c>
    </row>
    <row r="1348" spans="30:31" x14ac:dyDescent="0.2">
      <c r="AD1348" s="269" t="e">
        <f>INDEX('SRIM Data'!$Z$9:$Z$140,AE1346)</f>
        <v>#N/A</v>
      </c>
      <c r="AE1348" s="268" t="e">
        <f>INDEX('SRIM Data'!$AA$9:$AA$140,AE1346)</f>
        <v>#N/A</v>
      </c>
    </row>
    <row r="1349" spans="30:31" x14ac:dyDescent="0.2">
      <c r="AD1349" s="270" t="e">
        <f>AD1348-AE1349*(AD1348-AD1347)</f>
        <v>#N/A</v>
      </c>
      <c r="AE1349" s="271" t="e">
        <f>(AE1348-AE1344)/(AE1348-AE1347)</f>
        <v>#N/A</v>
      </c>
    </row>
    <row r="1350" spans="30:31" x14ac:dyDescent="0.2">
      <c r="AD1350" s="272">
        <f>V1339</f>
        <v>0</v>
      </c>
      <c r="AE1350" s="273">
        <f>W1339</f>
        <v>0</v>
      </c>
    </row>
    <row r="1351" spans="30:31" x14ac:dyDescent="0.2">
      <c r="AD1351" s="267" t="e">
        <f>MATCH(AD1350,'SRIM Data'!$Z$9:$Z$140)</f>
        <v>#N/A</v>
      </c>
      <c r="AE1351" s="268"/>
    </row>
    <row r="1352" spans="30:31" x14ac:dyDescent="0.2">
      <c r="AD1352" s="267" t="e">
        <f>AD1351+1</f>
        <v>#N/A</v>
      </c>
      <c r="AE1352" s="268"/>
    </row>
    <row r="1353" spans="30:31" x14ac:dyDescent="0.2">
      <c r="AD1353" s="269" t="e">
        <f>INDEX('SRIM Data'!$Z$9:$Z$140,AD1351)</f>
        <v>#N/A</v>
      </c>
      <c r="AE1353" s="268" t="e">
        <f>INDEX('SRIM Data'!$AA$9:$AA$140,AD1351)</f>
        <v>#N/A</v>
      </c>
    </row>
    <row r="1354" spans="30:31" x14ac:dyDescent="0.2">
      <c r="AD1354" s="269" t="e">
        <f>INDEX('SRIM Data'!$Z$9:$Z$140,AD1352)</f>
        <v>#N/A</v>
      </c>
      <c r="AE1354" s="268" t="e">
        <f>INDEX('SRIM Data'!$AA$9:$AA$140,AD1352)</f>
        <v>#N/A</v>
      </c>
    </row>
    <row r="1355" spans="30:31" x14ac:dyDescent="0.2">
      <c r="AD1355" s="267" t="e">
        <f>(AD1354-AD1350)/(AD1354-AD1353)</f>
        <v>#N/A</v>
      </c>
      <c r="AE1355" s="268" t="e">
        <f>AE1354-AD1355*(AE1354-AE1353)</f>
        <v>#N/A</v>
      </c>
    </row>
    <row r="1356" spans="30:31" x14ac:dyDescent="0.2">
      <c r="AD1356" s="267"/>
      <c r="AE1356" s="268" t="e">
        <f>AE1355-AE1350</f>
        <v>#N/A</v>
      </c>
    </row>
    <row r="1357" spans="30:31" x14ac:dyDescent="0.2">
      <c r="AD1357" s="267"/>
      <c r="AE1357" s="268" t="e">
        <f>MATCH(AE1356,'SRIM Data'!$AA$9:$AA$140)</f>
        <v>#N/A</v>
      </c>
    </row>
    <row r="1358" spans="30:31" x14ac:dyDescent="0.2">
      <c r="AD1358" s="267"/>
      <c r="AE1358" s="268" t="e">
        <f>AE1357+1</f>
        <v>#N/A</v>
      </c>
    </row>
    <row r="1359" spans="30:31" x14ac:dyDescent="0.2">
      <c r="AD1359" s="269" t="e">
        <f>INDEX('SRIM Data'!$Z$9:$Z$140,AE1357)</f>
        <v>#N/A</v>
      </c>
      <c r="AE1359" s="268" t="e">
        <f>INDEX('SRIM Data'!$AA$9:$AA$140,AE1357)</f>
        <v>#N/A</v>
      </c>
    </row>
    <row r="1360" spans="30:31" x14ac:dyDescent="0.2">
      <c r="AD1360" s="269" t="e">
        <f>INDEX('SRIM Data'!$Z$9:$Z$140,AE1358)</f>
        <v>#N/A</v>
      </c>
      <c r="AE1360" s="268" t="e">
        <f>INDEX('SRIM Data'!$AA$9:$AA$140,AE1358)</f>
        <v>#N/A</v>
      </c>
    </row>
    <row r="1361" spans="30:31" x14ac:dyDescent="0.2">
      <c r="AD1361" s="270" t="e">
        <f>AD1360-AE1361*(AD1360-AD1359)</f>
        <v>#N/A</v>
      </c>
      <c r="AE1361" s="271" t="e">
        <f>(AE1360-AE1356)/(AE1360-AE1359)</f>
        <v>#N/A</v>
      </c>
    </row>
    <row r="1362" spans="30:31" x14ac:dyDescent="0.2">
      <c r="AD1362" s="272">
        <f>V1362</f>
        <v>0</v>
      </c>
      <c r="AE1362" s="273">
        <f>W1362</f>
        <v>0</v>
      </c>
    </row>
    <row r="1363" spans="30:31" x14ac:dyDescent="0.2">
      <c r="AD1363" s="267" t="e">
        <f>MATCH(AD1362,'SRIM Data'!$Z$9:$Z$140)</f>
        <v>#N/A</v>
      </c>
      <c r="AE1363" s="268"/>
    </row>
    <row r="1364" spans="30:31" x14ac:dyDescent="0.2">
      <c r="AD1364" s="267" t="e">
        <f>AD1363+1</f>
        <v>#N/A</v>
      </c>
      <c r="AE1364" s="268"/>
    </row>
    <row r="1365" spans="30:31" x14ac:dyDescent="0.2">
      <c r="AD1365" s="269" t="e">
        <f>INDEX('SRIM Data'!$Z$9:$Z$140,AD1363)</f>
        <v>#N/A</v>
      </c>
      <c r="AE1365" s="268" t="e">
        <f>INDEX('SRIM Data'!$AA$9:$AA$140,AD1363)</f>
        <v>#N/A</v>
      </c>
    </row>
    <row r="1366" spans="30:31" x14ac:dyDescent="0.2">
      <c r="AD1366" s="269" t="e">
        <f>INDEX('SRIM Data'!$Z$9:$Z$140,AD1364)</f>
        <v>#N/A</v>
      </c>
      <c r="AE1366" s="268" t="e">
        <f>INDEX('SRIM Data'!$AA$9:$AA$140,AD1364)</f>
        <v>#N/A</v>
      </c>
    </row>
    <row r="1367" spans="30:31" x14ac:dyDescent="0.2">
      <c r="AD1367" s="267" t="e">
        <f>(AD1366-AD1362)/(AD1366-AD1365)</f>
        <v>#N/A</v>
      </c>
      <c r="AE1367" s="268" t="e">
        <f>AE1366-AD1367*(AE1366-AE1365)</f>
        <v>#N/A</v>
      </c>
    </row>
    <row r="1368" spans="30:31" x14ac:dyDescent="0.2">
      <c r="AD1368" s="267"/>
      <c r="AE1368" s="268" t="e">
        <f>AE1367-AE1362</f>
        <v>#N/A</v>
      </c>
    </row>
    <row r="1369" spans="30:31" x14ac:dyDescent="0.2">
      <c r="AD1369" s="267"/>
      <c r="AE1369" s="268" t="e">
        <f>MATCH(AE1368,'SRIM Data'!$AA$9:$AA$140)</f>
        <v>#N/A</v>
      </c>
    </row>
    <row r="1370" spans="30:31" x14ac:dyDescent="0.2">
      <c r="AD1370" s="267"/>
      <c r="AE1370" s="268" t="e">
        <f>AE1369+1</f>
        <v>#N/A</v>
      </c>
    </row>
    <row r="1371" spans="30:31" x14ac:dyDescent="0.2">
      <c r="AD1371" s="269" t="e">
        <f>INDEX('SRIM Data'!$Z$9:$Z$140,AE1369)</f>
        <v>#N/A</v>
      </c>
      <c r="AE1371" s="268" t="e">
        <f>INDEX('SRIM Data'!$AA$9:$AA$140,AE1369)</f>
        <v>#N/A</v>
      </c>
    </row>
    <row r="1372" spans="30:31" x14ac:dyDescent="0.2">
      <c r="AD1372" s="269" t="e">
        <f>INDEX('SRIM Data'!$Z$9:$Z$140,AE1370)</f>
        <v>#N/A</v>
      </c>
      <c r="AE1372" s="268" t="e">
        <f>INDEX('SRIM Data'!$AA$9:$AA$140,AE1370)</f>
        <v>#N/A</v>
      </c>
    </row>
    <row r="1373" spans="30:31" x14ac:dyDescent="0.2">
      <c r="AD1373" s="270" t="e">
        <f>AD1372-AE1373*(AD1372-AD1371)</f>
        <v>#N/A</v>
      </c>
      <c r="AE1373" s="271" t="e">
        <f>(AE1372-AE1368)/(AE1372-AE1371)</f>
        <v>#N/A</v>
      </c>
    </row>
    <row r="1374" spans="30:31" x14ac:dyDescent="0.2">
      <c r="AD1374" s="272">
        <f>V1363</f>
        <v>0</v>
      </c>
      <c r="AE1374" s="273">
        <f>W1363</f>
        <v>0</v>
      </c>
    </row>
    <row r="1375" spans="30:31" x14ac:dyDescent="0.2">
      <c r="AD1375" s="267" t="e">
        <f>MATCH(AD1374,'SRIM Data'!$Z$9:$Z$140)</f>
        <v>#N/A</v>
      </c>
      <c r="AE1375" s="268"/>
    </row>
    <row r="1376" spans="30:31" x14ac:dyDescent="0.2">
      <c r="AD1376" s="267" t="e">
        <f>AD1375+1</f>
        <v>#N/A</v>
      </c>
      <c r="AE1376" s="268"/>
    </row>
    <row r="1377" spans="30:31" x14ac:dyDescent="0.2">
      <c r="AD1377" s="269" t="e">
        <f>INDEX('SRIM Data'!$Z$9:$Z$140,AD1375)</f>
        <v>#N/A</v>
      </c>
      <c r="AE1377" s="268" t="e">
        <f>INDEX('SRIM Data'!$AA$9:$AA$140,AD1375)</f>
        <v>#N/A</v>
      </c>
    </row>
    <row r="1378" spans="30:31" x14ac:dyDescent="0.2">
      <c r="AD1378" s="269" t="e">
        <f>INDEX('SRIM Data'!$Z$9:$Z$140,AD1376)</f>
        <v>#N/A</v>
      </c>
      <c r="AE1378" s="268" t="e">
        <f>INDEX('SRIM Data'!$AA$9:$AA$140,AD1376)</f>
        <v>#N/A</v>
      </c>
    </row>
    <row r="1379" spans="30:31" x14ac:dyDescent="0.2">
      <c r="AD1379" s="267" t="e">
        <f>(AD1378-AD1374)/(AD1378-AD1377)</f>
        <v>#N/A</v>
      </c>
      <c r="AE1379" s="268" t="e">
        <f>AE1378-AD1379*(AE1378-AE1377)</f>
        <v>#N/A</v>
      </c>
    </row>
    <row r="1380" spans="30:31" x14ac:dyDescent="0.2">
      <c r="AD1380" s="267"/>
      <c r="AE1380" s="268" t="e">
        <f>AE1379-AE1374</f>
        <v>#N/A</v>
      </c>
    </row>
    <row r="1381" spans="30:31" x14ac:dyDescent="0.2">
      <c r="AD1381" s="267"/>
      <c r="AE1381" s="268" t="e">
        <f>MATCH(AE1380,'SRIM Data'!$AA$9:$AA$140)</f>
        <v>#N/A</v>
      </c>
    </row>
    <row r="1382" spans="30:31" x14ac:dyDescent="0.2">
      <c r="AD1382" s="267"/>
      <c r="AE1382" s="268" t="e">
        <f>AE1381+1</f>
        <v>#N/A</v>
      </c>
    </row>
    <row r="1383" spans="30:31" x14ac:dyDescent="0.2">
      <c r="AD1383" s="269" t="e">
        <f>INDEX('SRIM Data'!$Z$9:$Z$140,AE1381)</f>
        <v>#N/A</v>
      </c>
      <c r="AE1383" s="268" t="e">
        <f>INDEX('SRIM Data'!$AA$9:$AA$140,AE1381)</f>
        <v>#N/A</v>
      </c>
    </row>
    <row r="1384" spans="30:31" x14ac:dyDescent="0.2">
      <c r="AD1384" s="269" t="e">
        <f>INDEX('SRIM Data'!$Z$9:$Z$140,AE1382)</f>
        <v>#N/A</v>
      </c>
      <c r="AE1384" s="268" t="e">
        <f>INDEX('SRIM Data'!$AA$9:$AA$140,AE1382)</f>
        <v>#N/A</v>
      </c>
    </row>
    <row r="1385" spans="30:31" x14ac:dyDescent="0.2">
      <c r="AD1385" s="270" t="e">
        <f>AD1384-AE1385*(AD1384-AD1383)</f>
        <v>#N/A</v>
      </c>
      <c r="AE1385" s="271" t="e">
        <f>(AE1384-AE1380)/(AE1384-AE1383)</f>
        <v>#N/A</v>
      </c>
    </row>
    <row r="1386" spans="30:31" x14ac:dyDescent="0.2">
      <c r="AD1386" s="272">
        <f>V1386</f>
        <v>0</v>
      </c>
      <c r="AE1386" s="273">
        <f>W1386</f>
        <v>0</v>
      </c>
    </row>
    <row r="1387" spans="30:31" x14ac:dyDescent="0.2">
      <c r="AD1387" s="267" t="e">
        <f>MATCH(AD1386,'SRIM Data'!$Z$9:$Z$140)</f>
        <v>#N/A</v>
      </c>
      <c r="AE1387" s="268"/>
    </row>
    <row r="1388" spans="30:31" x14ac:dyDescent="0.2">
      <c r="AD1388" s="267" t="e">
        <f>AD1387+1</f>
        <v>#N/A</v>
      </c>
      <c r="AE1388" s="268"/>
    </row>
    <row r="1389" spans="30:31" x14ac:dyDescent="0.2">
      <c r="AD1389" s="269" t="e">
        <f>INDEX('SRIM Data'!$Z$9:$Z$140,AD1387)</f>
        <v>#N/A</v>
      </c>
      <c r="AE1389" s="268" t="e">
        <f>INDEX('SRIM Data'!$AA$9:$AA$140,AD1387)</f>
        <v>#N/A</v>
      </c>
    </row>
    <row r="1390" spans="30:31" x14ac:dyDescent="0.2">
      <c r="AD1390" s="269" t="e">
        <f>INDEX('SRIM Data'!$Z$9:$Z$140,AD1388)</f>
        <v>#N/A</v>
      </c>
      <c r="AE1390" s="268" t="e">
        <f>INDEX('SRIM Data'!$AA$9:$AA$140,AD1388)</f>
        <v>#N/A</v>
      </c>
    </row>
    <row r="1391" spans="30:31" x14ac:dyDescent="0.2">
      <c r="AD1391" s="267" t="e">
        <f>(AD1390-AD1386)/(AD1390-AD1389)</f>
        <v>#N/A</v>
      </c>
      <c r="AE1391" s="268" t="e">
        <f>AE1390-AD1391*(AE1390-AE1389)</f>
        <v>#N/A</v>
      </c>
    </row>
    <row r="1392" spans="30:31" x14ac:dyDescent="0.2">
      <c r="AD1392" s="267"/>
      <c r="AE1392" s="268" t="e">
        <f>AE1391-AE1386</f>
        <v>#N/A</v>
      </c>
    </row>
    <row r="1393" spans="30:31" x14ac:dyDescent="0.2">
      <c r="AD1393" s="267"/>
      <c r="AE1393" s="268" t="e">
        <f>MATCH(AE1392,'SRIM Data'!$AA$9:$AA$140)</f>
        <v>#N/A</v>
      </c>
    </row>
    <row r="1394" spans="30:31" x14ac:dyDescent="0.2">
      <c r="AD1394" s="267"/>
      <c r="AE1394" s="268" t="e">
        <f>AE1393+1</f>
        <v>#N/A</v>
      </c>
    </row>
    <row r="1395" spans="30:31" x14ac:dyDescent="0.2">
      <c r="AD1395" s="269" t="e">
        <f>INDEX('SRIM Data'!$Z$9:$Z$140,AE1393)</f>
        <v>#N/A</v>
      </c>
      <c r="AE1395" s="268" t="e">
        <f>INDEX('SRIM Data'!$AA$9:$AA$140,AE1393)</f>
        <v>#N/A</v>
      </c>
    </row>
    <row r="1396" spans="30:31" x14ac:dyDescent="0.2">
      <c r="AD1396" s="269" t="e">
        <f>INDEX('SRIM Data'!$Z$9:$Z$140,AE1394)</f>
        <v>#N/A</v>
      </c>
      <c r="AE1396" s="268" t="e">
        <f>INDEX('SRIM Data'!$AA$9:$AA$140,AE1394)</f>
        <v>#N/A</v>
      </c>
    </row>
    <row r="1397" spans="30:31" x14ac:dyDescent="0.2">
      <c r="AD1397" s="270" t="e">
        <f>AD1396-AE1397*(AD1396-AD1395)</f>
        <v>#N/A</v>
      </c>
      <c r="AE1397" s="271" t="e">
        <f>(AE1396-AE1392)/(AE1396-AE1395)</f>
        <v>#N/A</v>
      </c>
    </row>
    <row r="1398" spans="30:31" x14ac:dyDescent="0.2">
      <c r="AD1398" s="272">
        <f>V1387</f>
        <v>0</v>
      </c>
      <c r="AE1398" s="273">
        <f>W1387</f>
        <v>0</v>
      </c>
    </row>
    <row r="1399" spans="30:31" x14ac:dyDescent="0.2">
      <c r="AD1399" s="267" t="e">
        <f>MATCH(AD1398,'SRIM Data'!$Z$9:$Z$140)</f>
        <v>#N/A</v>
      </c>
      <c r="AE1399" s="268"/>
    </row>
    <row r="1400" spans="30:31" x14ac:dyDescent="0.2">
      <c r="AD1400" s="267" t="e">
        <f>AD1399+1</f>
        <v>#N/A</v>
      </c>
      <c r="AE1400" s="268"/>
    </row>
    <row r="1401" spans="30:31" x14ac:dyDescent="0.2">
      <c r="AD1401" s="269" t="e">
        <f>INDEX('SRIM Data'!$Z$9:$Z$140,AD1399)</f>
        <v>#N/A</v>
      </c>
      <c r="AE1401" s="268" t="e">
        <f>INDEX('SRIM Data'!$AA$9:$AA$140,AD1399)</f>
        <v>#N/A</v>
      </c>
    </row>
    <row r="1402" spans="30:31" x14ac:dyDescent="0.2">
      <c r="AD1402" s="269" t="e">
        <f>INDEX('SRIM Data'!$Z$9:$Z$140,AD1400)</f>
        <v>#N/A</v>
      </c>
      <c r="AE1402" s="268" t="e">
        <f>INDEX('SRIM Data'!$AA$9:$AA$140,AD1400)</f>
        <v>#N/A</v>
      </c>
    </row>
    <row r="1403" spans="30:31" x14ac:dyDescent="0.2">
      <c r="AD1403" s="267" t="e">
        <f>(AD1402-AD1398)/(AD1402-AD1401)</f>
        <v>#N/A</v>
      </c>
      <c r="AE1403" s="268" t="e">
        <f>AE1402-AD1403*(AE1402-AE1401)</f>
        <v>#N/A</v>
      </c>
    </row>
    <row r="1404" spans="30:31" x14ac:dyDescent="0.2">
      <c r="AD1404" s="267"/>
      <c r="AE1404" s="268" t="e">
        <f>AE1403-AE1398</f>
        <v>#N/A</v>
      </c>
    </row>
    <row r="1405" spans="30:31" x14ac:dyDescent="0.2">
      <c r="AD1405" s="267"/>
      <c r="AE1405" s="268" t="e">
        <f>MATCH(AE1404,'SRIM Data'!$AA$9:$AA$140)</f>
        <v>#N/A</v>
      </c>
    </row>
    <row r="1406" spans="30:31" x14ac:dyDescent="0.2">
      <c r="AD1406" s="267"/>
      <c r="AE1406" s="268" t="e">
        <f>AE1405+1</f>
        <v>#N/A</v>
      </c>
    </row>
    <row r="1407" spans="30:31" x14ac:dyDescent="0.2">
      <c r="AD1407" s="269" t="e">
        <f>INDEX('SRIM Data'!$Z$9:$Z$140,AE1405)</f>
        <v>#N/A</v>
      </c>
      <c r="AE1407" s="268" t="e">
        <f>INDEX('SRIM Data'!$AA$9:$AA$140,AE1405)</f>
        <v>#N/A</v>
      </c>
    </row>
    <row r="1408" spans="30:31" x14ac:dyDescent="0.2">
      <c r="AD1408" s="269" t="e">
        <f>INDEX('SRIM Data'!$Z$9:$Z$140,AE1406)</f>
        <v>#N/A</v>
      </c>
      <c r="AE1408" s="268" t="e">
        <f>INDEX('SRIM Data'!$AA$9:$AA$140,AE1406)</f>
        <v>#N/A</v>
      </c>
    </row>
    <row r="1409" spans="30:31" x14ac:dyDescent="0.2">
      <c r="AD1409" s="270" t="e">
        <f>AD1408-AE1409*(AD1408-AD1407)</f>
        <v>#N/A</v>
      </c>
      <c r="AE1409" s="271" t="e">
        <f>(AE1408-AE1404)/(AE1408-AE1407)</f>
        <v>#N/A</v>
      </c>
    </row>
    <row r="1410" spans="30:31" x14ac:dyDescent="0.2">
      <c r="AD1410" s="272">
        <f>V1410</f>
        <v>0</v>
      </c>
      <c r="AE1410" s="273">
        <f>W1410</f>
        <v>0</v>
      </c>
    </row>
    <row r="1411" spans="30:31" x14ac:dyDescent="0.2">
      <c r="AD1411" s="267" t="e">
        <f>MATCH(AD1410,'SRIM Data'!$Z$9:$Z$140)</f>
        <v>#N/A</v>
      </c>
      <c r="AE1411" s="268"/>
    </row>
    <row r="1412" spans="30:31" x14ac:dyDescent="0.2">
      <c r="AD1412" s="267" t="e">
        <f>AD1411+1</f>
        <v>#N/A</v>
      </c>
      <c r="AE1412" s="268"/>
    </row>
    <row r="1413" spans="30:31" x14ac:dyDescent="0.2">
      <c r="AD1413" s="269" t="e">
        <f>INDEX('SRIM Data'!$Z$9:$Z$140,AD1411)</f>
        <v>#N/A</v>
      </c>
      <c r="AE1413" s="268" t="e">
        <f>INDEX('SRIM Data'!$AA$9:$AA$140,AD1411)</f>
        <v>#N/A</v>
      </c>
    </row>
    <row r="1414" spans="30:31" x14ac:dyDescent="0.2">
      <c r="AD1414" s="269" t="e">
        <f>INDEX('SRIM Data'!$Z$9:$Z$140,AD1412)</f>
        <v>#N/A</v>
      </c>
      <c r="AE1414" s="268" t="e">
        <f>INDEX('SRIM Data'!$AA$9:$AA$140,AD1412)</f>
        <v>#N/A</v>
      </c>
    </row>
    <row r="1415" spans="30:31" x14ac:dyDescent="0.2">
      <c r="AD1415" s="267" t="e">
        <f>(AD1414-AD1410)/(AD1414-AD1413)</f>
        <v>#N/A</v>
      </c>
      <c r="AE1415" s="268" t="e">
        <f>AE1414-AD1415*(AE1414-AE1413)</f>
        <v>#N/A</v>
      </c>
    </row>
    <row r="1416" spans="30:31" x14ac:dyDescent="0.2">
      <c r="AD1416" s="267"/>
      <c r="AE1416" s="268" t="e">
        <f>AE1415-AE1410</f>
        <v>#N/A</v>
      </c>
    </row>
    <row r="1417" spans="30:31" x14ac:dyDescent="0.2">
      <c r="AD1417" s="267"/>
      <c r="AE1417" s="268" t="e">
        <f>MATCH(AE1416,'SRIM Data'!$AA$9:$AA$140)</f>
        <v>#N/A</v>
      </c>
    </row>
    <row r="1418" spans="30:31" x14ac:dyDescent="0.2">
      <c r="AD1418" s="267"/>
      <c r="AE1418" s="268" t="e">
        <f>AE1417+1</f>
        <v>#N/A</v>
      </c>
    </row>
    <row r="1419" spans="30:31" x14ac:dyDescent="0.2">
      <c r="AD1419" s="269" t="e">
        <f>INDEX('SRIM Data'!$Z$9:$Z$140,AE1417)</f>
        <v>#N/A</v>
      </c>
      <c r="AE1419" s="268" t="e">
        <f>INDEX('SRIM Data'!$AA$9:$AA$140,AE1417)</f>
        <v>#N/A</v>
      </c>
    </row>
    <row r="1420" spans="30:31" x14ac:dyDescent="0.2">
      <c r="AD1420" s="269" t="e">
        <f>INDEX('SRIM Data'!$Z$9:$Z$140,AE1418)</f>
        <v>#N/A</v>
      </c>
      <c r="AE1420" s="268" t="e">
        <f>INDEX('SRIM Data'!$AA$9:$AA$140,AE1418)</f>
        <v>#N/A</v>
      </c>
    </row>
    <row r="1421" spans="30:31" x14ac:dyDescent="0.2">
      <c r="AD1421" s="270" t="e">
        <f>AD1420-AE1421*(AD1420-AD1419)</f>
        <v>#N/A</v>
      </c>
      <c r="AE1421" s="271" t="e">
        <f>(AE1420-AE1416)/(AE1420-AE1419)</f>
        <v>#N/A</v>
      </c>
    </row>
    <row r="1422" spans="30:31" x14ac:dyDescent="0.2">
      <c r="AD1422" s="272">
        <f>V1411</f>
        <v>0</v>
      </c>
      <c r="AE1422" s="273">
        <f>W1411</f>
        <v>0</v>
      </c>
    </row>
    <row r="1423" spans="30:31" x14ac:dyDescent="0.2">
      <c r="AD1423" s="267" t="e">
        <f>MATCH(AD1422,'SRIM Data'!$Z$9:$Z$140)</f>
        <v>#N/A</v>
      </c>
      <c r="AE1423" s="268"/>
    </row>
    <row r="1424" spans="30:31" x14ac:dyDescent="0.2">
      <c r="AD1424" s="267" t="e">
        <f>AD1423+1</f>
        <v>#N/A</v>
      </c>
      <c r="AE1424" s="268"/>
    </row>
    <row r="1425" spans="30:31" x14ac:dyDescent="0.2">
      <c r="AD1425" s="269" t="e">
        <f>INDEX('SRIM Data'!$Z$9:$Z$140,AD1423)</f>
        <v>#N/A</v>
      </c>
      <c r="AE1425" s="268" t="e">
        <f>INDEX('SRIM Data'!$AA$9:$AA$140,AD1423)</f>
        <v>#N/A</v>
      </c>
    </row>
    <row r="1426" spans="30:31" x14ac:dyDescent="0.2">
      <c r="AD1426" s="269" t="e">
        <f>INDEX('SRIM Data'!$Z$9:$Z$140,AD1424)</f>
        <v>#N/A</v>
      </c>
      <c r="AE1426" s="268" t="e">
        <f>INDEX('SRIM Data'!$AA$9:$AA$140,AD1424)</f>
        <v>#N/A</v>
      </c>
    </row>
    <row r="1427" spans="30:31" x14ac:dyDescent="0.2">
      <c r="AD1427" s="267" t="e">
        <f>(AD1426-AD1422)/(AD1426-AD1425)</f>
        <v>#N/A</v>
      </c>
      <c r="AE1427" s="268" t="e">
        <f>AE1426-AD1427*(AE1426-AE1425)</f>
        <v>#N/A</v>
      </c>
    </row>
    <row r="1428" spans="30:31" x14ac:dyDescent="0.2">
      <c r="AD1428" s="267"/>
      <c r="AE1428" s="268" t="e">
        <f>AE1427-AE1422</f>
        <v>#N/A</v>
      </c>
    </row>
    <row r="1429" spans="30:31" x14ac:dyDescent="0.2">
      <c r="AD1429" s="267"/>
      <c r="AE1429" s="268" t="e">
        <f>MATCH(AE1428,'SRIM Data'!$AA$9:$AA$140)</f>
        <v>#N/A</v>
      </c>
    </row>
    <row r="1430" spans="30:31" x14ac:dyDescent="0.2">
      <c r="AD1430" s="267"/>
      <c r="AE1430" s="268" t="e">
        <f>AE1429+1</f>
        <v>#N/A</v>
      </c>
    </row>
    <row r="1431" spans="30:31" x14ac:dyDescent="0.2">
      <c r="AD1431" s="269" t="e">
        <f>INDEX('SRIM Data'!$Z$9:$Z$140,AE1429)</f>
        <v>#N/A</v>
      </c>
      <c r="AE1431" s="268" t="e">
        <f>INDEX('SRIM Data'!$AA$9:$AA$140,AE1429)</f>
        <v>#N/A</v>
      </c>
    </row>
    <row r="1432" spans="30:31" x14ac:dyDescent="0.2">
      <c r="AD1432" s="269" t="e">
        <f>INDEX('SRIM Data'!$Z$9:$Z$140,AE1430)</f>
        <v>#N/A</v>
      </c>
      <c r="AE1432" s="268" t="e">
        <f>INDEX('SRIM Data'!$AA$9:$AA$140,AE1430)</f>
        <v>#N/A</v>
      </c>
    </row>
    <row r="1433" spans="30:31" x14ac:dyDescent="0.2">
      <c r="AD1433" s="270" t="e">
        <f>AD1432-AE1433*(AD1432-AD1431)</f>
        <v>#N/A</v>
      </c>
      <c r="AE1433" s="271" t="e">
        <f>(AE1432-AE1428)/(AE1432-AE1431)</f>
        <v>#N/A</v>
      </c>
    </row>
    <row r="1434" spans="30:31" x14ac:dyDescent="0.2">
      <c r="AD1434" s="272">
        <f>V1434</f>
        <v>0</v>
      </c>
      <c r="AE1434" s="273">
        <f>W1434</f>
        <v>0</v>
      </c>
    </row>
    <row r="1435" spans="30:31" x14ac:dyDescent="0.2">
      <c r="AD1435" s="267" t="e">
        <f>MATCH(AD1434,'SRIM Data'!$Z$9:$Z$140)</f>
        <v>#N/A</v>
      </c>
      <c r="AE1435" s="268"/>
    </row>
    <row r="1436" spans="30:31" x14ac:dyDescent="0.2">
      <c r="AD1436" s="267" t="e">
        <f>AD1435+1</f>
        <v>#N/A</v>
      </c>
      <c r="AE1436" s="268"/>
    </row>
    <row r="1437" spans="30:31" x14ac:dyDescent="0.2">
      <c r="AD1437" s="269" t="e">
        <f>INDEX('SRIM Data'!$Z$9:$Z$140,AD1435)</f>
        <v>#N/A</v>
      </c>
      <c r="AE1437" s="268" t="e">
        <f>INDEX('SRIM Data'!$AA$9:$AA$140,AD1435)</f>
        <v>#N/A</v>
      </c>
    </row>
    <row r="1438" spans="30:31" x14ac:dyDescent="0.2">
      <c r="AD1438" s="269" t="e">
        <f>INDEX('SRIM Data'!$Z$9:$Z$140,AD1436)</f>
        <v>#N/A</v>
      </c>
      <c r="AE1438" s="268" t="e">
        <f>INDEX('SRIM Data'!$AA$9:$AA$140,AD1436)</f>
        <v>#N/A</v>
      </c>
    </row>
    <row r="1439" spans="30:31" x14ac:dyDescent="0.2">
      <c r="AD1439" s="267" t="e">
        <f>(AD1438-AD1434)/(AD1438-AD1437)</f>
        <v>#N/A</v>
      </c>
      <c r="AE1439" s="268" t="e">
        <f>AE1438-AD1439*(AE1438-AE1437)</f>
        <v>#N/A</v>
      </c>
    </row>
    <row r="1440" spans="30:31" x14ac:dyDescent="0.2">
      <c r="AD1440" s="267"/>
      <c r="AE1440" s="268" t="e">
        <f>AE1439-AE1434</f>
        <v>#N/A</v>
      </c>
    </row>
    <row r="1441" spans="30:31" x14ac:dyDescent="0.2">
      <c r="AD1441" s="267"/>
      <c r="AE1441" s="268" t="e">
        <f>MATCH(AE1440,'SRIM Data'!$AA$9:$AA$140)</f>
        <v>#N/A</v>
      </c>
    </row>
    <row r="1442" spans="30:31" x14ac:dyDescent="0.2">
      <c r="AD1442" s="267"/>
      <c r="AE1442" s="268" t="e">
        <f>AE1441+1</f>
        <v>#N/A</v>
      </c>
    </row>
    <row r="1443" spans="30:31" x14ac:dyDescent="0.2">
      <c r="AD1443" s="269" t="e">
        <f>INDEX('SRIM Data'!$Z$9:$Z$140,AE1441)</f>
        <v>#N/A</v>
      </c>
      <c r="AE1443" s="268" t="e">
        <f>INDEX('SRIM Data'!$AA$9:$AA$140,AE1441)</f>
        <v>#N/A</v>
      </c>
    </row>
    <row r="1444" spans="30:31" x14ac:dyDescent="0.2">
      <c r="AD1444" s="269" t="e">
        <f>INDEX('SRIM Data'!$Z$9:$Z$140,AE1442)</f>
        <v>#N/A</v>
      </c>
      <c r="AE1444" s="268" t="e">
        <f>INDEX('SRIM Data'!$AA$9:$AA$140,AE1442)</f>
        <v>#N/A</v>
      </c>
    </row>
    <row r="1445" spans="30:31" x14ac:dyDescent="0.2">
      <c r="AD1445" s="270" t="e">
        <f>AD1444-AE1445*(AD1444-AD1443)</f>
        <v>#N/A</v>
      </c>
      <c r="AE1445" s="271" t="e">
        <f>(AE1444-AE1440)/(AE1444-AE1443)</f>
        <v>#N/A</v>
      </c>
    </row>
    <row r="1446" spans="30:31" x14ac:dyDescent="0.2">
      <c r="AD1446" s="272">
        <f>V1435</f>
        <v>0</v>
      </c>
      <c r="AE1446" s="273">
        <f>W1435</f>
        <v>0</v>
      </c>
    </row>
    <row r="1447" spans="30:31" x14ac:dyDescent="0.2">
      <c r="AD1447" s="267" t="e">
        <f>MATCH(AD1446,'SRIM Data'!$Z$9:$Z$140)</f>
        <v>#N/A</v>
      </c>
      <c r="AE1447" s="268"/>
    </row>
    <row r="1448" spans="30:31" x14ac:dyDescent="0.2">
      <c r="AD1448" s="267" t="e">
        <f>AD1447+1</f>
        <v>#N/A</v>
      </c>
      <c r="AE1448" s="268"/>
    </row>
    <row r="1449" spans="30:31" x14ac:dyDescent="0.2">
      <c r="AD1449" s="269" t="e">
        <f>INDEX('SRIM Data'!$Z$9:$Z$140,AD1447)</f>
        <v>#N/A</v>
      </c>
      <c r="AE1449" s="268" t="e">
        <f>INDEX('SRIM Data'!$AA$9:$AA$140,AD1447)</f>
        <v>#N/A</v>
      </c>
    </row>
    <row r="1450" spans="30:31" x14ac:dyDescent="0.2">
      <c r="AD1450" s="269" t="e">
        <f>INDEX('SRIM Data'!$Z$9:$Z$140,AD1448)</f>
        <v>#N/A</v>
      </c>
      <c r="AE1450" s="268" t="e">
        <f>INDEX('SRIM Data'!$AA$9:$AA$140,AD1448)</f>
        <v>#N/A</v>
      </c>
    </row>
    <row r="1451" spans="30:31" x14ac:dyDescent="0.2">
      <c r="AD1451" s="267" t="e">
        <f>(AD1450-AD1446)/(AD1450-AD1449)</f>
        <v>#N/A</v>
      </c>
      <c r="AE1451" s="268" t="e">
        <f>AE1450-AD1451*(AE1450-AE1449)</f>
        <v>#N/A</v>
      </c>
    </row>
    <row r="1452" spans="30:31" x14ac:dyDescent="0.2">
      <c r="AD1452" s="267"/>
      <c r="AE1452" s="268" t="e">
        <f>AE1451-AE1446</f>
        <v>#N/A</v>
      </c>
    </row>
    <row r="1453" spans="30:31" x14ac:dyDescent="0.2">
      <c r="AD1453" s="267"/>
      <c r="AE1453" s="268" t="e">
        <f>MATCH(AE1452,'SRIM Data'!$AA$9:$AA$140)</f>
        <v>#N/A</v>
      </c>
    </row>
    <row r="1454" spans="30:31" x14ac:dyDescent="0.2">
      <c r="AD1454" s="267"/>
      <c r="AE1454" s="268" t="e">
        <f>AE1453+1</f>
        <v>#N/A</v>
      </c>
    </row>
    <row r="1455" spans="30:31" x14ac:dyDescent="0.2">
      <c r="AD1455" s="269" t="e">
        <f>INDEX('SRIM Data'!$Z$9:$Z$140,AE1453)</f>
        <v>#N/A</v>
      </c>
      <c r="AE1455" s="268" t="e">
        <f>INDEX('SRIM Data'!$AA$9:$AA$140,AE1453)</f>
        <v>#N/A</v>
      </c>
    </row>
    <row r="1456" spans="30:31" x14ac:dyDescent="0.2">
      <c r="AD1456" s="269" t="e">
        <f>INDEX('SRIM Data'!$Z$9:$Z$140,AE1454)</f>
        <v>#N/A</v>
      </c>
      <c r="AE1456" s="268" t="e">
        <f>INDEX('SRIM Data'!$AA$9:$AA$140,AE1454)</f>
        <v>#N/A</v>
      </c>
    </row>
    <row r="1457" spans="30:31" x14ac:dyDescent="0.2">
      <c r="AD1457" s="270" t="e">
        <f>AD1456-AE1457*(AD1456-AD1455)</f>
        <v>#N/A</v>
      </c>
      <c r="AE1457" s="271" t="e">
        <f>(AE1456-AE1452)/(AE1456-AE1455)</f>
        <v>#N/A</v>
      </c>
    </row>
    <row r="1458" spans="30:31" x14ac:dyDescent="0.2">
      <c r="AD1458" s="272">
        <f>V1458</f>
        <v>0</v>
      </c>
      <c r="AE1458" s="273">
        <f>W1458</f>
        <v>0</v>
      </c>
    </row>
    <row r="1459" spans="30:31" x14ac:dyDescent="0.2">
      <c r="AD1459" s="267" t="e">
        <f>MATCH(AD1458,'SRIM Data'!$Z$9:$Z$140)</f>
        <v>#N/A</v>
      </c>
      <c r="AE1459" s="268"/>
    </row>
    <row r="1460" spans="30:31" x14ac:dyDescent="0.2">
      <c r="AD1460" s="267" t="e">
        <f>AD1459+1</f>
        <v>#N/A</v>
      </c>
      <c r="AE1460" s="268"/>
    </row>
    <row r="1461" spans="30:31" x14ac:dyDescent="0.2">
      <c r="AD1461" s="269" t="e">
        <f>INDEX('SRIM Data'!$Z$9:$Z$140,AD1459)</f>
        <v>#N/A</v>
      </c>
      <c r="AE1461" s="268" t="e">
        <f>INDEX('SRIM Data'!$AA$9:$AA$140,AD1459)</f>
        <v>#N/A</v>
      </c>
    </row>
    <row r="1462" spans="30:31" x14ac:dyDescent="0.2">
      <c r="AD1462" s="269" t="e">
        <f>INDEX('SRIM Data'!$Z$9:$Z$140,AD1460)</f>
        <v>#N/A</v>
      </c>
      <c r="AE1462" s="268" t="e">
        <f>INDEX('SRIM Data'!$AA$9:$AA$140,AD1460)</f>
        <v>#N/A</v>
      </c>
    </row>
    <row r="1463" spans="30:31" x14ac:dyDescent="0.2">
      <c r="AD1463" s="267" t="e">
        <f>(AD1462-AD1458)/(AD1462-AD1461)</f>
        <v>#N/A</v>
      </c>
      <c r="AE1463" s="268" t="e">
        <f>AE1462-AD1463*(AE1462-AE1461)</f>
        <v>#N/A</v>
      </c>
    </row>
    <row r="1464" spans="30:31" x14ac:dyDescent="0.2">
      <c r="AD1464" s="267"/>
      <c r="AE1464" s="268" t="e">
        <f>AE1463-AE1458</f>
        <v>#N/A</v>
      </c>
    </row>
    <row r="1465" spans="30:31" x14ac:dyDescent="0.2">
      <c r="AD1465" s="267"/>
      <c r="AE1465" s="268" t="e">
        <f>MATCH(AE1464,'SRIM Data'!$AA$9:$AA$140)</f>
        <v>#N/A</v>
      </c>
    </row>
    <row r="1466" spans="30:31" x14ac:dyDescent="0.2">
      <c r="AD1466" s="267"/>
      <c r="AE1466" s="268" t="e">
        <f>AE1465+1</f>
        <v>#N/A</v>
      </c>
    </row>
    <row r="1467" spans="30:31" x14ac:dyDescent="0.2">
      <c r="AD1467" s="269" t="e">
        <f>INDEX('SRIM Data'!$Z$9:$Z$140,AE1465)</f>
        <v>#N/A</v>
      </c>
      <c r="AE1467" s="268" t="e">
        <f>INDEX('SRIM Data'!$AA$9:$AA$140,AE1465)</f>
        <v>#N/A</v>
      </c>
    </row>
    <row r="1468" spans="30:31" x14ac:dyDescent="0.2">
      <c r="AD1468" s="269" t="e">
        <f>INDEX('SRIM Data'!$Z$9:$Z$140,AE1466)</f>
        <v>#N/A</v>
      </c>
      <c r="AE1468" s="268" t="e">
        <f>INDEX('SRIM Data'!$AA$9:$AA$140,AE1466)</f>
        <v>#N/A</v>
      </c>
    </row>
    <row r="1469" spans="30:31" x14ac:dyDescent="0.2">
      <c r="AD1469" s="270" t="e">
        <f>AD1468-AE1469*(AD1468-AD1467)</f>
        <v>#N/A</v>
      </c>
      <c r="AE1469" s="271" t="e">
        <f>(AE1468-AE1464)/(AE1468-AE1467)</f>
        <v>#N/A</v>
      </c>
    </row>
    <row r="1470" spans="30:31" x14ac:dyDescent="0.2">
      <c r="AD1470" s="272">
        <f>V1459</f>
        <v>0</v>
      </c>
      <c r="AE1470" s="273">
        <f>W1459</f>
        <v>0</v>
      </c>
    </row>
    <row r="1471" spans="30:31" x14ac:dyDescent="0.2">
      <c r="AD1471" s="267" t="e">
        <f>MATCH(AD1470,'SRIM Data'!$Z$9:$Z$140)</f>
        <v>#N/A</v>
      </c>
      <c r="AE1471" s="268"/>
    </row>
    <row r="1472" spans="30:31" x14ac:dyDescent="0.2">
      <c r="AD1472" s="267" t="e">
        <f>AD1471+1</f>
        <v>#N/A</v>
      </c>
      <c r="AE1472" s="268"/>
    </row>
    <row r="1473" spans="30:31" x14ac:dyDescent="0.2">
      <c r="AD1473" s="269" t="e">
        <f>INDEX('SRIM Data'!$Z$9:$Z$140,AD1471)</f>
        <v>#N/A</v>
      </c>
      <c r="AE1473" s="268" t="e">
        <f>INDEX('SRIM Data'!$AA$9:$AA$140,AD1471)</f>
        <v>#N/A</v>
      </c>
    </row>
    <row r="1474" spans="30:31" x14ac:dyDescent="0.2">
      <c r="AD1474" s="269" t="e">
        <f>INDEX('SRIM Data'!$Z$9:$Z$140,AD1472)</f>
        <v>#N/A</v>
      </c>
      <c r="AE1474" s="268" t="e">
        <f>INDEX('SRIM Data'!$AA$9:$AA$140,AD1472)</f>
        <v>#N/A</v>
      </c>
    </row>
    <row r="1475" spans="30:31" x14ac:dyDescent="0.2">
      <c r="AD1475" s="267" t="e">
        <f>(AD1474-AD1470)/(AD1474-AD1473)</f>
        <v>#N/A</v>
      </c>
      <c r="AE1475" s="268" t="e">
        <f>AE1474-AD1475*(AE1474-AE1473)</f>
        <v>#N/A</v>
      </c>
    </row>
    <row r="1476" spans="30:31" x14ac:dyDescent="0.2">
      <c r="AD1476" s="267"/>
      <c r="AE1476" s="268" t="e">
        <f>AE1475-AE1470</f>
        <v>#N/A</v>
      </c>
    </row>
    <row r="1477" spans="30:31" x14ac:dyDescent="0.2">
      <c r="AD1477" s="267"/>
      <c r="AE1477" s="268" t="e">
        <f>MATCH(AE1476,'SRIM Data'!$AA$9:$AA$140)</f>
        <v>#N/A</v>
      </c>
    </row>
    <row r="1478" spans="30:31" x14ac:dyDescent="0.2">
      <c r="AD1478" s="267"/>
      <c r="AE1478" s="268" t="e">
        <f>AE1477+1</f>
        <v>#N/A</v>
      </c>
    </row>
    <row r="1479" spans="30:31" x14ac:dyDescent="0.2">
      <c r="AD1479" s="269" t="e">
        <f>INDEX('SRIM Data'!$Z$9:$Z$140,AE1477)</f>
        <v>#N/A</v>
      </c>
      <c r="AE1479" s="268" t="e">
        <f>INDEX('SRIM Data'!$AA$9:$AA$140,AE1477)</f>
        <v>#N/A</v>
      </c>
    </row>
    <row r="1480" spans="30:31" x14ac:dyDescent="0.2">
      <c r="AD1480" s="269" t="e">
        <f>INDEX('SRIM Data'!$Z$9:$Z$140,AE1478)</f>
        <v>#N/A</v>
      </c>
      <c r="AE1480" s="268" t="e">
        <f>INDEX('SRIM Data'!$AA$9:$AA$140,AE1478)</f>
        <v>#N/A</v>
      </c>
    </row>
    <row r="1481" spans="30:31" x14ac:dyDescent="0.2">
      <c r="AD1481" s="270" t="e">
        <f>AD1480-AE1481*(AD1480-AD1479)</f>
        <v>#N/A</v>
      </c>
      <c r="AE1481" s="271" t="e">
        <f>(AE1480-AE1476)/(AE1480-AE1479)</f>
        <v>#N/A</v>
      </c>
    </row>
    <row r="1482" spans="30:31" x14ac:dyDescent="0.2">
      <c r="AD1482" s="272">
        <f>V1482</f>
        <v>0</v>
      </c>
      <c r="AE1482" s="273">
        <f>W1482</f>
        <v>0</v>
      </c>
    </row>
    <row r="1483" spans="30:31" x14ac:dyDescent="0.2">
      <c r="AD1483" s="267" t="e">
        <f>MATCH(AD1482,'SRIM Data'!$Z$9:$Z$140)</f>
        <v>#N/A</v>
      </c>
      <c r="AE1483" s="268"/>
    </row>
    <row r="1484" spans="30:31" x14ac:dyDescent="0.2">
      <c r="AD1484" s="267" t="e">
        <f>AD1483+1</f>
        <v>#N/A</v>
      </c>
      <c r="AE1484" s="268"/>
    </row>
    <row r="1485" spans="30:31" x14ac:dyDescent="0.2">
      <c r="AD1485" s="269" t="e">
        <f>INDEX('SRIM Data'!$Z$9:$Z$140,AD1483)</f>
        <v>#N/A</v>
      </c>
      <c r="AE1485" s="268" t="e">
        <f>INDEX('SRIM Data'!$AA$9:$AA$140,AD1483)</f>
        <v>#N/A</v>
      </c>
    </row>
    <row r="1486" spans="30:31" x14ac:dyDescent="0.2">
      <c r="AD1486" s="269" t="e">
        <f>INDEX('SRIM Data'!$Z$9:$Z$140,AD1484)</f>
        <v>#N/A</v>
      </c>
      <c r="AE1486" s="268" t="e">
        <f>INDEX('SRIM Data'!$AA$9:$AA$140,AD1484)</f>
        <v>#N/A</v>
      </c>
    </row>
    <row r="1487" spans="30:31" x14ac:dyDescent="0.2">
      <c r="AD1487" s="267" t="e">
        <f>(AD1486-AD1482)/(AD1486-AD1485)</f>
        <v>#N/A</v>
      </c>
      <c r="AE1487" s="268" t="e">
        <f>AE1486-AD1487*(AE1486-AE1485)</f>
        <v>#N/A</v>
      </c>
    </row>
    <row r="1488" spans="30:31" x14ac:dyDescent="0.2">
      <c r="AD1488" s="267"/>
      <c r="AE1488" s="268" t="e">
        <f>AE1487-AE1482</f>
        <v>#N/A</v>
      </c>
    </row>
    <row r="1489" spans="30:31" x14ac:dyDescent="0.2">
      <c r="AD1489" s="267"/>
      <c r="AE1489" s="268" t="e">
        <f>MATCH(AE1488,'SRIM Data'!$AA$9:$AA$140)</f>
        <v>#N/A</v>
      </c>
    </row>
    <row r="1490" spans="30:31" x14ac:dyDescent="0.2">
      <c r="AD1490" s="267"/>
      <c r="AE1490" s="268" t="e">
        <f>AE1489+1</f>
        <v>#N/A</v>
      </c>
    </row>
    <row r="1491" spans="30:31" x14ac:dyDescent="0.2">
      <c r="AD1491" s="269" t="e">
        <f>INDEX('SRIM Data'!$Z$9:$Z$140,AE1489)</f>
        <v>#N/A</v>
      </c>
      <c r="AE1491" s="268" t="e">
        <f>INDEX('SRIM Data'!$AA$9:$AA$140,AE1489)</f>
        <v>#N/A</v>
      </c>
    </row>
    <row r="1492" spans="30:31" x14ac:dyDescent="0.2">
      <c r="AD1492" s="269" t="e">
        <f>INDEX('SRIM Data'!$Z$9:$Z$140,AE1490)</f>
        <v>#N/A</v>
      </c>
      <c r="AE1492" s="268" t="e">
        <f>INDEX('SRIM Data'!$AA$9:$AA$140,AE1490)</f>
        <v>#N/A</v>
      </c>
    </row>
    <row r="1493" spans="30:31" x14ac:dyDescent="0.2">
      <c r="AD1493" s="270" t="e">
        <f>AD1492-AE1493*(AD1492-AD1491)</f>
        <v>#N/A</v>
      </c>
      <c r="AE1493" s="271" t="e">
        <f>(AE1492-AE1488)/(AE1492-AE1491)</f>
        <v>#N/A</v>
      </c>
    </row>
    <row r="1494" spans="30:31" x14ac:dyDescent="0.2">
      <c r="AD1494" s="272">
        <f>V1483</f>
        <v>0</v>
      </c>
      <c r="AE1494" s="273">
        <f>W1483</f>
        <v>0</v>
      </c>
    </row>
    <row r="1495" spans="30:31" x14ac:dyDescent="0.2">
      <c r="AD1495" s="267" t="e">
        <f>MATCH(AD1494,'SRIM Data'!$Z$9:$Z$140)</f>
        <v>#N/A</v>
      </c>
      <c r="AE1495" s="268"/>
    </row>
    <row r="1496" spans="30:31" x14ac:dyDescent="0.2">
      <c r="AD1496" s="267" t="e">
        <f>AD1495+1</f>
        <v>#N/A</v>
      </c>
      <c r="AE1496" s="268"/>
    </row>
    <row r="1497" spans="30:31" x14ac:dyDescent="0.2">
      <c r="AD1497" s="269" t="e">
        <f>INDEX('SRIM Data'!$Z$9:$Z$140,AD1495)</f>
        <v>#N/A</v>
      </c>
      <c r="AE1497" s="268" t="e">
        <f>INDEX('SRIM Data'!$AA$9:$AA$140,AD1495)</f>
        <v>#N/A</v>
      </c>
    </row>
    <row r="1498" spans="30:31" x14ac:dyDescent="0.2">
      <c r="AD1498" s="269" t="e">
        <f>INDEX('SRIM Data'!$Z$9:$Z$140,AD1496)</f>
        <v>#N/A</v>
      </c>
      <c r="AE1498" s="268" t="e">
        <f>INDEX('SRIM Data'!$AA$9:$AA$140,AD1496)</f>
        <v>#N/A</v>
      </c>
    </row>
    <row r="1499" spans="30:31" x14ac:dyDescent="0.2">
      <c r="AD1499" s="267" t="e">
        <f>(AD1498-AD1494)/(AD1498-AD1497)</f>
        <v>#N/A</v>
      </c>
      <c r="AE1499" s="268" t="e">
        <f>AE1498-AD1499*(AE1498-AE1497)</f>
        <v>#N/A</v>
      </c>
    </row>
    <row r="1500" spans="30:31" x14ac:dyDescent="0.2">
      <c r="AD1500" s="267"/>
      <c r="AE1500" s="268" t="e">
        <f>AE1499-AE1494</f>
        <v>#N/A</v>
      </c>
    </row>
    <row r="1501" spans="30:31" x14ac:dyDescent="0.2">
      <c r="AD1501" s="267"/>
      <c r="AE1501" s="268" t="e">
        <f>MATCH(AE1500,'SRIM Data'!$AA$9:$AA$140)</f>
        <v>#N/A</v>
      </c>
    </row>
    <row r="1502" spans="30:31" x14ac:dyDescent="0.2">
      <c r="AD1502" s="267"/>
      <c r="AE1502" s="268" t="e">
        <f>AE1501+1</f>
        <v>#N/A</v>
      </c>
    </row>
    <row r="1503" spans="30:31" x14ac:dyDescent="0.2">
      <c r="AD1503" s="269" t="e">
        <f>INDEX('SRIM Data'!$Z$9:$Z$140,AE1501)</f>
        <v>#N/A</v>
      </c>
      <c r="AE1503" s="268" t="e">
        <f>INDEX('SRIM Data'!$AA$9:$AA$140,AE1501)</f>
        <v>#N/A</v>
      </c>
    </row>
    <row r="1504" spans="30:31" x14ac:dyDescent="0.2">
      <c r="AD1504" s="269" t="e">
        <f>INDEX('SRIM Data'!$Z$9:$Z$140,AE1502)</f>
        <v>#N/A</v>
      </c>
      <c r="AE1504" s="268" t="e">
        <f>INDEX('SRIM Data'!$AA$9:$AA$140,AE1502)</f>
        <v>#N/A</v>
      </c>
    </row>
    <row r="1505" spans="30:31" x14ac:dyDescent="0.2">
      <c r="AD1505" s="270" t="e">
        <f>AD1504-AE1505*(AD1504-AD1503)</f>
        <v>#N/A</v>
      </c>
      <c r="AE1505" s="271" t="e">
        <f>(AE1504-AE1500)/(AE1504-AE1503)</f>
        <v>#N/A</v>
      </c>
    </row>
    <row r="1506" spans="30:31" x14ac:dyDescent="0.2">
      <c r="AD1506" s="272">
        <f>V1506</f>
        <v>0</v>
      </c>
      <c r="AE1506" s="273">
        <f>W1506</f>
        <v>0</v>
      </c>
    </row>
    <row r="1507" spans="30:31" x14ac:dyDescent="0.2">
      <c r="AD1507" s="267" t="e">
        <f>MATCH(AD1506,'SRIM Data'!$Z$9:$Z$140)</f>
        <v>#N/A</v>
      </c>
      <c r="AE1507" s="268"/>
    </row>
    <row r="1508" spans="30:31" x14ac:dyDescent="0.2">
      <c r="AD1508" s="267" t="e">
        <f>AD1507+1</f>
        <v>#N/A</v>
      </c>
      <c r="AE1508" s="268"/>
    </row>
    <row r="1509" spans="30:31" x14ac:dyDescent="0.2">
      <c r="AD1509" s="269" t="e">
        <f>INDEX('SRIM Data'!$Z$9:$Z$140,AD1507)</f>
        <v>#N/A</v>
      </c>
      <c r="AE1509" s="268" t="e">
        <f>INDEX('SRIM Data'!$AA$9:$AA$140,AD1507)</f>
        <v>#N/A</v>
      </c>
    </row>
    <row r="1510" spans="30:31" x14ac:dyDescent="0.2">
      <c r="AD1510" s="269" t="e">
        <f>INDEX('SRIM Data'!$Z$9:$Z$140,AD1508)</f>
        <v>#N/A</v>
      </c>
      <c r="AE1510" s="268" t="e">
        <f>INDEX('SRIM Data'!$AA$9:$AA$140,AD1508)</f>
        <v>#N/A</v>
      </c>
    </row>
    <row r="1511" spans="30:31" x14ac:dyDescent="0.2">
      <c r="AD1511" s="267" t="e">
        <f>(AD1510-AD1506)/(AD1510-AD1509)</f>
        <v>#N/A</v>
      </c>
      <c r="AE1511" s="268" t="e">
        <f>AE1510-AD1511*(AE1510-AE1509)</f>
        <v>#N/A</v>
      </c>
    </row>
    <row r="1512" spans="30:31" x14ac:dyDescent="0.2">
      <c r="AD1512" s="267"/>
      <c r="AE1512" s="268" t="e">
        <f>AE1511-AE1506</f>
        <v>#N/A</v>
      </c>
    </row>
    <row r="1513" spans="30:31" x14ac:dyDescent="0.2">
      <c r="AD1513" s="267"/>
      <c r="AE1513" s="268" t="e">
        <f>MATCH(AE1512,'SRIM Data'!$AA$9:$AA$140)</f>
        <v>#N/A</v>
      </c>
    </row>
    <row r="1514" spans="30:31" x14ac:dyDescent="0.2">
      <c r="AD1514" s="267"/>
      <c r="AE1514" s="268" t="e">
        <f>AE1513+1</f>
        <v>#N/A</v>
      </c>
    </row>
    <row r="1515" spans="30:31" x14ac:dyDescent="0.2">
      <c r="AD1515" s="269" t="e">
        <f>INDEX('SRIM Data'!$Z$9:$Z$140,AE1513)</f>
        <v>#N/A</v>
      </c>
      <c r="AE1515" s="268" t="e">
        <f>INDEX('SRIM Data'!$AA$9:$AA$140,AE1513)</f>
        <v>#N/A</v>
      </c>
    </row>
    <row r="1516" spans="30:31" x14ac:dyDescent="0.2">
      <c r="AD1516" s="269" t="e">
        <f>INDEX('SRIM Data'!$Z$9:$Z$140,AE1514)</f>
        <v>#N/A</v>
      </c>
      <c r="AE1516" s="268" t="e">
        <f>INDEX('SRIM Data'!$AA$9:$AA$140,AE1514)</f>
        <v>#N/A</v>
      </c>
    </row>
    <row r="1517" spans="30:31" x14ac:dyDescent="0.2">
      <c r="AD1517" s="270" t="e">
        <f>AD1516-AE1517*(AD1516-AD1515)</f>
        <v>#N/A</v>
      </c>
      <c r="AE1517" s="271" t="e">
        <f>(AE1516-AE1512)/(AE1516-AE1515)</f>
        <v>#N/A</v>
      </c>
    </row>
    <row r="1518" spans="30:31" x14ac:dyDescent="0.2">
      <c r="AD1518" s="272">
        <f>V1507</f>
        <v>0</v>
      </c>
      <c r="AE1518" s="273">
        <f>W1507</f>
        <v>0</v>
      </c>
    </row>
    <row r="1519" spans="30:31" x14ac:dyDescent="0.2">
      <c r="AD1519" s="267" t="e">
        <f>MATCH(AD1518,'SRIM Data'!$Z$9:$Z$140)</f>
        <v>#N/A</v>
      </c>
      <c r="AE1519" s="268"/>
    </row>
    <row r="1520" spans="30:31" x14ac:dyDescent="0.2">
      <c r="AD1520" s="267" t="e">
        <f>AD1519+1</f>
        <v>#N/A</v>
      </c>
      <c r="AE1520" s="268"/>
    </row>
    <row r="1521" spans="30:31" x14ac:dyDescent="0.2">
      <c r="AD1521" s="269" t="e">
        <f>INDEX('SRIM Data'!$Z$9:$Z$140,AD1519)</f>
        <v>#N/A</v>
      </c>
      <c r="AE1521" s="268" t="e">
        <f>INDEX('SRIM Data'!$AA$9:$AA$140,AD1519)</f>
        <v>#N/A</v>
      </c>
    </row>
    <row r="1522" spans="30:31" x14ac:dyDescent="0.2">
      <c r="AD1522" s="269" t="e">
        <f>INDEX('SRIM Data'!$Z$9:$Z$140,AD1520)</f>
        <v>#N/A</v>
      </c>
      <c r="AE1522" s="268" t="e">
        <f>INDEX('SRIM Data'!$AA$9:$AA$140,AD1520)</f>
        <v>#N/A</v>
      </c>
    </row>
    <row r="1523" spans="30:31" x14ac:dyDescent="0.2">
      <c r="AD1523" s="267" t="e">
        <f>(AD1522-AD1518)/(AD1522-AD1521)</f>
        <v>#N/A</v>
      </c>
      <c r="AE1523" s="268" t="e">
        <f>AE1522-AD1523*(AE1522-AE1521)</f>
        <v>#N/A</v>
      </c>
    </row>
    <row r="1524" spans="30:31" x14ac:dyDescent="0.2">
      <c r="AD1524" s="267"/>
      <c r="AE1524" s="268" t="e">
        <f>AE1523-AE1518</f>
        <v>#N/A</v>
      </c>
    </row>
    <row r="1525" spans="30:31" x14ac:dyDescent="0.2">
      <c r="AD1525" s="267"/>
      <c r="AE1525" s="268" t="e">
        <f>MATCH(AE1524,'SRIM Data'!$AA$9:$AA$140)</f>
        <v>#N/A</v>
      </c>
    </row>
    <row r="1526" spans="30:31" x14ac:dyDescent="0.2">
      <c r="AD1526" s="267"/>
      <c r="AE1526" s="268" t="e">
        <f>AE1525+1</f>
        <v>#N/A</v>
      </c>
    </row>
    <row r="1527" spans="30:31" x14ac:dyDescent="0.2">
      <c r="AD1527" s="269" t="e">
        <f>INDEX('SRIM Data'!$Z$9:$Z$140,AE1525)</f>
        <v>#N/A</v>
      </c>
      <c r="AE1527" s="268" t="e">
        <f>INDEX('SRIM Data'!$AA$9:$AA$140,AE1525)</f>
        <v>#N/A</v>
      </c>
    </row>
    <row r="1528" spans="30:31" x14ac:dyDescent="0.2">
      <c r="AD1528" s="269" t="e">
        <f>INDEX('SRIM Data'!$Z$9:$Z$140,AE1526)</f>
        <v>#N/A</v>
      </c>
      <c r="AE1528" s="268" t="e">
        <f>INDEX('SRIM Data'!$AA$9:$AA$140,AE1526)</f>
        <v>#N/A</v>
      </c>
    </row>
    <row r="1529" spans="30:31" x14ac:dyDescent="0.2">
      <c r="AD1529" s="270" t="e">
        <f>AD1528-AE1529*(AD1528-AD1527)</f>
        <v>#N/A</v>
      </c>
      <c r="AE1529" s="271" t="e">
        <f>(AE1528-AE1524)/(AE1528-AE1527)</f>
        <v>#N/A</v>
      </c>
    </row>
    <row r="1530" spans="30:31" x14ac:dyDescent="0.2">
      <c r="AD1530" s="272">
        <f>V1530</f>
        <v>0</v>
      </c>
      <c r="AE1530" s="273">
        <f>W1530</f>
        <v>0</v>
      </c>
    </row>
    <row r="1531" spans="30:31" x14ac:dyDescent="0.2">
      <c r="AD1531" s="267" t="e">
        <f>MATCH(AD1530,'SRIM Data'!$Z$9:$Z$140)</f>
        <v>#N/A</v>
      </c>
      <c r="AE1531" s="268"/>
    </row>
    <row r="1532" spans="30:31" x14ac:dyDescent="0.2">
      <c r="AD1532" s="267" t="e">
        <f>AD1531+1</f>
        <v>#N/A</v>
      </c>
      <c r="AE1532" s="268"/>
    </row>
    <row r="1533" spans="30:31" x14ac:dyDescent="0.2">
      <c r="AD1533" s="269" t="e">
        <f>INDEX('SRIM Data'!$Z$9:$Z$140,AD1531)</f>
        <v>#N/A</v>
      </c>
      <c r="AE1533" s="268" t="e">
        <f>INDEX('SRIM Data'!$AA$9:$AA$140,AD1531)</f>
        <v>#N/A</v>
      </c>
    </row>
    <row r="1534" spans="30:31" x14ac:dyDescent="0.2">
      <c r="AD1534" s="269" t="e">
        <f>INDEX('SRIM Data'!$Z$9:$Z$140,AD1532)</f>
        <v>#N/A</v>
      </c>
      <c r="AE1534" s="268" t="e">
        <f>INDEX('SRIM Data'!$AA$9:$AA$140,AD1532)</f>
        <v>#N/A</v>
      </c>
    </row>
    <row r="1535" spans="30:31" x14ac:dyDescent="0.2">
      <c r="AD1535" s="267" t="e">
        <f>(AD1534-AD1530)/(AD1534-AD1533)</f>
        <v>#N/A</v>
      </c>
      <c r="AE1535" s="268" t="e">
        <f>AE1534-AD1535*(AE1534-AE1533)</f>
        <v>#N/A</v>
      </c>
    </row>
    <row r="1536" spans="30:31" x14ac:dyDescent="0.2">
      <c r="AD1536" s="267"/>
      <c r="AE1536" s="268" t="e">
        <f>AE1535-AE1530</f>
        <v>#N/A</v>
      </c>
    </row>
    <row r="1537" spans="30:31" x14ac:dyDescent="0.2">
      <c r="AD1537" s="267"/>
      <c r="AE1537" s="268" t="e">
        <f>MATCH(AE1536,'SRIM Data'!$AA$9:$AA$140)</f>
        <v>#N/A</v>
      </c>
    </row>
    <row r="1538" spans="30:31" x14ac:dyDescent="0.2">
      <c r="AD1538" s="267"/>
      <c r="AE1538" s="268" t="e">
        <f>AE1537+1</f>
        <v>#N/A</v>
      </c>
    </row>
    <row r="1539" spans="30:31" x14ac:dyDescent="0.2">
      <c r="AD1539" s="269" t="e">
        <f>INDEX('SRIM Data'!$Z$9:$Z$140,AE1537)</f>
        <v>#N/A</v>
      </c>
      <c r="AE1539" s="268" t="e">
        <f>INDEX('SRIM Data'!$AA$9:$AA$140,AE1537)</f>
        <v>#N/A</v>
      </c>
    </row>
    <row r="1540" spans="30:31" x14ac:dyDescent="0.2">
      <c r="AD1540" s="269" t="e">
        <f>INDEX('SRIM Data'!$Z$9:$Z$140,AE1538)</f>
        <v>#N/A</v>
      </c>
      <c r="AE1540" s="268" t="e">
        <f>INDEX('SRIM Data'!$AA$9:$AA$140,AE1538)</f>
        <v>#N/A</v>
      </c>
    </row>
    <row r="1541" spans="30:31" x14ac:dyDescent="0.2">
      <c r="AD1541" s="270" t="e">
        <f>AD1540-AE1541*(AD1540-AD1539)</f>
        <v>#N/A</v>
      </c>
      <c r="AE1541" s="271" t="e">
        <f>(AE1540-AE1536)/(AE1540-AE1539)</f>
        <v>#N/A</v>
      </c>
    </row>
    <row r="1542" spans="30:31" x14ac:dyDescent="0.2">
      <c r="AD1542" s="272">
        <f>V1531</f>
        <v>0</v>
      </c>
      <c r="AE1542" s="273">
        <f>W1531</f>
        <v>0</v>
      </c>
    </row>
    <row r="1543" spans="30:31" x14ac:dyDescent="0.2">
      <c r="AD1543" s="267" t="e">
        <f>MATCH(AD1542,'SRIM Data'!$Z$9:$Z$140)</f>
        <v>#N/A</v>
      </c>
      <c r="AE1543" s="268"/>
    </row>
    <row r="1544" spans="30:31" x14ac:dyDescent="0.2">
      <c r="AD1544" s="267" t="e">
        <f>AD1543+1</f>
        <v>#N/A</v>
      </c>
      <c r="AE1544" s="268"/>
    </row>
    <row r="1545" spans="30:31" x14ac:dyDescent="0.2">
      <c r="AD1545" s="269" t="e">
        <f>INDEX('SRIM Data'!$Z$9:$Z$140,AD1543)</f>
        <v>#N/A</v>
      </c>
      <c r="AE1545" s="268" t="e">
        <f>INDEX('SRIM Data'!$AA$9:$AA$140,AD1543)</f>
        <v>#N/A</v>
      </c>
    </row>
    <row r="1546" spans="30:31" x14ac:dyDescent="0.2">
      <c r="AD1546" s="269" t="e">
        <f>INDEX('SRIM Data'!$Z$9:$Z$140,AD1544)</f>
        <v>#N/A</v>
      </c>
      <c r="AE1546" s="268" t="e">
        <f>INDEX('SRIM Data'!$AA$9:$AA$140,AD1544)</f>
        <v>#N/A</v>
      </c>
    </row>
    <row r="1547" spans="30:31" x14ac:dyDescent="0.2">
      <c r="AD1547" s="267" t="e">
        <f>(AD1546-AD1542)/(AD1546-AD1545)</f>
        <v>#N/A</v>
      </c>
      <c r="AE1547" s="268" t="e">
        <f>AE1546-AD1547*(AE1546-AE1545)</f>
        <v>#N/A</v>
      </c>
    </row>
    <row r="1548" spans="30:31" x14ac:dyDescent="0.2">
      <c r="AD1548" s="267"/>
      <c r="AE1548" s="268" t="e">
        <f>AE1547-AE1542</f>
        <v>#N/A</v>
      </c>
    </row>
    <row r="1549" spans="30:31" x14ac:dyDescent="0.2">
      <c r="AD1549" s="267"/>
      <c r="AE1549" s="268" t="e">
        <f>MATCH(AE1548,'SRIM Data'!$AA$9:$AA$140)</f>
        <v>#N/A</v>
      </c>
    </row>
    <row r="1550" spans="30:31" x14ac:dyDescent="0.2">
      <c r="AD1550" s="267"/>
      <c r="AE1550" s="268" t="e">
        <f>AE1549+1</f>
        <v>#N/A</v>
      </c>
    </row>
    <row r="1551" spans="30:31" x14ac:dyDescent="0.2">
      <c r="AD1551" s="269" t="e">
        <f>INDEX('SRIM Data'!$Z$9:$Z$140,AE1549)</f>
        <v>#N/A</v>
      </c>
      <c r="AE1551" s="268" t="e">
        <f>INDEX('SRIM Data'!$AA$9:$AA$140,AE1549)</f>
        <v>#N/A</v>
      </c>
    </row>
    <row r="1552" spans="30:31" x14ac:dyDescent="0.2">
      <c r="AD1552" s="269" t="e">
        <f>INDEX('SRIM Data'!$Z$9:$Z$140,AE1550)</f>
        <v>#N/A</v>
      </c>
      <c r="AE1552" s="268" t="e">
        <f>INDEX('SRIM Data'!$AA$9:$AA$140,AE1550)</f>
        <v>#N/A</v>
      </c>
    </row>
    <row r="1553" spans="30:31" x14ac:dyDescent="0.2">
      <c r="AD1553" s="270" t="e">
        <f>AD1552-AE1553*(AD1552-AD1551)</f>
        <v>#N/A</v>
      </c>
      <c r="AE1553" s="271" t="e">
        <f>(AE1552-AE1548)/(AE1552-AE1551)</f>
        <v>#N/A</v>
      </c>
    </row>
    <row r="1554" spans="30:31" x14ac:dyDescent="0.2">
      <c r="AD1554" s="272">
        <f>V1554</f>
        <v>0</v>
      </c>
      <c r="AE1554" s="273">
        <f>W1554</f>
        <v>0</v>
      </c>
    </row>
    <row r="1555" spans="30:31" x14ac:dyDescent="0.2">
      <c r="AD1555" s="267" t="e">
        <f>MATCH(AD1554,'SRIM Data'!$Z$9:$Z$140)</f>
        <v>#N/A</v>
      </c>
      <c r="AE1555" s="268"/>
    </row>
    <row r="1556" spans="30:31" x14ac:dyDescent="0.2">
      <c r="AD1556" s="267" t="e">
        <f>AD1555+1</f>
        <v>#N/A</v>
      </c>
      <c r="AE1556" s="268"/>
    </row>
    <row r="1557" spans="30:31" x14ac:dyDescent="0.2">
      <c r="AD1557" s="269" t="e">
        <f>INDEX('SRIM Data'!$Z$9:$Z$140,AD1555)</f>
        <v>#N/A</v>
      </c>
      <c r="AE1557" s="268" t="e">
        <f>INDEX('SRIM Data'!$AA$9:$AA$140,AD1555)</f>
        <v>#N/A</v>
      </c>
    </row>
    <row r="1558" spans="30:31" x14ac:dyDescent="0.2">
      <c r="AD1558" s="269" t="e">
        <f>INDEX('SRIM Data'!$Z$9:$Z$140,AD1556)</f>
        <v>#N/A</v>
      </c>
      <c r="AE1558" s="268" t="e">
        <f>INDEX('SRIM Data'!$AA$9:$AA$140,AD1556)</f>
        <v>#N/A</v>
      </c>
    </row>
    <row r="1559" spans="30:31" x14ac:dyDescent="0.2">
      <c r="AD1559" s="267" t="e">
        <f>(AD1558-AD1554)/(AD1558-AD1557)</f>
        <v>#N/A</v>
      </c>
      <c r="AE1559" s="268" t="e">
        <f>AE1558-AD1559*(AE1558-AE1557)</f>
        <v>#N/A</v>
      </c>
    </row>
    <row r="1560" spans="30:31" x14ac:dyDescent="0.2">
      <c r="AD1560" s="267"/>
      <c r="AE1560" s="268" t="e">
        <f>AE1559-AE1554</f>
        <v>#N/A</v>
      </c>
    </row>
    <row r="1561" spans="30:31" x14ac:dyDescent="0.2">
      <c r="AD1561" s="267"/>
      <c r="AE1561" s="268" t="e">
        <f>MATCH(AE1560,'SRIM Data'!$AA$9:$AA$140)</f>
        <v>#N/A</v>
      </c>
    </row>
    <row r="1562" spans="30:31" x14ac:dyDescent="0.2">
      <c r="AD1562" s="267"/>
      <c r="AE1562" s="268" t="e">
        <f>AE1561+1</f>
        <v>#N/A</v>
      </c>
    </row>
    <row r="1563" spans="30:31" x14ac:dyDescent="0.2">
      <c r="AD1563" s="269" t="e">
        <f>INDEX('SRIM Data'!$Z$9:$Z$140,AE1561)</f>
        <v>#N/A</v>
      </c>
      <c r="AE1563" s="268" t="e">
        <f>INDEX('SRIM Data'!$AA$9:$AA$140,AE1561)</f>
        <v>#N/A</v>
      </c>
    </row>
    <row r="1564" spans="30:31" x14ac:dyDescent="0.2">
      <c r="AD1564" s="269" t="e">
        <f>INDEX('SRIM Data'!$Z$9:$Z$140,AE1562)</f>
        <v>#N/A</v>
      </c>
      <c r="AE1564" s="268" t="e">
        <f>INDEX('SRIM Data'!$AA$9:$AA$140,AE1562)</f>
        <v>#N/A</v>
      </c>
    </row>
    <row r="1565" spans="30:31" x14ac:dyDescent="0.2">
      <c r="AD1565" s="270" t="e">
        <f>AD1564-AE1565*(AD1564-AD1563)</f>
        <v>#N/A</v>
      </c>
      <c r="AE1565" s="271" t="e">
        <f>(AE1564-AE1560)/(AE1564-AE1563)</f>
        <v>#N/A</v>
      </c>
    </row>
    <row r="1566" spans="30:31" x14ac:dyDescent="0.2">
      <c r="AD1566" s="272">
        <f>V1555</f>
        <v>0</v>
      </c>
      <c r="AE1566" s="273">
        <f>W1555</f>
        <v>0</v>
      </c>
    </row>
    <row r="1567" spans="30:31" x14ac:dyDescent="0.2">
      <c r="AD1567" s="267" t="e">
        <f>MATCH(AD1566,'SRIM Data'!$Z$9:$Z$140)</f>
        <v>#N/A</v>
      </c>
      <c r="AE1567" s="268"/>
    </row>
    <row r="1568" spans="30:31" x14ac:dyDescent="0.2">
      <c r="AD1568" s="267" t="e">
        <f>AD1567+1</f>
        <v>#N/A</v>
      </c>
      <c r="AE1568" s="268"/>
    </row>
    <row r="1569" spans="30:31" x14ac:dyDescent="0.2">
      <c r="AD1569" s="269" t="e">
        <f>INDEX('SRIM Data'!$Z$9:$Z$140,AD1567)</f>
        <v>#N/A</v>
      </c>
      <c r="AE1569" s="268" t="e">
        <f>INDEX('SRIM Data'!$AA$9:$AA$140,AD1567)</f>
        <v>#N/A</v>
      </c>
    </row>
    <row r="1570" spans="30:31" x14ac:dyDescent="0.2">
      <c r="AD1570" s="269" t="e">
        <f>INDEX('SRIM Data'!$Z$9:$Z$140,AD1568)</f>
        <v>#N/A</v>
      </c>
      <c r="AE1570" s="268" t="e">
        <f>INDEX('SRIM Data'!$AA$9:$AA$140,AD1568)</f>
        <v>#N/A</v>
      </c>
    </row>
    <row r="1571" spans="30:31" x14ac:dyDescent="0.2">
      <c r="AD1571" s="267" t="e">
        <f>(AD1570-AD1566)/(AD1570-AD1569)</f>
        <v>#N/A</v>
      </c>
      <c r="AE1571" s="268" t="e">
        <f>AE1570-AD1571*(AE1570-AE1569)</f>
        <v>#N/A</v>
      </c>
    </row>
    <row r="1572" spans="30:31" x14ac:dyDescent="0.2">
      <c r="AD1572" s="267"/>
      <c r="AE1572" s="268" t="e">
        <f>AE1571-AE1566</f>
        <v>#N/A</v>
      </c>
    </row>
    <row r="1573" spans="30:31" x14ac:dyDescent="0.2">
      <c r="AD1573" s="267"/>
      <c r="AE1573" s="268" t="e">
        <f>MATCH(AE1572,'SRIM Data'!$AA$9:$AA$140)</f>
        <v>#N/A</v>
      </c>
    </row>
    <row r="1574" spans="30:31" x14ac:dyDescent="0.2">
      <c r="AD1574" s="267"/>
      <c r="AE1574" s="268" t="e">
        <f>AE1573+1</f>
        <v>#N/A</v>
      </c>
    </row>
    <row r="1575" spans="30:31" x14ac:dyDescent="0.2">
      <c r="AD1575" s="269" t="e">
        <f>INDEX('SRIM Data'!$Z$9:$Z$140,AE1573)</f>
        <v>#N/A</v>
      </c>
      <c r="AE1575" s="268" t="e">
        <f>INDEX('SRIM Data'!$AA$9:$AA$140,AE1573)</f>
        <v>#N/A</v>
      </c>
    </row>
    <row r="1576" spans="30:31" x14ac:dyDescent="0.2">
      <c r="AD1576" s="269" t="e">
        <f>INDEX('SRIM Data'!$Z$9:$Z$140,AE1574)</f>
        <v>#N/A</v>
      </c>
      <c r="AE1576" s="268" t="e">
        <f>INDEX('SRIM Data'!$AA$9:$AA$140,AE1574)</f>
        <v>#N/A</v>
      </c>
    </row>
    <row r="1577" spans="30:31" x14ac:dyDescent="0.2">
      <c r="AD1577" s="270" t="e">
        <f>AD1576-AE1577*(AD1576-AD1575)</f>
        <v>#N/A</v>
      </c>
      <c r="AE1577" s="271" t="e">
        <f>(AE1576-AE1572)/(AE1576-AE1575)</f>
        <v>#N/A</v>
      </c>
    </row>
    <row r="1578" spans="30:31" x14ac:dyDescent="0.2">
      <c r="AD1578" s="272">
        <f>V1578</f>
        <v>0</v>
      </c>
      <c r="AE1578" s="273">
        <f>W1578</f>
        <v>0</v>
      </c>
    </row>
    <row r="1579" spans="30:31" x14ac:dyDescent="0.2">
      <c r="AD1579" s="267" t="e">
        <f>MATCH(AD1578,'SRIM Data'!$Z$9:$Z$140)</f>
        <v>#N/A</v>
      </c>
      <c r="AE1579" s="268"/>
    </row>
    <row r="1580" spans="30:31" x14ac:dyDescent="0.2">
      <c r="AD1580" s="267" t="e">
        <f>AD1579+1</f>
        <v>#N/A</v>
      </c>
      <c r="AE1580" s="268"/>
    </row>
    <row r="1581" spans="30:31" x14ac:dyDescent="0.2">
      <c r="AD1581" s="269" t="e">
        <f>INDEX('SRIM Data'!$Z$9:$Z$140,AD1579)</f>
        <v>#N/A</v>
      </c>
      <c r="AE1581" s="268" t="e">
        <f>INDEX('SRIM Data'!$AA$9:$AA$140,AD1579)</f>
        <v>#N/A</v>
      </c>
    </row>
    <row r="1582" spans="30:31" x14ac:dyDescent="0.2">
      <c r="AD1582" s="269" t="e">
        <f>INDEX('SRIM Data'!$Z$9:$Z$140,AD1580)</f>
        <v>#N/A</v>
      </c>
      <c r="AE1582" s="268" t="e">
        <f>INDEX('SRIM Data'!$AA$9:$AA$140,AD1580)</f>
        <v>#N/A</v>
      </c>
    </row>
    <row r="1583" spans="30:31" x14ac:dyDescent="0.2">
      <c r="AD1583" s="267" t="e">
        <f>(AD1582-AD1578)/(AD1582-AD1581)</f>
        <v>#N/A</v>
      </c>
      <c r="AE1583" s="268" t="e">
        <f>AE1582-AD1583*(AE1582-AE1581)</f>
        <v>#N/A</v>
      </c>
    </row>
    <row r="1584" spans="30:31" x14ac:dyDescent="0.2">
      <c r="AD1584" s="267"/>
      <c r="AE1584" s="268" t="e">
        <f>AE1583-AE1578</f>
        <v>#N/A</v>
      </c>
    </row>
    <row r="1585" spans="30:31" x14ac:dyDescent="0.2">
      <c r="AD1585" s="267"/>
      <c r="AE1585" s="268" t="e">
        <f>MATCH(AE1584,'SRIM Data'!$AA$9:$AA$140)</f>
        <v>#N/A</v>
      </c>
    </row>
    <row r="1586" spans="30:31" x14ac:dyDescent="0.2">
      <c r="AD1586" s="267"/>
      <c r="AE1586" s="268" t="e">
        <f>AE1585+1</f>
        <v>#N/A</v>
      </c>
    </row>
    <row r="1587" spans="30:31" x14ac:dyDescent="0.2">
      <c r="AD1587" s="269" t="e">
        <f>INDEX('SRIM Data'!$Z$9:$Z$140,AE1585)</f>
        <v>#N/A</v>
      </c>
      <c r="AE1587" s="268" t="e">
        <f>INDEX('SRIM Data'!$AA$9:$AA$140,AE1585)</f>
        <v>#N/A</v>
      </c>
    </row>
    <row r="1588" spans="30:31" x14ac:dyDescent="0.2">
      <c r="AD1588" s="269" t="e">
        <f>INDEX('SRIM Data'!$Z$9:$Z$140,AE1586)</f>
        <v>#N/A</v>
      </c>
      <c r="AE1588" s="268" t="e">
        <f>INDEX('SRIM Data'!$AA$9:$AA$140,AE1586)</f>
        <v>#N/A</v>
      </c>
    </row>
    <row r="1589" spans="30:31" x14ac:dyDescent="0.2">
      <c r="AD1589" s="270" t="e">
        <f>AD1588-AE1589*(AD1588-AD1587)</f>
        <v>#N/A</v>
      </c>
      <c r="AE1589" s="271" t="e">
        <f>(AE1588-AE1584)/(AE1588-AE1587)</f>
        <v>#N/A</v>
      </c>
    </row>
    <row r="1590" spans="30:31" x14ac:dyDescent="0.2">
      <c r="AD1590" s="272">
        <f>V1579</f>
        <v>0</v>
      </c>
      <c r="AE1590" s="273">
        <f>W1579</f>
        <v>0</v>
      </c>
    </row>
    <row r="1591" spans="30:31" x14ac:dyDescent="0.2">
      <c r="AD1591" s="267" t="e">
        <f>MATCH(AD1590,'SRIM Data'!$Z$9:$Z$140)</f>
        <v>#N/A</v>
      </c>
      <c r="AE1591" s="268"/>
    </row>
    <row r="1592" spans="30:31" x14ac:dyDescent="0.2">
      <c r="AD1592" s="267" t="e">
        <f>AD1591+1</f>
        <v>#N/A</v>
      </c>
      <c r="AE1592" s="268"/>
    </row>
    <row r="1593" spans="30:31" x14ac:dyDescent="0.2">
      <c r="AD1593" s="269" t="e">
        <f>INDEX('SRIM Data'!$Z$9:$Z$140,AD1591)</f>
        <v>#N/A</v>
      </c>
      <c r="AE1593" s="268" t="e">
        <f>INDEX('SRIM Data'!$AA$9:$AA$140,AD1591)</f>
        <v>#N/A</v>
      </c>
    </row>
    <row r="1594" spans="30:31" x14ac:dyDescent="0.2">
      <c r="AD1594" s="269" t="e">
        <f>INDEX('SRIM Data'!$Z$9:$Z$140,AD1592)</f>
        <v>#N/A</v>
      </c>
      <c r="AE1594" s="268" t="e">
        <f>INDEX('SRIM Data'!$AA$9:$AA$140,AD1592)</f>
        <v>#N/A</v>
      </c>
    </row>
    <row r="1595" spans="30:31" x14ac:dyDescent="0.2">
      <c r="AD1595" s="267" t="e">
        <f>(AD1594-AD1590)/(AD1594-AD1593)</f>
        <v>#N/A</v>
      </c>
      <c r="AE1595" s="268" t="e">
        <f>AE1594-AD1595*(AE1594-AE1593)</f>
        <v>#N/A</v>
      </c>
    </row>
    <row r="1596" spans="30:31" x14ac:dyDescent="0.2">
      <c r="AD1596" s="267"/>
      <c r="AE1596" s="268" t="e">
        <f>AE1595-AE1590</f>
        <v>#N/A</v>
      </c>
    </row>
    <row r="1597" spans="30:31" x14ac:dyDescent="0.2">
      <c r="AD1597" s="267"/>
      <c r="AE1597" s="268" t="e">
        <f>MATCH(AE1596,'SRIM Data'!$AA$9:$AA$140)</f>
        <v>#N/A</v>
      </c>
    </row>
    <row r="1598" spans="30:31" x14ac:dyDescent="0.2">
      <c r="AD1598" s="267"/>
      <c r="AE1598" s="268" t="e">
        <f>AE1597+1</f>
        <v>#N/A</v>
      </c>
    </row>
    <row r="1599" spans="30:31" x14ac:dyDescent="0.2">
      <c r="AD1599" s="269" t="e">
        <f>INDEX('SRIM Data'!$Z$9:$Z$140,AE1597)</f>
        <v>#N/A</v>
      </c>
      <c r="AE1599" s="268" t="e">
        <f>INDEX('SRIM Data'!$AA$9:$AA$140,AE1597)</f>
        <v>#N/A</v>
      </c>
    </row>
    <row r="1600" spans="30:31" x14ac:dyDescent="0.2">
      <c r="AD1600" s="269" t="e">
        <f>INDEX('SRIM Data'!$Z$9:$Z$140,AE1598)</f>
        <v>#N/A</v>
      </c>
      <c r="AE1600" s="268" t="e">
        <f>INDEX('SRIM Data'!$AA$9:$AA$140,AE1598)</f>
        <v>#N/A</v>
      </c>
    </row>
    <row r="1601" spans="30:31" x14ac:dyDescent="0.2">
      <c r="AD1601" s="270" t="e">
        <f>AD1600-AE1601*(AD1600-AD1599)</f>
        <v>#N/A</v>
      </c>
      <c r="AE1601" s="271" t="e">
        <f>(AE1600-AE1596)/(AE1600-AE1599)</f>
        <v>#N/A</v>
      </c>
    </row>
    <row r="1602" spans="30:31" x14ac:dyDescent="0.2">
      <c r="AD1602" s="272">
        <f>V1602</f>
        <v>0</v>
      </c>
      <c r="AE1602" s="273">
        <f>W1602</f>
        <v>0</v>
      </c>
    </row>
    <row r="1603" spans="30:31" x14ac:dyDescent="0.2">
      <c r="AD1603" s="267" t="e">
        <f>MATCH(AD1602,'SRIM Data'!$Z$9:$Z$140)</f>
        <v>#N/A</v>
      </c>
      <c r="AE1603" s="268"/>
    </row>
    <row r="1604" spans="30:31" x14ac:dyDescent="0.2">
      <c r="AD1604" s="267" t="e">
        <f>AD1603+1</f>
        <v>#N/A</v>
      </c>
      <c r="AE1604" s="268"/>
    </row>
    <row r="1605" spans="30:31" x14ac:dyDescent="0.2">
      <c r="AD1605" s="269" t="e">
        <f>INDEX('SRIM Data'!$Z$9:$Z$140,AD1603)</f>
        <v>#N/A</v>
      </c>
      <c r="AE1605" s="268" t="e">
        <f>INDEX('SRIM Data'!$AA$9:$AA$140,AD1603)</f>
        <v>#N/A</v>
      </c>
    </row>
    <row r="1606" spans="30:31" x14ac:dyDescent="0.2">
      <c r="AD1606" s="269" t="e">
        <f>INDEX('SRIM Data'!$Z$9:$Z$140,AD1604)</f>
        <v>#N/A</v>
      </c>
      <c r="AE1606" s="268" t="e">
        <f>INDEX('SRIM Data'!$AA$9:$AA$140,AD1604)</f>
        <v>#N/A</v>
      </c>
    </row>
    <row r="1607" spans="30:31" x14ac:dyDescent="0.2">
      <c r="AD1607" s="267" t="e">
        <f>(AD1606-AD1602)/(AD1606-AD1605)</f>
        <v>#N/A</v>
      </c>
      <c r="AE1607" s="268" t="e">
        <f>AE1606-AD1607*(AE1606-AE1605)</f>
        <v>#N/A</v>
      </c>
    </row>
    <row r="1608" spans="30:31" x14ac:dyDescent="0.2">
      <c r="AD1608" s="267"/>
      <c r="AE1608" s="268" t="e">
        <f>AE1607-AE1602</f>
        <v>#N/A</v>
      </c>
    </row>
    <row r="1609" spans="30:31" x14ac:dyDescent="0.2">
      <c r="AD1609" s="267"/>
      <c r="AE1609" s="268" t="e">
        <f>MATCH(AE1608,'SRIM Data'!$AA$9:$AA$140)</f>
        <v>#N/A</v>
      </c>
    </row>
    <row r="1610" spans="30:31" x14ac:dyDescent="0.2">
      <c r="AD1610" s="267"/>
      <c r="AE1610" s="268" t="e">
        <f>AE1609+1</f>
        <v>#N/A</v>
      </c>
    </row>
    <row r="1611" spans="30:31" x14ac:dyDescent="0.2">
      <c r="AD1611" s="269" t="e">
        <f>INDEX('SRIM Data'!$Z$9:$Z$140,AE1609)</f>
        <v>#N/A</v>
      </c>
      <c r="AE1611" s="268" t="e">
        <f>INDEX('SRIM Data'!$AA$9:$AA$140,AE1609)</f>
        <v>#N/A</v>
      </c>
    </row>
    <row r="1612" spans="30:31" x14ac:dyDescent="0.2">
      <c r="AD1612" s="269" t="e">
        <f>INDEX('SRIM Data'!$Z$9:$Z$140,AE1610)</f>
        <v>#N/A</v>
      </c>
      <c r="AE1612" s="268" t="e">
        <f>INDEX('SRIM Data'!$AA$9:$AA$140,AE1610)</f>
        <v>#N/A</v>
      </c>
    </row>
    <row r="1613" spans="30:31" x14ac:dyDescent="0.2">
      <c r="AD1613" s="270" t="e">
        <f>AD1612-AE1613*(AD1612-AD1611)</f>
        <v>#N/A</v>
      </c>
      <c r="AE1613" s="271" t="e">
        <f>(AE1612-AE1608)/(AE1612-AE1611)</f>
        <v>#N/A</v>
      </c>
    </row>
    <row r="1614" spans="30:31" x14ac:dyDescent="0.2">
      <c r="AD1614" s="272">
        <f>V1603</f>
        <v>0</v>
      </c>
      <c r="AE1614" s="273">
        <f>W1603</f>
        <v>0</v>
      </c>
    </row>
    <row r="1615" spans="30:31" x14ac:dyDescent="0.2">
      <c r="AD1615" s="267" t="e">
        <f>MATCH(AD1614,'SRIM Data'!$Z$9:$Z$140)</f>
        <v>#N/A</v>
      </c>
      <c r="AE1615" s="268"/>
    </row>
    <row r="1616" spans="30:31" x14ac:dyDescent="0.2">
      <c r="AD1616" s="267" t="e">
        <f>AD1615+1</f>
        <v>#N/A</v>
      </c>
      <c r="AE1616" s="268"/>
    </row>
    <row r="1617" spans="30:31" x14ac:dyDescent="0.2">
      <c r="AD1617" s="269" t="e">
        <f>INDEX('SRIM Data'!$Z$9:$Z$140,AD1615)</f>
        <v>#N/A</v>
      </c>
      <c r="AE1617" s="268" t="e">
        <f>INDEX('SRIM Data'!$AA$9:$AA$140,AD1615)</f>
        <v>#N/A</v>
      </c>
    </row>
    <row r="1618" spans="30:31" x14ac:dyDescent="0.2">
      <c r="AD1618" s="269" t="e">
        <f>INDEX('SRIM Data'!$Z$9:$Z$140,AD1616)</f>
        <v>#N/A</v>
      </c>
      <c r="AE1618" s="268" t="e">
        <f>INDEX('SRIM Data'!$AA$9:$AA$140,AD1616)</f>
        <v>#N/A</v>
      </c>
    </row>
    <row r="1619" spans="30:31" x14ac:dyDescent="0.2">
      <c r="AD1619" s="267" t="e">
        <f>(AD1618-AD1614)/(AD1618-AD1617)</f>
        <v>#N/A</v>
      </c>
      <c r="AE1619" s="268" t="e">
        <f>AE1618-AD1619*(AE1618-AE1617)</f>
        <v>#N/A</v>
      </c>
    </row>
    <row r="1620" spans="30:31" x14ac:dyDescent="0.2">
      <c r="AD1620" s="267"/>
      <c r="AE1620" s="268" t="e">
        <f>AE1619-AE1614</f>
        <v>#N/A</v>
      </c>
    </row>
    <row r="1621" spans="30:31" x14ac:dyDescent="0.2">
      <c r="AD1621" s="267"/>
      <c r="AE1621" s="268" t="e">
        <f>MATCH(AE1620,'SRIM Data'!$AA$9:$AA$140)</f>
        <v>#N/A</v>
      </c>
    </row>
    <row r="1622" spans="30:31" x14ac:dyDescent="0.2">
      <c r="AD1622" s="267"/>
      <c r="AE1622" s="268" t="e">
        <f>AE1621+1</f>
        <v>#N/A</v>
      </c>
    </row>
    <row r="1623" spans="30:31" x14ac:dyDescent="0.2">
      <c r="AD1623" s="269" t="e">
        <f>INDEX('SRIM Data'!$Z$9:$Z$140,AE1621)</f>
        <v>#N/A</v>
      </c>
      <c r="AE1623" s="268" t="e">
        <f>INDEX('SRIM Data'!$AA$9:$AA$140,AE1621)</f>
        <v>#N/A</v>
      </c>
    </row>
    <row r="1624" spans="30:31" x14ac:dyDescent="0.2">
      <c r="AD1624" s="269" t="e">
        <f>INDEX('SRIM Data'!$Z$9:$Z$140,AE1622)</f>
        <v>#N/A</v>
      </c>
      <c r="AE1624" s="268" t="e">
        <f>INDEX('SRIM Data'!$AA$9:$AA$140,AE1622)</f>
        <v>#N/A</v>
      </c>
    </row>
    <row r="1625" spans="30:31" x14ac:dyDescent="0.2">
      <c r="AD1625" s="270" t="e">
        <f>AD1624-AE1625*(AD1624-AD1623)</f>
        <v>#N/A</v>
      </c>
      <c r="AE1625" s="271" t="e">
        <f>(AE1624-AE1620)/(AE1624-AE1623)</f>
        <v>#N/A</v>
      </c>
    </row>
    <row r="1626" spans="30:31" x14ac:dyDescent="0.2">
      <c r="AD1626" s="272">
        <f>V1626</f>
        <v>0</v>
      </c>
      <c r="AE1626" s="273">
        <f>W1626</f>
        <v>0</v>
      </c>
    </row>
    <row r="1627" spans="30:31" x14ac:dyDescent="0.2">
      <c r="AD1627" s="267" t="e">
        <f>MATCH(AD1626,'SRIM Data'!$Z$9:$Z$140)</f>
        <v>#N/A</v>
      </c>
      <c r="AE1627" s="268"/>
    </row>
    <row r="1628" spans="30:31" x14ac:dyDescent="0.2">
      <c r="AD1628" s="267" t="e">
        <f>AD1627+1</f>
        <v>#N/A</v>
      </c>
      <c r="AE1628" s="268"/>
    </row>
    <row r="1629" spans="30:31" x14ac:dyDescent="0.2">
      <c r="AD1629" s="269" t="e">
        <f>INDEX('SRIM Data'!$Z$9:$Z$140,AD1627)</f>
        <v>#N/A</v>
      </c>
      <c r="AE1629" s="268" t="e">
        <f>INDEX('SRIM Data'!$AA$9:$AA$140,AD1627)</f>
        <v>#N/A</v>
      </c>
    </row>
    <row r="1630" spans="30:31" x14ac:dyDescent="0.2">
      <c r="AD1630" s="269" t="e">
        <f>INDEX('SRIM Data'!$Z$9:$Z$140,AD1628)</f>
        <v>#N/A</v>
      </c>
      <c r="AE1630" s="268" t="e">
        <f>INDEX('SRIM Data'!$AA$9:$AA$140,AD1628)</f>
        <v>#N/A</v>
      </c>
    </row>
    <row r="1631" spans="30:31" x14ac:dyDescent="0.2">
      <c r="AD1631" s="267" t="e">
        <f>(AD1630-AD1626)/(AD1630-AD1629)</f>
        <v>#N/A</v>
      </c>
      <c r="AE1631" s="268" t="e">
        <f>AE1630-AD1631*(AE1630-AE1629)</f>
        <v>#N/A</v>
      </c>
    </row>
    <row r="1632" spans="30:31" x14ac:dyDescent="0.2">
      <c r="AD1632" s="267"/>
      <c r="AE1632" s="268" t="e">
        <f>AE1631-AE1626</f>
        <v>#N/A</v>
      </c>
    </row>
    <row r="1633" spans="30:31" x14ac:dyDescent="0.2">
      <c r="AD1633" s="267"/>
      <c r="AE1633" s="268" t="e">
        <f>MATCH(AE1632,'SRIM Data'!$AA$9:$AA$140)</f>
        <v>#N/A</v>
      </c>
    </row>
    <row r="1634" spans="30:31" x14ac:dyDescent="0.2">
      <c r="AD1634" s="267"/>
      <c r="AE1634" s="268" t="e">
        <f>AE1633+1</f>
        <v>#N/A</v>
      </c>
    </row>
    <row r="1635" spans="30:31" x14ac:dyDescent="0.2">
      <c r="AD1635" s="269" t="e">
        <f>INDEX('SRIM Data'!$Z$9:$Z$140,AE1633)</f>
        <v>#N/A</v>
      </c>
      <c r="AE1635" s="268" t="e">
        <f>INDEX('SRIM Data'!$AA$9:$AA$140,AE1633)</f>
        <v>#N/A</v>
      </c>
    </row>
    <row r="1636" spans="30:31" x14ac:dyDescent="0.2">
      <c r="AD1636" s="269" t="e">
        <f>INDEX('SRIM Data'!$Z$9:$Z$140,AE1634)</f>
        <v>#N/A</v>
      </c>
      <c r="AE1636" s="268" t="e">
        <f>INDEX('SRIM Data'!$AA$9:$AA$140,AE1634)</f>
        <v>#N/A</v>
      </c>
    </row>
    <row r="1637" spans="30:31" x14ac:dyDescent="0.2">
      <c r="AD1637" s="270" t="e">
        <f>AD1636-AE1637*(AD1636-AD1635)</f>
        <v>#N/A</v>
      </c>
      <c r="AE1637" s="271" t="e">
        <f>(AE1636-AE1632)/(AE1636-AE1635)</f>
        <v>#N/A</v>
      </c>
    </row>
    <row r="1638" spans="30:31" x14ac:dyDescent="0.2">
      <c r="AD1638" s="272">
        <f>V1627</f>
        <v>0</v>
      </c>
      <c r="AE1638" s="273">
        <f>W1627</f>
        <v>0</v>
      </c>
    </row>
    <row r="1639" spans="30:31" x14ac:dyDescent="0.2">
      <c r="AD1639" s="267" t="e">
        <f>MATCH(AD1638,'SRIM Data'!$Z$9:$Z$140)</f>
        <v>#N/A</v>
      </c>
      <c r="AE1639" s="268"/>
    </row>
    <row r="1640" spans="30:31" x14ac:dyDescent="0.2">
      <c r="AD1640" s="267" t="e">
        <f>AD1639+1</f>
        <v>#N/A</v>
      </c>
      <c r="AE1640" s="268"/>
    </row>
    <row r="1641" spans="30:31" x14ac:dyDescent="0.2">
      <c r="AD1641" s="269" t="e">
        <f>INDEX('SRIM Data'!$Z$9:$Z$140,AD1639)</f>
        <v>#N/A</v>
      </c>
      <c r="AE1641" s="268" t="e">
        <f>INDEX('SRIM Data'!$AA$9:$AA$140,AD1639)</f>
        <v>#N/A</v>
      </c>
    </row>
    <row r="1642" spans="30:31" x14ac:dyDescent="0.2">
      <c r="AD1642" s="269" t="e">
        <f>INDEX('SRIM Data'!$Z$9:$Z$140,AD1640)</f>
        <v>#N/A</v>
      </c>
      <c r="AE1642" s="268" t="e">
        <f>INDEX('SRIM Data'!$AA$9:$AA$140,AD1640)</f>
        <v>#N/A</v>
      </c>
    </row>
    <row r="1643" spans="30:31" x14ac:dyDescent="0.2">
      <c r="AD1643" s="267" t="e">
        <f>(AD1642-AD1638)/(AD1642-AD1641)</f>
        <v>#N/A</v>
      </c>
      <c r="AE1643" s="268" t="e">
        <f>AE1642-AD1643*(AE1642-AE1641)</f>
        <v>#N/A</v>
      </c>
    </row>
    <row r="1644" spans="30:31" x14ac:dyDescent="0.2">
      <c r="AD1644" s="267"/>
      <c r="AE1644" s="268" t="e">
        <f>AE1643-AE1638</f>
        <v>#N/A</v>
      </c>
    </row>
    <row r="1645" spans="30:31" x14ac:dyDescent="0.2">
      <c r="AD1645" s="267"/>
      <c r="AE1645" s="268" t="e">
        <f>MATCH(AE1644,'SRIM Data'!$AA$9:$AA$140)</f>
        <v>#N/A</v>
      </c>
    </row>
    <row r="1646" spans="30:31" x14ac:dyDescent="0.2">
      <c r="AD1646" s="267"/>
      <c r="AE1646" s="268" t="e">
        <f>AE1645+1</f>
        <v>#N/A</v>
      </c>
    </row>
    <row r="1647" spans="30:31" x14ac:dyDescent="0.2">
      <c r="AD1647" s="269" t="e">
        <f>INDEX('SRIM Data'!$Z$9:$Z$140,AE1645)</f>
        <v>#N/A</v>
      </c>
      <c r="AE1647" s="268" t="e">
        <f>INDEX('SRIM Data'!$AA$9:$AA$140,AE1645)</f>
        <v>#N/A</v>
      </c>
    </row>
    <row r="1648" spans="30:31" x14ac:dyDescent="0.2">
      <c r="AD1648" s="269" t="e">
        <f>INDEX('SRIM Data'!$Z$9:$Z$140,AE1646)</f>
        <v>#N/A</v>
      </c>
      <c r="AE1648" s="268" t="e">
        <f>INDEX('SRIM Data'!$AA$9:$AA$140,AE1646)</f>
        <v>#N/A</v>
      </c>
    </row>
    <row r="1649" spans="30:31" x14ac:dyDescent="0.2">
      <c r="AD1649" s="270" t="e">
        <f>AD1648-AE1649*(AD1648-AD1647)</f>
        <v>#N/A</v>
      </c>
      <c r="AE1649" s="271" t="e">
        <f>(AE1648-AE1644)/(AE1648-AE1647)</f>
        <v>#N/A</v>
      </c>
    </row>
    <row r="1650" spans="30:31" x14ac:dyDescent="0.2">
      <c r="AD1650" s="272">
        <f>V1650</f>
        <v>0</v>
      </c>
      <c r="AE1650" s="273">
        <f>W1650</f>
        <v>0</v>
      </c>
    </row>
    <row r="1651" spans="30:31" x14ac:dyDescent="0.2">
      <c r="AD1651" s="267" t="e">
        <f>MATCH(AD1650,'SRIM Data'!$Z$9:$Z$140)</f>
        <v>#N/A</v>
      </c>
      <c r="AE1651" s="268"/>
    </row>
    <row r="1652" spans="30:31" x14ac:dyDescent="0.2">
      <c r="AD1652" s="267" t="e">
        <f>AD1651+1</f>
        <v>#N/A</v>
      </c>
      <c r="AE1652" s="268"/>
    </row>
    <row r="1653" spans="30:31" x14ac:dyDescent="0.2">
      <c r="AD1653" s="269" t="e">
        <f>INDEX('SRIM Data'!$Z$9:$Z$140,AD1651)</f>
        <v>#N/A</v>
      </c>
      <c r="AE1653" s="268" t="e">
        <f>INDEX('SRIM Data'!$AA$9:$AA$140,AD1651)</f>
        <v>#N/A</v>
      </c>
    </row>
    <row r="1654" spans="30:31" x14ac:dyDescent="0.2">
      <c r="AD1654" s="269" t="e">
        <f>INDEX('SRIM Data'!$Z$9:$Z$140,AD1652)</f>
        <v>#N/A</v>
      </c>
      <c r="AE1654" s="268" t="e">
        <f>INDEX('SRIM Data'!$AA$9:$AA$140,AD1652)</f>
        <v>#N/A</v>
      </c>
    </row>
    <row r="1655" spans="30:31" x14ac:dyDescent="0.2">
      <c r="AD1655" s="267" t="e">
        <f>(AD1654-AD1650)/(AD1654-AD1653)</f>
        <v>#N/A</v>
      </c>
      <c r="AE1655" s="268" t="e">
        <f>AE1654-AD1655*(AE1654-AE1653)</f>
        <v>#N/A</v>
      </c>
    </row>
    <row r="1656" spans="30:31" x14ac:dyDescent="0.2">
      <c r="AD1656" s="267"/>
      <c r="AE1656" s="268" t="e">
        <f>AE1655-AE1650</f>
        <v>#N/A</v>
      </c>
    </row>
    <row r="1657" spans="30:31" x14ac:dyDescent="0.2">
      <c r="AD1657" s="267"/>
      <c r="AE1657" s="268" t="e">
        <f>MATCH(AE1656,'SRIM Data'!$AA$9:$AA$140)</f>
        <v>#N/A</v>
      </c>
    </row>
    <row r="1658" spans="30:31" x14ac:dyDescent="0.2">
      <c r="AD1658" s="267"/>
      <c r="AE1658" s="268" t="e">
        <f>AE1657+1</f>
        <v>#N/A</v>
      </c>
    </row>
    <row r="1659" spans="30:31" x14ac:dyDescent="0.2">
      <c r="AD1659" s="269" t="e">
        <f>INDEX('SRIM Data'!$Z$9:$Z$140,AE1657)</f>
        <v>#N/A</v>
      </c>
      <c r="AE1659" s="268" t="e">
        <f>INDEX('SRIM Data'!$AA$9:$AA$140,AE1657)</f>
        <v>#N/A</v>
      </c>
    </row>
    <row r="1660" spans="30:31" x14ac:dyDescent="0.2">
      <c r="AD1660" s="269" t="e">
        <f>INDEX('SRIM Data'!$Z$9:$Z$140,AE1658)</f>
        <v>#N/A</v>
      </c>
      <c r="AE1660" s="268" t="e">
        <f>INDEX('SRIM Data'!$AA$9:$AA$140,AE1658)</f>
        <v>#N/A</v>
      </c>
    </row>
    <row r="1661" spans="30:31" x14ac:dyDescent="0.2">
      <c r="AD1661" s="270" t="e">
        <f>AD1660-AE1661*(AD1660-AD1659)</f>
        <v>#N/A</v>
      </c>
      <c r="AE1661" s="271" t="e">
        <f>(AE1660-AE1656)/(AE1660-AE1659)</f>
        <v>#N/A</v>
      </c>
    </row>
    <row r="1662" spans="30:31" x14ac:dyDescent="0.2">
      <c r="AD1662" s="272">
        <f>V1651</f>
        <v>0</v>
      </c>
      <c r="AE1662" s="273">
        <f>W1651</f>
        <v>0</v>
      </c>
    </row>
    <row r="1663" spans="30:31" x14ac:dyDescent="0.2">
      <c r="AD1663" s="267" t="e">
        <f>MATCH(AD1662,'SRIM Data'!$Z$9:$Z$140)</f>
        <v>#N/A</v>
      </c>
      <c r="AE1663" s="268"/>
    </row>
    <row r="1664" spans="30:31" x14ac:dyDescent="0.2">
      <c r="AD1664" s="267" t="e">
        <f>AD1663+1</f>
        <v>#N/A</v>
      </c>
      <c r="AE1664" s="268"/>
    </row>
    <row r="1665" spans="30:31" x14ac:dyDescent="0.2">
      <c r="AD1665" s="269" t="e">
        <f>INDEX('SRIM Data'!$Z$9:$Z$140,AD1663)</f>
        <v>#N/A</v>
      </c>
      <c r="AE1665" s="268" t="e">
        <f>INDEX('SRIM Data'!$AA$9:$AA$140,AD1663)</f>
        <v>#N/A</v>
      </c>
    </row>
    <row r="1666" spans="30:31" x14ac:dyDescent="0.2">
      <c r="AD1666" s="269" t="e">
        <f>INDEX('SRIM Data'!$Z$9:$Z$140,AD1664)</f>
        <v>#N/A</v>
      </c>
      <c r="AE1666" s="268" t="e">
        <f>INDEX('SRIM Data'!$AA$9:$AA$140,AD1664)</f>
        <v>#N/A</v>
      </c>
    </row>
    <row r="1667" spans="30:31" x14ac:dyDescent="0.2">
      <c r="AD1667" s="267" t="e">
        <f>(AD1666-AD1662)/(AD1666-AD1665)</f>
        <v>#N/A</v>
      </c>
      <c r="AE1667" s="268" t="e">
        <f>AE1666-AD1667*(AE1666-AE1665)</f>
        <v>#N/A</v>
      </c>
    </row>
    <row r="1668" spans="30:31" x14ac:dyDescent="0.2">
      <c r="AD1668" s="267"/>
      <c r="AE1668" s="268" t="e">
        <f>AE1667-AE1662</f>
        <v>#N/A</v>
      </c>
    </row>
    <row r="1669" spans="30:31" x14ac:dyDescent="0.2">
      <c r="AD1669" s="267"/>
      <c r="AE1669" s="268" t="e">
        <f>MATCH(AE1668,'SRIM Data'!$AA$9:$AA$140)</f>
        <v>#N/A</v>
      </c>
    </row>
    <row r="1670" spans="30:31" x14ac:dyDescent="0.2">
      <c r="AD1670" s="267"/>
      <c r="AE1670" s="268" t="e">
        <f>AE1669+1</f>
        <v>#N/A</v>
      </c>
    </row>
    <row r="1671" spans="30:31" x14ac:dyDescent="0.2">
      <c r="AD1671" s="269" t="e">
        <f>INDEX('SRIM Data'!$Z$9:$Z$140,AE1669)</f>
        <v>#N/A</v>
      </c>
      <c r="AE1671" s="268" t="e">
        <f>INDEX('SRIM Data'!$AA$9:$AA$140,AE1669)</f>
        <v>#N/A</v>
      </c>
    </row>
    <row r="1672" spans="30:31" x14ac:dyDescent="0.2">
      <c r="AD1672" s="269" t="e">
        <f>INDEX('SRIM Data'!$Z$9:$Z$140,AE1670)</f>
        <v>#N/A</v>
      </c>
      <c r="AE1672" s="268" t="e">
        <f>INDEX('SRIM Data'!$AA$9:$AA$140,AE1670)</f>
        <v>#N/A</v>
      </c>
    </row>
    <row r="1673" spans="30:31" x14ac:dyDescent="0.2">
      <c r="AD1673" s="270" t="e">
        <f>AD1672-AE1673*(AD1672-AD1671)</f>
        <v>#N/A</v>
      </c>
      <c r="AE1673" s="271" t="e">
        <f>(AE1672-AE1668)/(AE1672-AE1671)</f>
        <v>#N/A</v>
      </c>
    </row>
    <row r="1674" spans="30:31" x14ac:dyDescent="0.2">
      <c r="AD1674" s="272">
        <f>V1674</f>
        <v>0</v>
      </c>
      <c r="AE1674" s="273">
        <f>W1674</f>
        <v>0</v>
      </c>
    </row>
    <row r="1675" spans="30:31" x14ac:dyDescent="0.2">
      <c r="AD1675" s="267" t="e">
        <f>MATCH(AD1674,'SRIM Data'!$Z$9:$Z$140)</f>
        <v>#N/A</v>
      </c>
      <c r="AE1675" s="268"/>
    </row>
    <row r="1676" spans="30:31" x14ac:dyDescent="0.2">
      <c r="AD1676" s="267" t="e">
        <f>AD1675+1</f>
        <v>#N/A</v>
      </c>
      <c r="AE1676" s="268"/>
    </row>
    <row r="1677" spans="30:31" x14ac:dyDescent="0.2">
      <c r="AD1677" s="269" t="e">
        <f>INDEX('SRIM Data'!$Z$9:$Z$140,AD1675)</f>
        <v>#N/A</v>
      </c>
      <c r="AE1677" s="268" t="e">
        <f>INDEX('SRIM Data'!$AA$9:$AA$140,AD1675)</f>
        <v>#N/A</v>
      </c>
    </row>
    <row r="1678" spans="30:31" x14ac:dyDescent="0.2">
      <c r="AD1678" s="269" t="e">
        <f>INDEX('SRIM Data'!$Z$9:$Z$140,AD1676)</f>
        <v>#N/A</v>
      </c>
      <c r="AE1678" s="268" t="e">
        <f>INDEX('SRIM Data'!$AA$9:$AA$140,AD1676)</f>
        <v>#N/A</v>
      </c>
    </row>
    <row r="1679" spans="30:31" x14ac:dyDescent="0.2">
      <c r="AD1679" s="267" t="e">
        <f>(AD1678-AD1674)/(AD1678-AD1677)</f>
        <v>#N/A</v>
      </c>
      <c r="AE1679" s="268" t="e">
        <f>AE1678-AD1679*(AE1678-AE1677)</f>
        <v>#N/A</v>
      </c>
    </row>
    <row r="1680" spans="30:31" x14ac:dyDescent="0.2">
      <c r="AD1680" s="267"/>
      <c r="AE1680" s="268" t="e">
        <f>AE1679-AE1674</f>
        <v>#N/A</v>
      </c>
    </row>
    <row r="1681" spans="30:31" x14ac:dyDescent="0.2">
      <c r="AD1681" s="267"/>
      <c r="AE1681" s="268" t="e">
        <f>MATCH(AE1680,'SRIM Data'!$AA$9:$AA$140)</f>
        <v>#N/A</v>
      </c>
    </row>
    <row r="1682" spans="30:31" x14ac:dyDescent="0.2">
      <c r="AD1682" s="267"/>
      <c r="AE1682" s="268" t="e">
        <f>AE1681+1</f>
        <v>#N/A</v>
      </c>
    </row>
    <row r="1683" spans="30:31" x14ac:dyDescent="0.2">
      <c r="AD1683" s="269" t="e">
        <f>INDEX('SRIM Data'!$Z$9:$Z$140,AE1681)</f>
        <v>#N/A</v>
      </c>
      <c r="AE1683" s="268" t="e">
        <f>INDEX('SRIM Data'!$AA$9:$AA$140,AE1681)</f>
        <v>#N/A</v>
      </c>
    </row>
    <row r="1684" spans="30:31" x14ac:dyDescent="0.2">
      <c r="AD1684" s="269" t="e">
        <f>INDEX('SRIM Data'!$Z$9:$Z$140,AE1682)</f>
        <v>#N/A</v>
      </c>
      <c r="AE1684" s="268" t="e">
        <f>INDEX('SRIM Data'!$AA$9:$AA$140,AE1682)</f>
        <v>#N/A</v>
      </c>
    </row>
    <row r="1685" spans="30:31" x14ac:dyDescent="0.2">
      <c r="AD1685" s="270" t="e">
        <f>AD1684-AE1685*(AD1684-AD1683)</f>
        <v>#N/A</v>
      </c>
      <c r="AE1685" s="271" t="e">
        <f>(AE1684-AE1680)/(AE1684-AE1683)</f>
        <v>#N/A</v>
      </c>
    </row>
    <row r="1686" spans="30:31" x14ac:dyDescent="0.2">
      <c r="AD1686" s="272">
        <f>V1675</f>
        <v>0</v>
      </c>
      <c r="AE1686" s="273">
        <f>W1675</f>
        <v>0</v>
      </c>
    </row>
    <row r="1687" spans="30:31" x14ac:dyDescent="0.2">
      <c r="AD1687" s="267" t="e">
        <f>MATCH(AD1686,'SRIM Data'!$Z$9:$Z$140)</f>
        <v>#N/A</v>
      </c>
      <c r="AE1687" s="268"/>
    </row>
    <row r="1688" spans="30:31" x14ac:dyDescent="0.2">
      <c r="AD1688" s="267" t="e">
        <f>AD1687+1</f>
        <v>#N/A</v>
      </c>
      <c r="AE1688" s="268"/>
    </row>
    <row r="1689" spans="30:31" x14ac:dyDescent="0.2">
      <c r="AD1689" s="269" t="e">
        <f>INDEX('SRIM Data'!$Z$9:$Z$140,AD1687)</f>
        <v>#N/A</v>
      </c>
      <c r="AE1689" s="268" t="e">
        <f>INDEX('SRIM Data'!$AA$9:$AA$140,AD1687)</f>
        <v>#N/A</v>
      </c>
    </row>
    <row r="1690" spans="30:31" x14ac:dyDescent="0.2">
      <c r="AD1690" s="269" t="e">
        <f>INDEX('SRIM Data'!$Z$9:$Z$140,AD1688)</f>
        <v>#N/A</v>
      </c>
      <c r="AE1690" s="268" t="e">
        <f>INDEX('SRIM Data'!$AA$9:$AA$140,AD1688)</f>
        <v>#N/A</v>
      </c>
    </row>
    <row r="1691" spans="30:31" x14ac:dyDescent="0.2">
      <c r="AD1691" s="267" t="e">
        <f>(AD1690-AD1686)/(AD1690-AD1689)</f>
        <v>#N/A</v>
      </c>
      <c r="AE1691" s="268" t="e">
        <f>AE1690-AD1691*(AE1690-AE1689)</f>
        <v>#N/A</v>
      </c>
    </row>
    <row r="1692" spans="30:31" x14ac:dyDescent="0.2">
      <c r="AD1692" s="267"/>
      <c r="AE1692" s="268" t="e">
        <f>AE1691-AE1686</f>
        <v>#N/A</v>
      </c>
    </row>
    <row r="1693" spans="30:31" x14ac:dyDescent="0.2">
      <c r="AD1693" s="267"/>
      <c r="AE1693" s="268" t="e">
        <f>MATCH(AE1692,'SRIM Data'!$AA$9:$AA$140)</f>
        <v>#N/A</v>
      </c>
    </row>
    <row r="1694" spans="30:31" x14ac:dyDescent="0.2">
      <c r="AD1694" s="267"/>
      <c r="AE1694" s="268" t="e">
        <f>AE1693+1</f>
        <v>#N/A</v>
      </c>
    </row>
    <row r="1695" spans="30:31" x14ac:dyDescent="0.2">
      <c r="AD1695" s="269" t="e">
        <f>INDEX('SRIM Data'!$Z$9:$Z$140,AE1693)</f>
        <v>#N/A</v>
      </c>
      <c r="AE1695" s="268" t="e">
        <f>INDEX('SRIM Data'!$AA$9:$AA$140,AE1693)</f>
        <v>#N/A</v>
      </c>
    </row>
    <row r="1696" spans="30:31" x14ac:dyDescent="0.2">
      <c r="AD1696" s="269" t="e">
        <f>INDEX('SRIM Data'!$Z$9:$Z$140,AE1694)</f>
        <v>#N/A</v>
      </c>
      <c r="AE1696" s="268" t="e">
        <f>INDEX('SRIM Data'!$AA$9:$AA$140,AE1694)</f>
        <v>#N/A</v>
      </c>
    </row>
    <row r="1697" spans="30:31" x14ac:dyDescent="0.2">
      <c r="AD1697" s="270" t="e">
        <f>AD1696-AE1697*(AD1696-AD1695)</f>
        <v>#N/A</v>
      </c>
      <c r="AE1697" s="271" t="e">
        <f>(AE1696-AE1692)/(AE1696-AE1695)</f>
        <v>#N/A</v>
      </c>
    </row>
    <row r="1698" spans="30:31" x14ac:dyDescent="0.2">
      <c r="AD1698" s="272">
        <f>V1698</f>
        <v>0</v>
      </c>
      <c r="AE1698" s="273">
        <f>W1698</f>
        <v>0</v>
      </c>
    </row>
    <row r="1699" spans="30:31" x14ac:dyDescent="0.2">
      <c r="AD1699" s="267" t="e">
        <f>MATCH(AD1698,'SRIM Data'!$Z$9:$Z$140)</f>
        <v>#N/A</v>
      </c>
      <c r="AE1699" s="268"/>
    </row>
    <row r="1700" spans="30:31" x14ac:dyDescent="0.2">
      <c r="AD1700" s="267" t="e">
        <f>AD1699+1</f>
        <v>#N/A</v>
      </c>
      <c r="AE1700" s="268"/>
    </row>
    <row r="1701" spans="30:31" x14ac:dyDescent="0.2">
      <c r="AD1701" s="269" t="e">
        <f>INDEX('SRIM Data'!$Z$9:$Z$140,AD1699)</f>
        <v>#N/A</v>
      </c>
      <c r="AE1701" s="268" t="e">
        <f>INDEX('SRIM Data'!$AA$9:$AA$140,AD1699)</f>
        <v>#N/A</v>
      </c>
    </row>
    <row r="1702" spans="30:31" x14ac:dyDescent="0.2">
      <c r="AD1702" s="269" t="e">
        <f>INDEX('SRIM Data'!$Z$9:$Z$140,AD1700)</f>
        <v>#N/A</v>
      </c>
      <c r="AE1702" s="268" t="e">
        <f>INDEX('SRIM Data'!$AA$9:$AA$140,AD1700)</f>
        <v>#N/A</v>
      </c>
    </row>
    <row r="1703" spans="30:31" x14ac:dyDescent="0.2">
      <c r="AD1703" s="267" t="e">
        <f>(AD1702-AD1698)/(AD1702-AD1701)</f>
        <v>#N/A</v>
      </c>
      <c r="AE1703" s="268" t="e">
        <f>AE1702-AD1703*(AE1702-AE1701)</f>
        <v>#N/A</v>
      </c>
    </row>
    <row r="1704" spans="30:31" x14ac:dyDescent="0.2">
      <c r="AD1704" s="267"/>
      <c r="AE1704" s="268" t="e">
        <f>AE1703-AE1698</f>
        <v>#N/A</v>
      </c>
    </row>
    <row r="1705" spans="30:31" x14ac:dyDescent="0.2">
      <c r="AD1705" s="267"/>
      <c r="AE1705" s="268" t="e">
        <f>MATCH(AE1704,'SRIM Data'!$AA$9:$AA$140)</f>
        <v>#N/A</v>
      </c>
    </row>
    <row r="1706" spans="30:31" x14ac:dyDescent="0.2">
      <c r="AD1706" s="267"/>
      <c r="AE1706" s="268" t="e">
        <f>AE1705+1</f>
        <v>#N/A</v>
      </c>
    </row>
    <row r="1707" spans="30:31" x14ac:dyDescent="0.2">
      <c r="AD1707" s="269" t="e">
        <f>INDEX('SRIM Data'!$Z$9:$Z$140,AE1705)</f>
        <v>#N/A</v>
      </c>
      <c r="AE1707" s="268" t="e">
        <f>INDEX('SRIM Data'!$AA$9:$AA$140,AE1705)</f>
        <v>#N/A</v>
      </c>
    </row>
    <row r="1708" spans="30:31" x14ac:dyDescent="0.2">
      <c r="AD1708" s="269" t="e">
        <f>INDEX('SRIM Data'!$Z$9:$Z$140,AE1706)</f>
        <v>#N/A</v>
      </c>
      <c r="AE1708" s="268" t="e">
        <f>INDEX('SRIM Data'!$AA$9:$AA$140,AE1706)</f>
        <v>#N/A</v>
      </c>
    </row>
    <row r="1709" spans="30:31" x14ac:dyDescent="0.2">
      <c r="AD1709" s="270" t="e">
        <f>AD1708-AE1709*(AD1708-AD1707)</f>
        <v>#N/A</v>
      </c>
      <c r="AE1709" s="271" t="e">
        <f>(AE1708-AE1704)/(AE1708-AE1707)</f>
        <v>#N/A</v>
      </c>
    </row>
    <row r="1710" spans="30:31" x14ac:dyDescent="0.2">
      <c r="AD1710" s="272">
        <f>V1699</f>
        <v>0</v>
      </c>
      <c r="AE1710" s="273">
        <f>W1699</f>
        <v>0</v>
      </c>
    </row>
    <row r="1711" spans="30:31" x14ac:dyDescent="0.2">
      <c r="AD1711" s="267" t="e">
        <f>MATCH(AD1710,'SRIM Data'!$Z$9:$Z$140)</f>
        <v>#N/A</v>
      </c>
      <c r="AE1711" s="268"/>
    </row>
    <row r="1712" spans="30:31" x14ac:dyDescent="0.2">
      <c r="AD1712" s="267" t="e">
        <f>AD1711+1</f>
        <v>#N/A</v>
      </c>
      <c r="AE1712" s="268"/>
    </row>
    <row r="1713" spans="30:31" x14ac:dyDescent="0.2">
      <c r="AD1713" s="269" t="e">
        <f>INDEX('SRIM Data'!$Z$9:$Z$140,AD1711)</f>
        <v>#N/A</v>
      </c>
      <c r="AE1713" s="268" t="e">
        <f>INDEX('SRIM Data'!$AA$9:$AA$140,AD1711)</f>
        <v>#N/A</v>
      </c>
    </row>
    <row r="1714" spans="30:31" x14ac:dyDescent="0.2">
      <c r="AD1714" s="269" t="e">
        <f>INDEX('SRIM Data'!$Z$9:$Z$140,AD1712)</f>
        <v>#N/A</v>
      </c>
      <c r="AE1714" s="268" t="e">
        <f>INDEX('SRIM Data'!$AA$9:$AA$140,AD1712)</f>
        <v>#N/A</v>
      </c>
    </row>
    <row r="1715" spans="30:31" x14ac:dyDescent="0.2">
      <c r="AD1715" s="267" t="e">
        <f>(AD1714-AD1710)/(AD1714-AD1713)</f>
        <v>#N/A</v>
      </c>
      <c r="AE1715" s="268" t="e">
        <f>AE1714-AD1715*(AE1714-AE1713)</f>
        <v>#N/A</v>
      </c>
    </row>
    <row r="1716" spans="30:31" x14ac:dyDescent="0.2">
      <c r="AD1716" s="267"/>
      <c r="AE1716" s="268" t="e">
        <f>AE1715-AE1710</f>
        <v>#N/A</v>
      </c>
    </row>
    <row r="1717" spans="30:31" x14ac:dyDescent="0.2">
      <c r="AD1717" s="267"/>
      <c r="AE1717" s="268" t="e">
        <f>MATCH(AE1716,'SRIM Data'!$AA$9:$AA$140)</f>
        <v>#N/A</v>
      </c>
    </row>
    <row r="1718" spans="30:31" x14ac:dyDescent="0.2">
      <c r="AD1718" s="267"/>
      <c r="AE1718" s="268" t="e">
        <f>AE1717+1</f>
        <v>#N/A</v>
      </c>
    </row>
    <row r="1719" spans="30:31" x14ac:dyDescent="0.2">
      <c r="AD1719" s="269" t="e">
        <f>INDEX('SRIM Data'!$Z$9:$Z$140,AE1717)</f>
        <v>#N/A</v>
      </c>
      <c r="AE1719" s="268" t="e">
        <f>INDEX('SRIM Data'!$AA$9:$AA$140,AE1717)</f>
        <v>#N/A</v>
      </c>
    </row>
    <row r="1720" spans="30:31" x14ac:dyDescent="0.2">
      <c r="AD1720" s="269" t="e">
        <f>INDEX('SRIM Data'!$Z$9:$Z$140,AE1718)</f>
        <v>#N/A</v>
      </c>
      <c r="AE1720" s="268" t="e">
        <f>INDEX('SRIM Data'!$AA$9:$AA$140,AE1718)</f>
        <v>#N/A</v>
      </c>
    </row>
    <row r="1721" spans="30:31" x14ac:dyDescent="0.2">
      <c r="AD1721" s="270" t="e">
        <f>AD1720-AE1721*(AD1720-AD1719)</f>
        <v>#N/A</v>
      </c>
      <c r="AE1721" s="271" t="e">
        <f>(AE1720-AE1716)/(AE1720-AE1719)</f>
        <v>#N/A</v>
      </c>
    </row>
    <row r="1722" spans="30:31" x14ac:dyDescent="0.2">
      <c r="AD1722" s="272">
        <f>V1722</f>
        <v>0</v>
      </c>
      <c r="AE1722" s="273">
        <f>W1722</f>
        <v>0</v>
      </c>
    </row>
    <row r="1723" spans="30:31" x14ac:dyDescent="0.2">
      <c r="AD1723" s="267" t="e">
        <f>MATCH(AD1722,'SRIM Data'!$Z$9:$Z$140)</f>
        <v>#N/A</v>
      </c>
      <c r="AE1723" s="268"/>
    </row>
    <row r="1724" spans="30:31" x14ac:dyDescent="0.2">
      <c r="AD1724" s="267" t="e">
        <f>AD1723+1</f>
        <v>#N/A</v>
      </c>
      <c r="AE1724" s="268"/>
    </row>
    <row r="1725" spans="30:31" x14ac:dyDescent="0.2">
      <c r="AD1725" s="269" t="e">
        <f>INDEX('SRIM Data'!$Z$9:$Z$140,AD1723)</f>
        <v>#N/A</v>
      </c>
      <c r="AE1725" s="268" t="e">
        <f>INDEX('SRIM Data'!$AA$9:$AA$140,AD1723)</f>
        <v>#N/A</v>
      </c>
    </row>
    <row r="1726" spans="30:31" x14ac:dyDescent="0.2">
      <c r="AD1726" s="269" t="e">
        <f>INDEX('SRIM Data'!$Z$9:$Z$140,AD1724)</f>
        <v>#N/A</v>
      </c>
      <c r="AE1726" s="268" t="e">
        <f>INDEX('SRIM Data'!$AA$9:$AA$140,AD1724)</f>
        <v>#N/A</v>
      </c>
    </row>
    <row r="1727" spans="30:31" x14ac:dyDescent="0.2">
      <c r="AD1727" s="267" t="e">
        <f>(AD1726-AD1722)/(AD1726-AD1725)</f>
        <v>#N/A</v>
      </c>
      <c r="AE1727" s="268" t="e">
        <f>AE1726-AD1727*(AE1726-AE1725)</f>
        <v>#N/A</v>
      </c>
    </row>
    <row r="1728" spans="30:31" x14ac:dyDescent="0.2">
      <c r="AD1728" s="267"/>
      <c r="AE1728" s="268" t="e">
        <f>AE1727-AE1722</f>
        <v>#N/A</v>
      </c>
    </row>
    <row r="1729" spans="30:31" x14ac:dyDescent="0.2">
      <c r="AD1729" s="267"/>
      <c r="AE1729" s="268" t="e">
        <f>MATCH(AE1728,'SRIM Data'!$AA$9:$AA$140)</f>
        <v>#N/A</v>
      </c>
    </row>
    <row r="1730" spans="30:31" x14ac:dyDescent="0.2">
      <c r="AD1730" s="267"/>
      <c r="AE1730" s="268" t="e">
        <f>AE1729+1</f>
        <v>#N/A</v>
      </c>
    </row>
    <row r="1731" spans="30:31" x14ac:dyDescent="0.2">
      <c r="AD1731" s="269" t="e">
        <f>INDEX('SRIM Data'!$Z$9:$Z$140,AE1729)</f>
        <v>#N/A</v>
      </c>
      <c r="AE1731" s="268" t="e">
        <f>INDEX('SRIM Data'!$AA$9:$AA$140,AE1729)</f>
        <v>#N/A</v>
      </c>
    </row>
    <row r="1732" spans="30:31" x14ac:dyDescent="0.2">
      <c r="AD1732" s="269" t="e">
        <f>INDEX('SRIM Data'!$Z$9:$Z$140,AE1730)</f>
        <v>#N/A</v>
      </c>
      <c r="AE1732" s="268" t="e">
        <f>INDEX('SRIM Data'!$AA$9:$AA$140,AE1730)</f>
        <v>#N/A</v>
      </c>
    </row>
    <row r="1733" spans="30:31" x14ac:dyDescent="0.2">
      <c r="AD1733" s="270" t="e">
        <f>AD1732-AE1733*(AD1732-AD1731)</f>
        <v>#N/A</v>
      </c>
      <c r="AE1733" s="271" t="e">
        <f>(AE1732-AE1728)/(AE1732-AE1731)</f>
        <v>#N/A</v>
      </c>
    </row>
    <row r="1734" spans="30:31" x14ac:dyDescent="0.2">
      <c r="AD1734" s="272">
        <f>V1723</f>
        <v>0</v>
      </c>
      <c r="AE1734" s="273">
        <f>W1723</f>
        <v>0</v>
      </c>
    </row>
    <row r="1735" spans="30:31" x14ac:dyDescent="0.2">
      <c r="AD1735" s="267" t="e">
        <f>MATCH(AD1734,'SRIM Data'!$Z$9:$Z$140)</f>
        <v>#N/A</v>
      </c>
      <c r="AE1735" s="268"/>
    </row>
    <row r="1736" spans="30:31" x14ac:dyDescent="0.2">
      <c r="AD1736" s="267" t="e">
        <f>AD1735+1</f>
        <v>#N/A</v>
      </c>
      <c r="AE1736" s="268"/>
    </row>
    <row r="1737" spans="30:31" x14ac:dyDescent="0.2">
      <c r="AD1737" s="269" t="e">
        <f>INDEX('SRIM Data'!$Z$9:$Z$140,AD1735)</f>
        <v>#N/A</v>
      </c>
      <c r="AE1737" s="268" t="e">
        <f>INDEX('SRIM Data'!$AA$9:$AA$140,AD1735)</f>
        <v>#N/A</v>
      </c>
    </row>
    <row r="1738" spans="30:31" x14ac:dyDescent="0.2">
      <c r="AD1738" s="269" t="e">
        <f>INDEX('SRIM Data'!$Z$9:$Z$140,AD1736)</f>
        <v>#N/A</v>
      </c>
      <c r="AE1738" s="268" t="e">
        <f>INDEX('SRIM Data'!$AA$9:$AA$140,AD1736)</f>
        <v>#N/A</v>
      </c>
    </row>
    <row r="1739" spans="30:31" x14ac:dyDescent="0.2">
      <c r="AD1739" s="267" t="e">
        <f>(AD1738-AD1734)/(AD1738-AD1737)</f>
        <v>#N/A</v>
      </c>
      <c r="AE1739" s="268" t="e">
        <f>AE1738-AD1739*(AE1738-AE1737)</f>
        <v>#N/A</v>
      </c>
    </row>
    <row r="1740" spans="30:31" x14ac:dyDescent="0.2">
      <c r="AD1740" s="267"/>
      <c r="AE1740" s="268" t="e">
        <f>AE1739-AE1734</f>
        <v>#N/A</v>
      </c>
    </row>
    <row r="1741" spans="30:31" x14ac:dyDescent="0.2">
      <c r="AD1741" s="267"/>
      <c r="AE1741" s="268" t="e">
        <f>MATCH(AE1740,'SRIM Data'!$AA$9:$AA$140)</f>
        <v>#N/A</v>
      </c>
    </row>
    <row r="1742" spans="30:31" x14ac:dyDescent="0.2">
      <c r="AD1742" s="267"/>
      <c r="AE1742" s="268" t="e">
        <f>AE1741+1</f>
        <v>#N/A</v>
      </c>
    </row>
    <row r="1743" spans="30:31" x14ac:dyDescent="0.2">
      <c r="AD1743" s="269" t="e">
        <f>INDEX('SRIM Data'!$Z$9:$Z$140,AE1741)</f>
        <v>#N/A</v>
      </c>
      <c r="AE1743" s="268" t="e">
        <f>INDEX('SRIM Data'!$AA$9:$AA$140,AE1741)</f>
        <v>#N/A</v>
      </c>
    </row>
    <row r="1744" spans="30:31" x14ac:dyDescent="0.2">
      <c r="AD1744" s="269" t="e">
        <f>INDEX('SRIM Data'!$Z$9:$Z$140,AE1742)</f>
        <v>#N/A</v>
      </c>
      <c r="AE1744" s="268" t="e">
        <f>INDEX('SRIM Data'!$AA$9:$AA$140,AE1742)</f>
        <v>#N/A</v>
      </c>
    </row>
    <row r="1745" spans="30:31" x14ac:dyDescent="0.2">
      <c r="AD1745" s="270" t="e">
        <f>AD1744-AE1745*(AD1744-AD1743)</f>
        <v>#N/A</v>
      </c>
      <c r="AE1745" s="271" t="e">
        <f>(AE1744-AE1740)/(AE1744-AE1743)</f>
        <v>#N/A</v>
      </c>
    </row>
    <row r="1746" spans="30:31" x14ac:dyDescent="0.2">
      <c r="AD1746" s="272">
        <f>V1746</f>
        <v>0</v>
      </c>
      <c r="AE1746" s="273">
        <f>W1746</f>
        <v>0</v>
      </c>
    </row>
    <row r="1747" spans="30:31" x14ac:dyDescent="0.2">
      <c r="AD1747" s="267" t="e">
        <f>MATCH(AD1746,'SRIM Data'!$Z$9:$Z$140)</f>
        <v>#N/A</v>
      </c>
      <c r="AE1747" s="268"/>
    </row>
    <row r="1748" spans="30:31" x14ac:dyDescent="0.2">
      <c r="AD1748" s="267" t="e">
        <f>AD1747+1</f>
        <v>#N/A</v>
      </c>
      <c r="AE1748" s="268"/>
    </row>
    <row r="1749" spans="30:31" x14ac:dyDescent="0.2">
      <c r="AD1749" s="269" t="e">
        <f>INDEX('SRIM Data'!$Z$9:$Z$140,AD1747)</f>
        <v>#N/A</v>
      </c>
      <c r="AE1749" s="268" t="e">
        <f>INDEX('SRIM Data'!$AA$9:$AA$140,AD1747)</f>
        <v>#N/A</v>
      </c>
    </row>
    <row r="1750" spans="30:31" x14ac:dyDescent="0.2">
      <c r="AD1750" s="269" t="e">
        <f>INDEX('SRIM Data'!$Z$9:$Z$140,AD1748)</f>
        <v>#N/A</v>
      </c>
      <c r="AE1750" s="268" t="e">
        <f>INDEX('SRIM Data'!$AA$9:$AA$140,AD1748)</f>
        <v>#N/A</v>
      </c>
    </row>
    <row r="1751" spans="30:31" x14ac:dyDescent="0.2">
      <c r="AD1751" s="267" t="e">
        <f>(AD1750-AD1746)/(AD1750-AD1749)</f>
        <v>#N/A</v>
      </c>
      <c r="AE1751" s="268" t="e">
        <f>AE1750-AD1751*(AE1750-AE1749)</f>
        <v>#N/A</v>
      </c>
    </row>
    <row r="1752" spans="30:31" x14ac:dyDescent="0.2">
      <c r="AD1752" s="267"/>
      <c r="AE1752" s="268" t="e">
        <f>AE1751-AE1746</f>
        <v>#N/A</v>
      </c>
    </row>
    <row r="1753" spans="30:31" x14ac:dyDescent="0.2">
      <c r="AD1753" s="267"/>
      <c r="AE1753" s="268" t="e">
        <f>MATCH(AE1752,'SRIM Data'!$AA$9:$AA$140)</f>
        <v>#N/A</v>
      </c>
    </row>
    <row r="1754" spans="30:31" x14ac:dyDescent="0.2">
      <c r="AD1754" s="267"/>
      <c r="AE1754" s="268" t="e">
        <f>AE1753+1</f>
        <v>#N/A</v>
      </c>
    </row>
    <row r="1755" spans="30:31" x14ac:dyDescent="0.2">
      <c r="AD1755" s="269" t="e">
        <f>INDEX('SRIM Data'!$Z$9:$Z$140,AE1753)</f>
        <v>#N/A</v>
      </c>
      <c r="AE1755" s="268" t="e">
        <f>INDEX('SRIM Data'!$AA$9:$AA$140,AE1753)</f>
        <v>#N/A</v>
      </c>
    </row>
    <row r="1756" spans="30:31" x14ac:dyDescent="0.2">
      <c r="AD1756" s="269" t="e">
        <f>INDEX('SRIM Data'!$Z$9:$Z$140,AE1754)</f>
        <v>#N/A</v>
      </c>
      <c r="AE1756" s="268" t="e">
        <f>INDEX('SRIM Data'!$AA$9:$AA$140,AE1754)</f>
        <v>#N/A</v>
      </c>
    </row>
    <row r="1757" spans="30:31" x14ac:dyDescent="0.2">
      <c r="AD1757" s="270" t="e">
        <f>AD1756-AE1757*(AD1756-AD1755)</f>
        <v>#N/A</v>
      </c>
      <c r="AE1757" s="271" t="e">
        <f>(AE1756-AE1752)/(AE1756-AE1755)</f>
        <v>#N/A</v>
      </c>
    </row>
    <row r="1758" spans="30:31" x14ac:dyDescent="0.2">
      <c r="AD1758" s="272">
        <f>V1747</f>
        <v>0</v>
      </c>
      <c r="AE1758" s="273">
        <f>W1747</f>
        <v>0</v>
      </c>
    </row>
    <row r="1759" spans="30:31" x14ac:dyDescent="0.2">
      <c r="AD1759" s="267" t="e">
        <f>MATCH(AD1758,'SRIM Data'!$Z$9:$Z$140)</f>
        <v>#N/A</v>
      </c>
      <c r="AE1759" s="268"/>
    </row>
    <row r="1760" spans="30:31" x14ac:dyDescent="0.2">
      <c r="AD1760" s="267" t="e">
        <f>AD1759+1</f>
        <v>#N/A</v>
      </c>
      <c r="AE1760" s="268"/>
    </row>
    <row r="1761" spans="30:31" x14ac:dyDescent="0.2">
      <c r="AD1761" s="269" t="e">
        <f>INDEX('SRIM Data'!$Z$9:$Z$140,AD1759)</f>
        <v>#N/A</v>
      </c>
      <c r="AE1761" s="268" t="e">
        <f>INDEX('SRIM Data'!$AA$9:$AA$140,AD1759)</f>
        <v>#N/A</v>
      </c>
    </row>
    <row r="1762" spans="30:31" x14ac:dyDescent="0.2">
      <c r="AD1762" s="269" t="e">
        <f>INDEX('SRIM Data'!$Z$9:$Z$140,AD1760)</f>
        <v>#N/A</v>
      </c>
      <c r="AE1762" s="268" t="e">
        <f>INDEX('SRIM Data'!$AA$9:$AA$140,AD1760)</f>
        <v>#N/A</v>
      </c>
    </row>
    <row r="1763" spans="30:31" x14ac:dyDescent="0.2">
      <c r="AD1763" s="267" t="e">
        <f>(AD1762-AD1758)/(AD1762-AD1761)</f>
        <v>#N/A</v>
      </c>
      <c r="AE1763" s="268" t="e">
        <f>AE1762-AD1763*(AE1762-AE1761)</f>
        <v>#N/A</v>
      </c>
    </row>
    <row r="1764" spans="30:31" x14ac:dyDescent="0.2">
      <c r="AD1764" s="267"/>
      <c r="AE1764" s="268" t="e">
        <f>AE1763-AE1758</f>
        <v>#N/A</v>
      </c>
    </row>
    <row r="1765" spans="30:31" x14ac:dyDescent="0.2">
      <c r="AD1765" s="267"/>
      <c r="AE1765" s="268" t="e">
        <f>MATCH(AE1764,'SRIM Data'!$AA$9:$AA$140)</f>
        <v>#N/A</v>
      </c>
    </row>
    <row r="1766" spans="30:31" x14ac:dyDescent="0.2">
      <c r="AD1766" s="267"/>
      <c r="AE1766" s="268" t="e">
        <f>AE1765+1</f>
        <v>#N/A</v>
      </c>
    </row>
    <row r="1767" spans="30:31" x14ac:dyDescent="0.2">
      <c r="AD1767" s="269" t="e">
        <f>INDEX('SRIM Data'!$Z$9:$Z$140,AE1765)</f>
        <v>#N/A</v>
      </c>
      <c r="AE1767" s="268" t="e">
        <f>INDEX('SRIM Data'!$AA$9:$AA$140,AE1765)</f>
        <v>#N/A</v>
      </c>
    </row>
    <row r="1768" spans="30:31" x14ac:dyDescent="0.2">
      <c r="AD1768" s="269" t="e">
        <f>INDEX('SRIM Data'!$Z$9:$Z$140,AE1766)</f>
        <v>#N/A</v>
      </c>
      <c r="AE1768" s="268" t="e">
        <f>INDEX('SRIM Data'!$AA$9:$AA$140,AE1766)</f>
        <v>#N/A</v>
      </c>
    </row>
    <row r="1769" spans="30:31" x14ac:dyDescent="0.2">
      <c r="AD1769" s="270" t="e">
        <f>AD1768-AE1769*(AD1768-AD1767)</f>
        <v>#N/A</v>
      </c>
      <c r="AE1769" s="271" t="e">
        <f>(AE1768-AE1764)/(AE1768-AE1767)</f>
        <v>#N/A</v>
      </c>
    </row>
    <row r="1770" spans="30:31" x14ac:dyDescent="0.2">
      <c r="AD1770" s="272">
        <f>V1770</f>
        <v>0</v>
      </c>
      <c r="AE1770" s="273">
        <f>W1770</f>
        <v>0</v>
      </c>
    </row>
    <row r="1771" spans="30:31" x14ac:dyDescent="0.2">
      <c r="AD1771" s="267" t="e">
        <f>MATCH(AD1770,'SRIM Data'!$Z$9:$Z$140)</f>
        <v>#N/A</v>
      </c>
      <c r="AE1771" s="268"/>
    </row>
    <row r="1772" spans="30:31" x14ac:dyDescent="0.2">
      <c r="AD1772" s="267" t="e">
        <f>AD1771+1</f>
        <v>#N/A</v>
      </c>
      <c r="AE1772" s="268"/>
    </row>
    <row r="1773" spans="30:31" x14ac:dyDescent="0.2">
      <c r="AD1773" s="269" t="e">
        <f>INDEX('SRIM Data'!$Z$9:$Z$140,AD1771)</f>
        <v>#N/A</v>
      </c>
      <c r="AE1773" s="268" t="e">
        <f>INDEX('SRIM Data'!$AA$9:$AA$140,AD1771)</f>
        <v>#N/A</v>
      </c>
    </row>
    <row r="1774" spans="30:31" x14ac:dyDescent="0.2">
      <c r="AD1774" s="269" t="e">
        <f>INDEX('SRIM Data'!$Z$9:$Z$140,AD1772)</f>
        <v>#N/A</v>
      </c>
      <c r="AE1774" s="268" t="e">
        <f>INDEX('SRIM Data'!$AA$9:$AA$140,AD1772)</f>
        <v>#N/A</v>
      </c>
    </row>
    <row r="1775" spans="30:31" x14ac:dyDescent="0.2">
      <c r="AD1775" s="267" t="e">
        <f>(AD1774-AD1770)/(AD1774-AD1773)</f>
        <v>#N/A</v>
      </c>
      <c r="AE1775" s="268" t="e">
        <f>AE1774-AD1775*(AE1774-AE1773)</f>
        <v>#N/A</v>
      </c>
    </row>
    <row r="1776" spans="30:31" x14ac:dyDescent="0.2">
      <c r="AD1776" s="267"/>
      <c r="AE1776" s="268" t="e">
        <f>AE1775-AE1770</f>
        <v>#N/A</v>
      </c>
    </row>
    <row r="1777" spans="30:31" x14ac:dyDescent="0.2">
      <c r="AD1777" s="267"/>
      <c r="AE1777" s="268" t="e">
        <f>MATCH(AE1776,'SRIM Data'!$AA$9:$AA$140)</f>
        <v>#N/A</v>
      </c>
    </row>
    <row r="1778" spans="30:31" x14ac:dyDescent="0.2">
      <c r="AD1778" s="267"/>
      <c r="AE1778" s="268" t="e">
        <f>AE1777+1</f>
        <v>#N/A</v>
      </c>
    </row>
    <row r="1779" spans="30:31" x14ac:dyDescent="0.2">
      <c r="AD1779" s="269" t="e">
        <f>INDEX('SRIM Data'!$Z$9:$Z$140,AE1777)</f>
        <v>#N/A</v>
      </c>
      <c r="AE1779" s="268" t="e">
        <f>INDEX('SRIM Data'!$AA$9:$AA$140,AE1777)</f>
        <v>#N/A</v>
      </c>
    </row>
    <row r="1780" spans="30:31" x14ac:dyDescent="0.2">
      <c r="AD1780" s="269" t="e">
        <f>INDEX('SRIM Data'!$Z$9:$Z$140,AE1778)</f>
        <v>#N/A</v>
      </c>
      <c r="AE1780" s="268" t="e">
        <f>INDEX('SRIM Data'!$AA$9:$AA$140,AE1778)</f>
        <v>#N/A</v>
      </c>
    </row>
    <row r="1781" spans="30:31" x14ac:dyDescent="0.2">
      <c r="AD1781" s="270" t="e">
        <f>AD1780-AE1781*(AD1780-AD1779)</f>
        <v>#N/A</v>
      </c>
      <c r="AE1781" s="271" t="e">
        <f>(AE1780-AE1776)/(AE1780-AE1779)</f>
        <v>#N/A</v>
      </c>
    </row>
    <row r="1782" spans="30:31" x14ac:dyDescent="0.2">
      <c r="AD1782" s="272">
        <f>V1771</f>
        <v>0</v>
      </c>
      <c r="AE1782" s="273">
        <f>W1771</f>
        <v>0</v>
      </c>
    </row>
    <row r="1783" spans="30:31" x14ac:dyDescent="0.2">
      <c r="AD1783" s="267" t="e">
        <f>MATCH(AD1782,'SRIM Data'!$Z$9:$Z$140)</f>
        <v>#N/A</v>
      </c>
      <c r="AE1783" s="268"/>
    </row>
    <row r="1784" spans="30:31" x14ac:dyDescent="0.2">
      <c r="AD1784" s="267" t="e">
        <f>AD1783+1</f>
        <v>#N/A</v>
      </c>
      <c r="AE1784" s="268"/>
    </row>
    <row r="1785" spans="30:31" x14ac:dyDescent="0.2">
      <c r="AD1785" s="269" t="e">
        <f>INDEX('SRIM Data'!$Z$9:$Z$140,AD1783)</f>
        <v>#N/A</v>
      </c>
      <c r="AE1785" s="268" t="e">
        <f>INDEX('SRIM Data'!$AA$9:$AA$140,AD1783)</f>
        <v>#N/A</v>
      </c>
    </row>
    <row r="1786" spans="30:31" x14ac:dyDescent="0.2">
      <c r="AD1786" s="269" t="e">
        <f>INDEX('SRIM Data'!$Z$9:$Z$140,AD1784)</f>
        <v>#N/A</v>
      </c>
      <c r="AE1786" s="268" t="e">
        <f>INDEX('SRIM Data'!$AA$9:$AA$140,AD1784)</f>
        <v>#N/A</v>
      </c>
    </row>
    <row r="1787" spans="30:31" x14ac:dyDescent="0.2">
      <c r="AD1787" s="267" t="e">
        <f>(AD1786-AD1782)/(AD1786-AD1785)</f>
        <v>#N/A</v>
      </c>
      <c r="AE1787" s="268" t="e">
        <f>AE1786-AD1787*(AE1786-AE1785)</f>
        <v>#N/A</v>
      </c>
    </row>
    <row r="1788" spans="30:31" x14ac:dyDescent="0.2">
      <c r="AD1788" s="267"/>
      <c r="AE1788" s="268" t="e">
        <f>AE1787-AE1782</f>
        <v>#N/A</v>
      </c>
    </row>
    <row r="1789" spans="30:31" x14ac:dyDescent="0.2">
      <c r="AD1789" s="267"/>
      <c r="AE1789" s="268" t="e">
        <f>MATCH(AE1788,'SRIM Data'!$AA$9:$AA$140)</f>
        <v>#N/A</v>
      </c>
    </row>
    <row r="1790" spans="30:31" x14ac:dyDescent="0.2">
      <c r="AD1790" s="267"/>
      <c r="AE1790" s="268" t="e">
        <f>AE1789+1</f>
        <v>#N/A</v>
      </c>
    </row>
    <row r="1791" spans="30:31" x14ac:dyDescent="0.2">
      <c r="AD1791" s="269" t="e">
        <f>INDEX('SRIM Data'!$Z$9:$Z$140,AE1789)</f>
        <v>#N/A</v>
      </c>
      <c r="AE1791" s="268" t="e">
        <f>INDEX('SRIM Data'!$AA$9:$AA$140,AE1789)</f>
        <v>#N/A</v>
      </c>
    </row>
    <row r="1792" spans="30:31" x14ac:dyDescent="0.2">
      <c r="AD1792" s="269" t="e">
        <f>INDEX('SRIM Data'!$Z$9:$Z$140,AE1790)</f>
        <v>#N/A</v>
      </c>
      <c r="AE1792" s="268" t="e">
        <f>INDEX('SRIM Data'!$AA$9:$AA$140,AE1790)</f>
        <v>#N/A</v>
      </c>
    </row>
    <row r="1793" spans="30:31" x14ac:dyDescent="0.2">
      <c r="AD1793" s="270" t="e">
        <f>AD1792-AE1793*(AD1792-AD1791)</f>
        <v>#N/A</v>
      </c>
      <c r="AE1793" s="271" t="e">
        <f>(AE1792-AE1788)/(AE1792-AE1791)</f>
        <v>#N/A</v>
      </c>
    </row>
    <row r="1794" spans="30:31" x14ac:dyDescent="0.2">
      <c r="AD1794" s="272">
        <f>V1794</f>
        <v>0</v>
      </c>
      <c r="AE1794" s="273">
        <f>W1794</f>
        <v>0</v>
      </c>
    </row>
    <row r="1795" spans="30:31" x14ac:dyDescent="0.2">
      <c r="AD1795" s="267" t="e">
        <f>MATCH(AD1794,'SRIM Data'!$Z$9:$Z$140)</f>
        <v>#N/A</v>
      </c>
      <c r="AE1795" s="268"/>
    </row>
    <row r="1796" spans="30:31" x14ac:dyDescent="0.2">
      <c r="AD1796" s="267" t="e">
        <f>AD1795+1</f>
        <v>#N/A</v>
      </c>
      <c r="AE1796" s="268"/>
    </row>
    <row r="1797" spans="30:31" x14ac:dyDescent="0.2">
      <c r="AD1797" s="269" t="e">
        <f>INDEX('SRIM Data'!$Z$9:$Z$140,AD1795)</f>
        <v>#N/A</v>
      </c>
      <c r="AE1797" s="268" t="e">
        <f>INDEX('SRIM Data'!$AA$9:$AA$140,AD1795)</f>
        <v>#N/A</v>
      </c>
    </row>
    <row r="1798" spans="30:31" x14ac:dyDescent="0.2">
      <c r="AD1798" s="269" t="e">
        <f>INDEX('SRIM Data'!$Z$9:$Z$140,AD1796)</f>
        <v>#N/A</v>
      </c>
      <c r="AE1798" s="268" t="e">
        <f>INDEX('SRIM Data'!$AA$9:$AA$140,AD1796)</f>
        <v>#N/A</v>
      </c>
    </row>
    <row r="1799" spans="30:31" x14ac:dyDescent="0.2">
      <c r="AD1799" s="267" t="e">
        <f>(AD1798-AD1794)/(AD1798-AD1797)</f>
        <v>#N/A</v>
      </c>
      <c r="AE1799" s="268" t="e">
        <f>AE1798-AD1799*(AE1798-AE1797)</f>
        <v>#N/A</v>
      </c>
    </row>
    <row r="1800" spans="30:31" x14ac:dyDescent="0.2">
      <c r="AD1800" s="267"/>
      <c r="AE1800" s="268" t="e">
        <f>AE1799-AE1794</f>
        <v>#N/A</v>
      </c>
    </row>
    <row r="1801" spans="30:31" x14ac:dyDescent="0.2">
      <c r="AD1801" s="267"/>
      <c r="AE1801" s="268" t="e">
        <f>MATCH(AE1800,'SRIM Data'!$AA$9:$AA$140)</f>
        <v>#N/A</v>
      </c>
    </row>
    <row r="1802" spans="30:31" x14ac:dyDescent="0.2">
      <c r="AD1802" s="267"/>
      <c r="AE1802" s="268" t="e">
        <f>AE1801+1</f>
        <v>#N/A</v>
      </c>
    </row>
    <row r="1803" spans="30:31" x14ac:dyDescent="0.2">
      <c r="AD1803" s="269" t="e">
        <f>INDEX('SRIM Data'!$Z$9:$Z$140,AE1801)</f>
        <v>#N/A</v>
      </c>
      <c r="AE1803" s="268" t="e">
        <f>INDEX('SRIM Data'!$AA$9:$AA$140,AE1801)</f>
        <v>#N/A</v>
      </c>
    </row>
    <row r="1804" spans="30:31" x14ac:dyDescent="0.2">
      <c r="AD1804" s="269" t="e">
        <f>INDEX('SRIM Data'!$Z$9:$Z$140,AE1802)</f>
        <v>#N/A</v>
      </c>
      <c r="AE1804" s="268" t="e">
        <f>INDEX('SRIM Data'!$AA$9:$AA$140,AE1802)</f>
        <v>#N/A</v>
      </c>
    </row>
    <row r="1805" spans="30:31" x14ac:dyDescent="0.2">
      <c r="AD1805" s="270" t="e">
        <f>AD1804-AE1805*(AD1804-AD1803)</f>
        <v>#N/A</v>
      </c>
      <c r="AE1805" s="271" t="e">
        <f>(AE1804-AE1800)/(AE1804-AE1803)</f>
        <v>#N/A</v>
      </c>
    </row>
    <row r="1806" spans="30:31" x14ac:dyDescent="0.2">
      <c r="AD1806" s="272">
        <f>V1795</f>
        <v>0</v>
      </c>
      <c r="AE1806" s="273">
        <f>W1795</f>
        <v>0</v>
      </c>
    </row>
    <row r="1807" spans="30:31" x14ac:dyDescent="0.2">
      <c r="AD1807" s="267" t="e">
        <f>MATCH(AD1806,'SRIM Data'!$Z$9:$Z$140)</f>
        <v>#N/A</v>
      </c>
      <c r="AE1807" s="268"/>
    </row>
    <row r="1808" spans="30:31" x14ac:dyDescent="0.2">
      <c r="AD1808" s="267" t="e">
        <f>AD1807+1</f>
        <v>#N/A</v>
      </c>
      <c r="AE1808" s="268"/>
    </row>
    <row r="1809" spans="30:31" x14ac:dyDescent="0.2">
      <c r="AD1809" s="269" t="e">
        <f>INDEX('SRIM Data'!$Z$9:$Z$140,AD1807)</f>
        <v>#N/A</v>
      </c>
      <c r="AE1809" s="268" t="e">
        <f>INDEX('SRIM Data'!$AA$9:$AA$140,AD1807)</f>
        <v>#N/A</v>
      </c>
    </row>
    <row r="1810" spans="30:31" x14ac:dyDescent="0.2">
      <c r="AD1810" s="269" t="e">
        <f>INDEX('SRIM Data'!$Z$9:$Z$140,AD1808)</f>
        <v>#N/A</v>
      </c>
      <c r="AE1810" s="268" t="e">
        <f>INDEX('SRIM Data'!$AA$9:$AA$140,AD1808)</f>
        <v>#N/A</v>
      </c>
    </row>
    <row r="1811" spans="30:31" x14ac:dyDescent="0.2">
      <c r="AD1811" s="267" t="e">
        <f>(AD1810-AD1806)/(AD1810-AD1809)</f>
        <v>#N/A</v>
      </c>
      <c r="AE1811" s="268" t="e">
        <f>AE1810-AD1811*(AE1810-AE1809)</f>
        <v>#N/A</v>
      </c>
    </row>
    <row r="1812" spans="30:31" x14ac:dyDescent="0.2">
      <c r="AD1812" s="267"/>
      <c r="AE1812" s="268" t="e">
        <f>AE1811-AE1806</f>
        <v>#N/A</v>
      </c>
    </row>
    <row r="1813" spans="30:31" x14ac:dyDescent="0.2">
      <c r="AD1813" s="267"/>
      <c r="AE1813" s="268" t="e">
        <f>MATCH(AE1812,'SRIM Data'!$AA$9:$AA$140)</f>
        <v>#N/A</v>
      </c>
    </row>
    <row r="1814" spans="30:31" x14ac:dyDescent="0.2">
      <c r="AD1814" s="267"/>
      <c r="AE1814" s="268" t="e">
        <f>AE1813+1</f>
        <v>#N/A</v>
      </c>
    </row>
    <row r="1815" spans="30:31" x14ac:dyDescent="0.2">
      <c r="AD1815" s="269" t="e">
        <f>INDEX('SRIM Data'!$Z$9:$Z$140,AE1813)</f>
        <v>#N/A</v>
      </c>
      <c r="AE1815" s="268" t="e">
        <f>INDEX('SRIM Data'!$AA$9:$AA$140,AE1813)</f>
        <v>#N/A</v>
      </c>
    </row>
    <row r="1816" spans="30:31" x14ac:dyDescent="0.2">
      <c r="AD1816" s="269" t="e">
        <f>INDEX('SRIM Data'!$Z$9:$Z$140,AE1814)</f>
        <v>#N/A</v>
      </c>
      <c r="AE1816" s="268" t="e">
        <f>INDEX('SRIM Data'!$AA$9:$AA$140,AE1814)</f>
        <v>#N/A</v>
      </c>
    </row>
    <row r="1817" spans="30:31" x14ac:dyDescent="0.2">
      <c r="AD1817" s="270" t="e">
        <f>AD1816-AE1817*(AD1816-AD1815)</f>
        <v>#N/A</v>
      </c>
      <c r="AE1817" s="271" t="e">
        <f>(AE1816-AE1812)/(AE1816-AE1815)</f>
        <v>#N/A</v>
      </c>
    </row>
    <row r="1818" spans="30:31" x14ac:dyDescent="0.2">
      <c r="AD1818" s="272">
        <f>V1818</f>
        <v>0</v>
      </c>
      <c r="AE1818" s="273">
        <f>W1818</f>
        <v>0</v>
      </c>
    </row>
    <row r="1819" spans="30:31" x14ac:dyDescent="0.2">
      <c r="AD1819" s="267" t="e">
        <f>MATCH(AD1818,'SRIM Data'!$Z$9:$Z$140)</f>
        <v>#N/A</v>
      </c>
      <c r="AE1819" s="268"/>
    </row>
    <row r="1820" spans="30:31" x14ac:dyDescent="0.2">
      <c r="AD1820" s="267" t="e">
        <f>AD1819+1</f>
        <v>#N/A</v>
      </c>
      <c r="AE1820" s="268"/>
    </row>
    <row r="1821" spans="30:31" x14ac:dyDescent="0.2">
      <c r="AD1821" s="269" t="e">
        <f>INDEX('SRIM Data'!$Z$9:$Z$140,AD1819)</f>
        <v>#N/A</v>
      </c>
      <c r="AE1821" s="268" t="e">
        <f>INDEX('SRIM Data'!$AA$9:$AA$140,AD1819)</f>
        <v>#N/A</v>
      </c>
    </row>
    <row r="1822" spans="30:31" x14ac:dyDescent="0.2">
      <c r="AD1822" s="269" t="e">
        <f>INDEX('SRIM Data'!$Z$9:$Z$140,AD1820)</f>
        <v>#N/A</v>
      </c>
      <c r="AE1822" s="268" t="e">
        <f>INDEX('SRIM Data'!$AA$9:$AA$140,AD1820)</f>
        <v>#N/A</v>
      </c>
    </row>
    <row r="1823" spans="30:31" x14ac:dyDescent="0.2">
      <c r="AD1823" s="267" t="e">
        <f>(AD1822-AD1818)/(AD1822-AD1821)</f>
        <v>#N/A</v>
      </c>
      <c r="AE1823" s="268" t="e">
        <f>AE1822-AD1823*(AE1822-AE1821)</f>
        <v>#N/A</v>
      </c>
    </row>
    <row r="1824" spans="30:31" x14ac:dyDescent="0.2">
      <c r="AD1824" s="267"/>
      <c r="AE1824" s="268" t="e">
        <f>AE1823-AE1818</f>
        <v>#N/A</v>
      </c>
    </row>
    <row r="1825" spans="30:31" x14ac:dyDescent="0.2">
      <c r="AD1825" s="267"/>
      <c r="AE1825" s="268" t="e">
        <f>MATCH(AE1824,'SRIM Data'!$AA$9:$AA$140)</f>
        <v>#N/A</v>
      </c>
    </row>
    <row r="1826" spans="30:31" x14ac:dyDescent="0.2">
      <c r="AD1826" s="267"/>
      <c r="AE1826" s="268" t="e">
        <f>AE1825+1</f>
        <v>#N/A</v>
      </c>
    </row>
    <row r="1827" spans="30:31" x14ac:dyDescent="0.2">
      <c r="AD1827" s="269" t="e">
        <f>INDEX('SRIM Data'!$Z$9:$Z$140,AE1825)</f>
        <v>#N/A</v>
      </c>
      <c r="AE1827" s="268" t="e">
        <f>INDEX('SRIM Data'!$AA$9:$AA$140,AE1825)</f>
        <v>#N/A</v>
      </c>
    </row>
    <row r="1828" spans="30:31" x14ac:dyDescent="0.2">
      <c r="AD1828" s="269" t="e">
        <f>INDEX('SRIM Data'!$Z$9:$Z$140,AE1826)</f>
        <v>#N/A</v>
      </c>
      <c r="AE1828" s="268" t="e">
        <f>INDEX('SRIM Data'!$AA$9:$AA$140,AE1826)</f>
        <v>#N/A</v>
      </c>
    </row>
    <row r="1829" spans="30:31" x14ac:dyDescent="0.2">
      <c r="AD1829" s="270" t="e">
        <f>AD1828-AE1829*(AD1828-AD1827)</f>
        <v>#N/A</v>
      </c>
      <c r="AE1829" s="271" t="e">
        <f>(AE1828-AE1824)/(AE1828-AE1827)</f>
        <v>#N/A</v>
      </c>
    </row>
    <row r="1830" spans="30:31" x14ac:dyDescent="0.2">
      <c r="AD1830" s="272">
        <f>V1819</f>
        <v>0</v>
      </c>
      <c r="AE1830" s="273">
        <f>W1819</f>
        <v>0</v>
      </c>
    </row>
    <row r="1831" spans="30:31" x14ac:dyDescent="0.2">
      <c r="AD1831" s="267" t="e">
        <f>MATCH(AD1830,'SRIM Data'!$Z$9:$Z$140)</f>
        <v>#N/A</v>
      </c>
      <c r="AE1831" s="268"/>
    </row>
    <row r="1832" spans="30:31" x14ac:dyDescent="0.2">
      <c r="AD1832" s="267" t="e">
        <f>AD1831+1</f>
        <v>#N/A</v>
      </c>
      <c r="AE1832" s="268"/>
    </row>
    <row r="1833" spans="30:31" x14ac:dyDescent="0.2">
      <c r="AD1833" s="269" t="e">
        <f>INDEX('SRIM Data'!$Z$9:$Z$140,AD1831)</f>
        <v>#N/A</v>
      </c>
      <c r="AE1833" s="268" t="e">
        <f>INDEX('SRIM Data'!$AA$9:$AA$140,AD1831)</f>
        <v>#N/A</v>
      </c>
    </row>
    <row r="1834" spans="30:31" x14ac:dyDescent="0.2">
      <c r="AD1834" s="269" t="e">
        <f>INDEX('SRIM Data'!$Z$9:$Z$140,AD1832)</f>
        <v>#N/A</v>
      </c>
      <c r="AE1834" s="268" t="e">
        <f>INDEX('SRIM Data'!$AA$9:$AA$140,AD1832)</f>
        <v>#N/A</v>
      </c>
    </row>
    <row r="1835" spans="30:31" x14ac:dyDescent="0.2">
      <c r="AD1835" s="267" t="e">
        <f>(AD1834-AD1830)/(AD1834-AD1833)</f>
        <v>#N/A</v>
      </c>
      <c r="AE1835" s="268" t="e">
        <f>AE1834-AD1835*(AE1834-AE1833)</f>
        <v>#N/A</v>
      </c>
    </row>
    <row r="1836" spans="30:31" x14ac:dyDescent="0.2">
      <c r="AD1836" s="267"/>
      <c r="AE1836" s="268" t="e">
        <f>AE1835-AE1830</f>
        <v>#N/A</v>
      </c>
    </row>
    <row r="1837" spans="30:31" x14ac:dyDescent="0.2">
      <c r="AD1837" s="267"/>
      <c r="AE1837" s="268" t="e">
        <f>MATCH(AE1836,'SRIM Data'!$AA$9:$AA$140)</f>
        <v>#N/A</v>
      </c>
    </row>
    <row r="1838" spans="30:31" x14ac:dyDescent="0.2">
      <c r="AD1838" s="267"/>
      <c r="AE1838" s="268" t="e">
        <f>AE1837+1</f>
        <v>#N/A</v>
      </c>
    </row>
    <row r="1839" spans="30:31" x14ac:dyDescent="0.2">
      <c r="AD1839" s="269" t="e">
        <f>INDEX('SRIM Data'!$Z$9:$Z$140,AE1837)</f>
        <v>#N/A</v>
      </c>
      <c r="AE1839" s="268" t="e">
        <f>INDEX('SRIM Data'!$AA$9:$AA$140,AE1837)</f>
        <v>#N/A</v>
      </c>
    </row>
    <row r="1840" spans="30:31" x14ac:dyDescent="0.2">
      <c r="AD1840" s="269" t="e">
        <f>INDEX('SRIM Data'!$Z$9:$Z$140,AE1838)</f>
        <v>#N/A</v>
      </c>
      <c r="AE1840" s="268" t="e">
        <f>INDEX('SRIM Data'!$AA$9:$AA$140,AE1838)</f>
        <v>#N/A</v>
      </c>
    </row>
    <row r="1841" spans="30:31" x14ac:dyDescent="0.2">
      <c r="AD1841" s="270" t="e">
        <f>AD1840-AE1841*(AD1840-AD1839)</f>
        <v>#N/A</v>
      </c>
      <c r="AE1841" s="271" t="e">
        <f>(AE1840-AE1836)/(AE1840-AE1839)</f>
        <v>#N/A</v>
      </c>
    </row>
    <row r="1842" spans="30:31" x14ac:dyDescent="0.2">
      <c r="AD1842" s="272">
        <f>V1842</f>
        <v>0</v>
      </c>
      <c r="AE1842" s="273">
        <f>W1842</f>
        <v>0</v>
      </c>
    </row>
    <row r="1843" spans="30:31" x14ac:dyDescent="0.2">
      <c r="AD1843" s="267" t="e">
        <f>MATCH(AD1842,'SRIM Data'!$Z$9:$Z$140)</f>
        <v>#N/A</v>
      </c>
      <c r="AE1843" s="268"/>
    </row>
    <row r="1844" spans="30:31" x14ac:dyDescent="0.2">
      <c r="AD1844" s="267" t="e">
        <f>AD1843+1</f>
        <v>#N/A</v>
      </c>
      <c r="AE1844" s="268"/>
    </row>
    <row r="1845" spans="30:31" x14ac:dyDescent="0.2">
      <c r="AD1845" s="269" t="e">
        <f>INDEX('SRIM Data'!$Z$9:$Z$140,AD1843)</f>
        <v>#N/A</v>
      </c>
      <c r="AE1845" s="268" t="e">
        <f>INDEX('SRIM Data'!$AA$9:$AA$140,AD1843)</f>
        <v>#N/A</v>
      </c>
    </row>
    <row r="1846" spans="30:31" x14ac:dyDescent="0.2">
      <c r="AD1846" s="269" t="e">
        <f>INDEX('SRIM Data'!$Z$9:$Z$140,AD1844)</f>
        <v>#N/A</v>
      </c>
      <c r="AE1846" s="268" t="e">
        <f>INDEX('SRIM Data'!$AA$9:$AA$140,AD1844)</f>
        <v>#N/A</v>
      </c>
    </row>
    <row r="1847" spans="30:31" x14ac:dyDescent="0.2">
      <c r="AD1847" s="267" t="e">
        <f>(AD1846-AD1842)/(AD1846-AD1845)</f>
        <v>#N/A</v>
      </c>
      <c r="AE1847" s="268" t="e">
        <f>AE1846-AD1847*(AE1846-AE1845)</f>
        <v>#N/A</v>
      </c>
    </row>
    <row r="1848" spans="30:31" x14ac:dyDescent="0.2">
      <c r="AD1848" s="267"/>
      <c r="AE1848" s="268" t="e">
        <f>AE1847-AE1842</f>
        <v>#N/A</v>
      </c>
    </row>
    <row r="1849" spans="30:31" x14ac:dyDescent="0.2">
      <c r="AD1849" s="267"/>
      <c r="AE1849" s="268" t="e">
        <f>MATCH(AE1848,'SRIM Data'!$AA$9:$AA$140)</f>
        <v>#N/A</v>
      </c>
    </row>
    <row r="1850" spans="30:31" x14ac:dyDescent="0.2">
      <c r="AD1850" s="267"/>
      <c r="AE1850" s="268" t="e">
        <f>AE1849+1</f>
        <v>#N/A</v>
      </c>
    </row>
    <row r="1851" spans="30:31" x14ac:dyDescent="0.2">
      <c r="AD1851" s="269" t="e">
        <f>INDEX('SRIM Data'!$Z$9:$Z$140,AE1849)</f>
        <v>#N/A</v>
      </c>
      <c r="AE1851" s="268" t="e">
        <f>INDEX('SRIM Data'!$AA$9:$AA$140,AE1849)</f>
        <v>#N/A</v>
      </c>
    </row>
    <row r="1852" spans="30:31" x14ac:dyDescent="0.2">
      <c r="AD1852" s="269" t="e">
        <f>INDEX('SRIM Data'!$Z$9:$Z$140,AE1850)</f>
        <v>#N/A</v>
      </c>
      <c r="AE1852" s="268" t="e">
        <f>INDEX('SRIM Data'!$AA$9:$AA$140,AE1850)</f>
        <v>#N/A</v>
      </c>
    </row>
    <row r="1853" spans="30:31" x14ac:dyDescent="0.2">
      <c r="AD1853" s="270" t="e">
        <f>AD1852-AE1853*(AD1852-AD1851)</f>
        <v>#N/A</v>
      </c>
      <c r="AE1853" s="271" t="e">
        <f>(AE1852-AE1848)/(AE1852-AE1851)</f>
        <v>#N/A</v>
      </c>
    </row>
    <row r="1854" spans="30:31" x14ac:dyDescent="0.2">
      <c r="AD1854" s="272">
        <f>V1843</f>
        <v>0</v>
      </c>
      <c r="AE1854" s="273">
        <f>W1843</f>
        <v>0</v>
      </c>
    </row>
    <row r="1855" spans="30:31" x14ac:dyDescent="0.2">
      <c r="AD1855" s="267" t="e">
        <f>MATCH(AD1854,'SRIM Data'!$Z$9:$Z$140)</f>
        <v>#N/A</v>
      </c>
      <c r="AE1855" s="268"/>
    </row>
    <row r="1856" spans="30:31" x14ac:dyDescent="0.2">
      <c r="AD1856" s="267" t="e">
        <f>AD1855+1</f>
        <v>#N/A</v>
      </c>
      <c r="AE1856" s="268"/>
    </row>
    <row r="1857" spans="30:31" x14ac:dyDescent="0.2">
      <c r="AD1857" s="269" t="e">
        <f>INDEX('SRIM Data'!$Z$9:$Z$140,AD1855)</f>
        <v>#N/A</v>
      </c>
      <c r="AE1857" s="268" t="e">
        <f>INDEX('SRIM Data'!$AA$9:$AA$140,AD1855)</f>
        <v>#N/A</v>
      </c>
    </row>
    <row r="1858" spans="30:31" x14ac:dyDescent="0.2">
      <c r="AD1858" s="269" t="e">
        <f>INDEX('SRIM Data'!$Z$9:$Z$140,AD1856)</f>
        <v>#N/A</v>
      </c>
      <c r="AE1858" s="268" t="e">
        <f>INDEX('SRIM Data'!$AA$9:$AA$140,AD1856)</f>
        <v>#N/A</v>
      </c>
    </row>
    <row r="1859" spans="30:31" x14ac:dyDescent="0.2">
      <c r="AD1859" s="267" t="e">
        <f>(AD1858-AD1854)/(AD1858-AD1857)</f>
        <v>#N/A</v>
      </c>
      <c r="AE1859" s="268" t="e">
        <f>AE1858-AD1859*(AE1858-AE1857)</f>
        <v>#N/A</v>
      </c>
    </row>
    <row r="1860" spans="30:31" x14ac:dyDescent="0.2">
      <c r="AD1860" s="267"/>
      <c r="AE1860" s="268" t="e">
        <f>AE1859-AE1854</f>
        <v>#N/A</v>
      </c>
    </row>
    <row r="1861" spans="30:31" x14ac:dyDescent="0.2">
      <c r="AD1861" s="267"/>
      <c r="AE1861" s="268" t="e">
        <f>MATCH(AE1860,'SRIM Data'!$AA$9:$AA$140)</f>
        <v>#N/A</v>
      </c>
    </row>
    <row r="1862" spans="30:31" x14ac:dyDescent="0.2">
      <c r="AD1862" s="267"/>
      <c r="AE1862" s="268" t="e">
        <f>AE1861+1</f>
        <v>#N/A</v>
      </c>
    </row>
    <row r="1863" spans="30:31" x14ac:dyDescent="0.2">
      <c r="AD1863" s="269" t="e">
        <f>INDEX('SRIM Data'!$Z$9:$Z$140,AE1861)</f>
        <v>#N/A</v>
      </c>
      <c r="AE1863" s="268" t="e">
        <f>INDEX('SRIM Data'!$AA$9:$AA$140,AE1861)</f>
        <v>#N/A</v>
      </c>
    </row>
    <row r="1864" spans="30:31" x14ac:dyDescent="0.2">
      <c r="AD1864" s="269" t="e">
        <f>INDEX('SRIM Data'!$Z$9:$Z$140,AE1862)</f>
        <v>#N/A</v>
      </c>
      <c r="AE1864" s="268" t="e">
        <f>INDEX('SRIM Data'!$AA$9:$AA$140,AE1862)</f>
        <v>#N/A</v>
      </c>
    </row>
    <row r="1865" spans="30:31" x14ac:dyDescent="0.2">
      <c r="AD1865" s="270" t="e">
        <f>AD1864-AE1865*(AD1864-AD1863)</f>
        <v>#N/A</v>
      </c>
      <c r="AE1865" s="271" t="e">
        <f>(AE1864-AE1860)/(AE1864-AE1863)</f>
        <v>#N/A</v>
      </c>
    </row>
    <row r="1866" spans="30:31" x14ac:dyDescent="0.2">
      <c r="AD1866" s="272">
        <f>V1866</f>
        <v>0</v>
      </c>
      <c r="AE1866" s="273">
        <f>W1866</f>
        <v>0</v>
      </c>
    </row>
    <row r="1867" spans="30:31" x14ac:dyDescent="0.2">
      <c r="AD1867" s="267" t="e">
        <f>MATCH(AD1866,'SRIM Data'!$Z$9:$Z$140)</f>
        <v>#N/A</v>
      </c>
      <c r="AE1867" s="268"/>
    </row>
    <row r="1868" spans="30:31" x14ac:dyDescent="0.2">
      <c r="AD1868" s="267" t="e">
        <f>AD1867+1</f>
        <v>#N/A</v>
      </c>
      <c r="AE1868" s="268"/>
    </row>
    <row r="1869" spans="30:31" x14ac:dyDescent="0.2">
      <c r="AD1869" s="269" t="e">
        <f>INDEX('SRIM Data'!$Z$9:$Z$140,AD1867)</f>
        <v>#N/A</v>
      </c>
      <c r="AE1869" s="268" t="e">
        <f>INDEX('SRIM Data'!$AA$9:$AA$140,AD1867)</f>
        <v>#N/A</v>
      </c>
    </row>
    <row r="1870" spans="30:31" x14ac:dyDescent="0.2">
      <c r="AD1870" s="269" t="e">
        <f>INDEX('SRIM Data'!$Z$9:$Z$140,AD1868)</f>
        <v>#N/A</v>
      </c>
      <c r="AE1870" s="268" t="e">
        <f>INDEX('SRIM Data'!$AA$9:$AA$140,AD1868)</f>
        <v>#N/A</v>
      </c>
    </row>
    <row r="1871" spans="30:31" x14ac:dyDescent="0.2">
      <c r="AD1871" s="267" t="e">
        <f>(AD1870-AD1866)/(AD1870-AD1869)</f>
        <v>#N/A</v>
      </c>
      <c r="AE1871" s="268" t="e">
        <f>AE1870-AD1871*(AE1870-AE1869)</f>
        <v>#N/A</v>
      </c>
    </row>
    <row r="1872" spans="30:31" x14ac:dyDescent="0.2">
      <c r="AD1872" s="267"/>
      <c r="AE1872" s="268" t="e">
        <f>AE1871-AE1866</f>
        <v>#N/A</v>
      </c>
    </row>
    <row r="1873" spans="30:31" x14ac:dyDescent="0.2">
      <c r="AD1873" s="267"/>
      <c r="AE1873" s="268" t="e">
        <f>MATCH(AE1872,'SRIM Data'!$AA$9:$AA$140)</f>
        <v>#N/A</v>
      </c>
    </row>
    <row r="1874" spans="30:31" x14ac:dyDescent="0.2">
      <c r="AD1874" s="267"/>
      <c r="AE1874" s="268" t="e">
        <f>AE1873+1</f>
        <v>#N/A</v>
      </c>
    </row>
    <row r="1875" spans="30:31" x14ac:dyDescent="0.2">
      <c r="AD1875" s="269" t="e">
        <f>INDEX('SRIM Data'!$Z$9:$Z$140,AE1873)</f>
        <v>#N/A</v>
      </c>
      <c r="AE1875" s="268" t="e">
        <f>INDEX('SRIM Data'!$AA$9:$AA$140,AE1873)</f>
        <v>#N/A</v>
      </c>
    </row>
    <row r="1876" spans="30:31" x14ac:dyDescent="0.2">
      <c r="AD1876" s="269" t="e">
        <f>INDEX('SRIM Data'!$Z$9:$Z$140,AE1874)</f>
        <v>#N/A</v>
      </c>
      <c r="AE1876" s="268" t="e">
        <f>INDEX('SRIM Data'!$AA$9:$AA$140,AE1874)</f>
        <v>#N/A</v>
      </c>
    </row>
    <row r="1877" spans="30:31" x14ac:dyDescent="0.2">
      <c r="AD1877" s="270" t="e">
        <f>AD1876-AE1877*(AD1876-AD1875)</f>
        <v>#N/A</v>
      </c>
      <c r="AE1877" s="271" t="e">
        <f>(AE1876-AE1872)/(AE1876-AE1875)</f>
        <v>#N/A</v>
      </c>
    </row>
    <row r="1878" spans="30:31" x14ac:dyDescent="0.2">
      <c r="AD1878" s="272">
        <f>V1867</f>
        <v>0</v>
      </c>
      <c r="AE1878" s="273">
        <f>W1867</f>
        <v>0</v>
      </c>
    </row>
    <row r="1879" spans="30:31" x14ac:dyDescent="0.2">
      <c r="AD1879" s="267" t="e">
        <f>MATCH(AD1878,'SRIM Data'!$Z$9:$Z$140)</f>
        <v>#N/A</v>
      </c>
      <c r="AE1879" s="268"/>
    </row>
    <row r="1880" spans="30:31" x14ac:dyDescent="0.2">
      <c r="AD1880" s="267" t="e">
        <f>AD1879+1</f>
        <v>#N/A</v>
      </c>
      <c r="AE1880" s="268"/>
    </row>
    <row r="1881" spans="30:31" x14ac:dyDescent="0.2">
      <c r="AD1881" s="269" t="e">
        <f>INDEX('SRIM Data'!$Z$9:$Z$140,AD1879)</f>
        <v>#N/A</v>
      </c>
      <c r="AE1881" s="268" t="e">
        <f>INDEX('SRIM Data'!$AA$9:$AA$140,AD1879)</f>
        <v>#N/A</v>
      </c>
    </row>
    <row r="1882" spans="30:31" x14ac:dyDescent="0.2">
      <c r="AD1882" s="269" t="e">
        <f>INDEX('SRIM Data'!$Z$9:$Z$140,AD1880)</f>
        <v>#N/A</v>
      </c>
      <c r="AE1882" s="268" t="e">
        <f>INDEX('SRIM Data'!$AA$9:$AA$140,AD1880)</f>
        <v>#N/A</v>
      </c>
    </row>
    <row r="1883" spans="30:31" x14ac:dyDescent="0.2">
      <c r="AD1883" s="267" t="e">
        <f>(AD1882-AD1878)/(AD1882-AD1881)</f>
        <v>#N/A</v>
      </c>
      <c r="AE1883" s="268" t="e">
        <f>AE1882-AD1883*(AE1882-AE1881)</f>
        <v>#N/A</v>
      </c>
    </row>
    <row r="1884" spans="30:31" x14ac:dyDescent="0.2">
      <c r="AD1884" s="267"/>
      <c r="AE1884" s="268" t="e">
        <f>AE1883-AE1878</f>
        <v>#N/A</v>
      </c>
    </row>
    <row r="1885" spans="30:31" x14ac:dyDescent="0.2">
      <c r="AD1885" s="267"/>
      <c r="AE1885" s="268" t="e">
        <f>MATCH(AE1884,'SRIM Data'!$AA$9:$AA$140)</f>
        <v>#N/A</v>
      </c>
    </row>
    <row r="1886" spans="30:31" x14ac:dyDescent="0.2">
      <c r="AD1886" s="267"/>
      <c r="AE1886" s="268" t="e">
        <f>AE1885+1</f>
        <v>#N/A</v>
      </c>
    </row>
    <row r="1887" spans="30:31" x14ac:dyDescent="0.2">
      <c r="AD1887" s="269" t="e">
        <f>INDEX('SRIM Data'!$Z$9:$Z$140,AE1885)</f>
        <v>#N/A</v>
      </c>
      <c r="AE1887" s="268" t="e">
        <f>INDEX('SRIM Data'!$AA$9:$AA$140,AE1885)</f>
        <v>#N/A</v>
      </c>
    </row>
    <row r="1888" spans="30:31" x14ac:dyDescent="0.2">
      <c r="AD1888" s="269" t="e">
        <f>INDEX('SRIM Data'!$Z$9:$Z$140,AE1886)</f>
        <v>#N/A</v>
      </c>
      <c r="AE1888" s="268" t="e">
        <f>INDEX('SRIM Data'!$AA$9:$AA$140,AE1886)</f>
        <v>#N/A</v>
      </c>
    </row>
    <row r="1889" spans="30:31" x14ac:dyDescent="0.2">
      <c r="AD1889" s="270" t="e">
        <f>AD1888-AE1889*(AD1888-AD1887)</f>
        <v>#N/A</v>
      </c>
      <c r="AE1889" s="271" t="e">
        <f>(AE1888-AE1884)/(AE1888-AE1887)</f>
        <v>#N/A</v>
      </c>
    </row>
    <row r="1890" spans="30:31" x14ac:dyDescent="0.2">
      <c r="AD1890" s="272">
        <f>V1890</f>
        <v>0</v>
      </c>
      <c r="AE1890" s="273">
        <f>W1890</f>
        <v>0</v>
      </c>
    </row>
    <row r="1891" spans="30:31" x14ac:dyDescent="0.2">
      <c r="AD1891" s="267" t="e">
        <f>MATCH(AD1890,'SRIM Data'!$Z$9:$Z$140)</f>
        <v>#N/A</v>
      </c>
      <c r="AE1891" s="268"/>
    </row>
    <row r="1892" spans="30:31" x14ac:dyDescent="0.2">
      <c r="AD1892" s="267" t="e">
        <f>AD1891+1</f>
        <v>#N/A</v>
      </c>
      <c r="AE1892" s="268"/>
    </row>
    <row r="1893" spans="30:31" x14ac:dyDescent="0.2">
      <c r="AD1893" s="269" t="e">
        <f>INDEX('SRIM Data'!$Z$9:$Z$140,AD1891)</f>
        <v>#N/A</v>
      </c>
      <c r="AE1893" s="268" t="e">
        <f>INDEX('SRIM Data'!$AA$9:$AA$140,AD1891)</f>
        <v>#N/A</v>
      </c>
    </row>
    <row r="1894" spans="30:31" x14ac:dyDescent="0.2">
      <c r="AD1894" s="269" t="e">
        <f>INDEX('SRIM Data'!$Z$9:$Z$140,AD1892)</f>
        <v>#N/A</v>
      </c>
      <c r="AE1894" s="268" t="e">
        <f>INDEX('SRIM Data'!$AA$9:$AA$140,AD1892)</f>
        <v>#N/A</v>
      </c>
    </row>
    <row r="1895" spans="30:31" x14ac:dyDescent="0.2">
      <c r="AD1895" s="267" t="e">
        <f>(AD1894-AD1890)/(AD1894-AD1893)</f>
        <v>#N/A</v>
      </c>
      <c r="AE1895" s="268" t="e">
        <f>AE1894-AD1895*(AE1894-AE1893)</f>
        <v>#N/A</v>
      </c>
    </row>
    <row r="1896" spans="30:31" x14ac:dyDescent="0.2">
      <c r="AD1896" s="267"/>
      <c r="AE1896" s="268" t="e">
        <f>AE1895-AE1890</f>
        <v>#N/A</v>
      </c>
    </row>
    <row r="1897" spans="30:31" x14ac:dyDescent="0.2">
      <c r="AD1897" s="267"/>
      <c r="AE1897" s="268" t="e">
        <f>MATCH(AE1896,'SRIM Data'!$AA$9:$AA$140)</f>
        <v>#N/A</v>
      </c>
    </row>
    <row r="1898" spans="30:31" x14ac:dyDescent="0.2">
      <c r="AD1898" s="267"/>
      <c r="AE1898" s="268" t="e">
        <f>AE1897+1</f>
        <v>#N/A</v>
      </c>
    </row>
    <row r="1899" spans="30:31" x14ac:dyDescent="0.2">
      <c r="AD1899" s="269" t="e">
        <f>INDEX('SRIM Data'!$Z$9:$Z$140,AE1897)</f>
        <v>#N/A</v>
      </c>
      <c r="AE1899" s="268" t="e">
        <f>INDEX('SRIM Data'!$AA$9:$AA$140,AE1897)</f>
        <v>#N/A</v>
      </c>
    </row>
    <row r="1900" spans="30:31" x14ac:dyDescent="0.2">
      <c r="AD1900" s="269" t="e">
        <f>INDEX('SRIM Data'!$Z$9:$Z$140,AE1898)</f>
        <v>#N/A</v>
      </c>
      <c r="AE1900" s="268" t="e">
        <f>INDEX('SRIM Data'!$AA$9:$AA$140,AE1898)</f>
        <v>#N/A</v>
      </c>
    </row>
    <row r="1901" spans="30:31" x14ac:dyDescent="0.2">
      <c r="AD1901" s="270" t="e">
        <f>AD1900-AE1901*(AD1900-AD1899)</f>
        <v>#N/A</v>
      </c>
      <c r="AE1901" s="271" t="e">
        <f>(AE1900-AE1896)/(AE1900-AE1899)</f>
        <v>#N/A</v>
      </c>
    </row>
    <row r="1902" spans="30:31" x14ac:dyDescent="0.2">
      <c r="AD1902" s="272">
        <f>V1891</f>
        <v>0</v>
      </c>
      <c r="AE1902" s="273">
        <f>W1891</f>
        <v>0</v>
      </c>
    </row>
    <row r="1903" spans="30:31" x14ac:dyDescent="0.2">
      <c r="AD1903" s="267" t="e">
        <f>MATCH(AD1902,'SRIM Data'!$Z$9:$Z$140)</f>
        <v>#N/A</v>
      </c>
      <c r="AE1903" s="268"/>
    </row>
    <row r="1904" spans="30:31" x14ac:dyDescent="0.2">
      <c r="AD1904" s="267" t="e">
        <f>AD1903+1</f>
        <v>#N/A</v>
      </c>
      <c r="AE1904" s="268"/>
    </row>
    <row r="1905" spans="30:31" x14ac:dyDescent="0.2">
      <c r="AD1905" s="269" t="e">
        <f>INDEX('SRIM Data'!$Z$9:$Z$140,AD1903)</f>
        <v>#N/A</v>
      </c>
      <c r="AE1905" s="268" t="e">
        <f>INDEX('SRIM Data'!$AA$9:$AA$140,AD1903)</f>
        <v>#N/A</v>
      </c>
    </row>
    <row r="1906" spans="30:31" x14ac:dyDescent="0.2">
      <c r="AD1906" s="269" t="e">
        <f>INDEX('SRIM Data'!$Z$9:$Z$140,AD1904)</f>
        <v>#N/A</v>
      </c>
      <c r="AE1906" s="268" t="e">
        <f>INDEX('SRIM Data'!$AA$9:$AA$140,AD1904)</f>
        <v>#N/A</v>
      </c>
    </row>
    <row r="1907" spans="30:31" x14ac:dyDescent="0.2">
      <c r="AD1907" s="267" t="e">
        <f>(AD1906-AD1902)/(AD1906-AD1905)</f>
        <v>#N/A</v>
      </c>
      <c r="AE1907" s="268" t="e">
        <f>AE1906-AD1907*(AE1906-AE1905)</f>
        <v>#N/A</v>
      </c>
    </row>
    <row r="1908" spans="30:31" x14ac:dyDescent="0.2">
      <c r="AD1908" s="267"/>
      <c r="AE1908" s="268" t="e">
        <f>AE1907-AE1902</f>
        <v>#N/A</v>
      </c>
    </row>
    <row r="1909" spans="30:31" x14ac:dyDescent="0.2">
      <c r="AD1909" s="267"/>
      <c r="AE1909" s="268" t="e">
        <f>MATCH(AE1908,'SRIM Data'!$AA$9:$AA$140)</f>
        <v>#N/A</v>
      </c>
    </row>
    <row r="1910" spans="30:31" x14ac:dyDescent="0.2">
      <c r="AD1910" s="267"/>
      <c r="AE1910" s="268" t="e">
        <f>AE1909+1</f>
        <v>#N/A</v>
      </c>
    </row>
    <row r="1911" spans="30:31" x14ac:dyDescent="0.2">
      <c r="AD1911" s="269" t="e">
        <f>INDEX('SRIM Data'!$Z$9:$Z$140,AE1909)</f>
        <v>#N/A</v>
      </c>
      <c r="AE1911" s="268" t="e">
        <f>INDEX('SRIM Data'!$AA$9:$AA$140,AE1909)</f>
        <v>#N/A</v>
      </c>
    </row>
    <row r="1912" spans="30:31" x14ac:dyDescent="0.2">
      <c r="AD1912" s="269" t="e">
        <f>INDEX('SRIM Data'!$Z$9:$Z$140,AE1910)</f>
        <v>#N/A</v>
      </c>
      <c r="AE1912" s="268" t="e">
        <f>INDEX('SRIM Data'!$AA$9:$AA$140,AE1910)</f>
        <v>#N/A</v>
      </c>
    </row>
    <row r="1913" spans="30:31" x14ac:dyDescent="0.2">
      <c r="AD1913" s="270" t="e">
        <f>AD1912-AE1913*(AD1912-AD1911)</f>
        <v>#N/A</v>
      </c>
      <c r="AE1913" s="271" t="e">
        <f>(AE1912-AE1908)/(AE1912-AE1911)</f>
        <v>#N/A</v>
      </c>
    </row>
    <row r="1914" spans="30:31" x14ac:dyDescent="0.2">
      <c r="AD1914" s="272">
        <f>V1914</f>
        <v>0</v>
      </c>
      <c r="AE1914" s="273">
        <f>W1914</f>
        <v>0</v>
      </c>
    </row>
    <row r="1915" spans="30:31" x14ac:dyDescent="0.2">
      <c r="AD1915" s="267" t="e">
        <f>MATCH(AD1914,'SRIM Data'!$Z$9:$Z$140)</f>
        <v>#N/A</v>
      </c>
      <c r="AE1915" s="268"/>
    </row>
    <row r="1916" spans="30:31" x14ac:dyDescent="0.2">
      <c r="AD1916" s="267" t="e">
        <f>AD1915+1</f>
        <v>#N/A</v>
      </c>
      <c r="AE1916" s="268"/>
    </row>
    <row r="1917" spans="30:31" x14ac:dyDescent="0.2">
      <c r="AD1917" s="269" t="e">
        <f>INDEX('SRIM Data'!$Z$9:$Z$140,AD1915)</f>
        <v>#N/A</v>
      </c>
      <c r="AE1917" s="268" t="e">
        <f>INDEX('SRIM Data'!$AA$9:$AA$140,AD1915)</f>
        <v>#N/A</v>
      </c>
    </row>
    <row r="1918" spans="30:31" x14ac:dyDescent="0.2">
      <c r="AD1918" s="269" t="e">
        <f>INDEX('SRIM Data'!$Z$9:$Z$140,AD1916)</f>
        <v>#N/A</v>
      </c>
      <c r="AE1918" s="268" t="e">
        <f>INDEX('SRIM Data'!$AA$9:$AA$140,AD1916)</f>
        <v>#N/A</v>
      </c>
    </row>
    <row r="1919" spans="30:31" x14ac:dyDescent="0.2">
      <c r="AD1919" s="267" t="e">
        <f>(AD1918-AD1914)/(AD1918-AD1917)</f>
        <v>#N/A</v>
      </c>
      <c r="AE1919" s="268" t="e">
        <f>AE1918-AD1919*(AE1918-AE1917)</f>
        <v>#N/A</v>
      </c>
    </row>
    <row r="1920" spans="30:31" x14ac:dyDescent="0.2">
      <c r="AD1920" s="267"/>
      <c r="AE1920" s="268" t="e">
        <f>AE1919-AE1914</f>
        <v>#N/A</v>
      </c>
    </row>
    <row r="1921" spans="30:31" x14ac:dyDescent="0.2">
      <c r="AD1921" s="267"/>
      <c r="AE1921" s="268" t="e">
        <f>MATCH(AE1920,'SRIM Data'!$AA$9:$AA$140)</f>
        <v>#N/A</v>
      </c>
    </row>
    <row r="1922" spans="30:31" x14ac:dyDescent="0.2">
      <c r="AD1922" s="267"/>
      <c r="AE1922" s="268" t="e">
        <f>AE1921+1</f>
        <v>#N/A</v>
      </c>
    </row>
    <row r="1923" spans="30:31" x14ac:dyDescent="0.2">
      <c r="AD1923" s="269" t="e">
        <f>INDEX('SRIM Data'!$Z$9:$Z$140,AE1921)</f>
        <v>#N/A</v>
      </c>
      <c r="AE1923" s="268" t="e">
        <f>INDEX('SRIM Data'!$AA$9:$AA$140,AE1921)</f>
        <v>#N/A</v>
      </c>
    </row>
    <row r="1924" spans="30:31" x14ac:dyDescent="0.2">
      <c r="AD1924" s="269" t="e">
        <f>INDEX('SRIM Data'!$Z$9:$Z$140,AE1922)</f>
        <v>#N/A</v>
      </c>
      <c r="AE1924" s="268" t="e">
        <f>INDEX('SRIM Data'!$AA$9:$AA$140,AE1922)</f>
        <v>#N/A</v>
      </c>
    </row>
    <row r="1925" spans="30:31" x14ac:dyDescent="0.2">
      <c r="AD1925" s="270" t="e">
        <f>AD1924-AE1925*(AD1924-AD1923)</f>
        <v>#N/A</v>
      </c>
      <c r="AE1925" s="271" t="e">
        <f>(AE1924-AE1920)/(AE1924-AE1923)</f>
        <v>#N/A</v>
      </c>
    </row>
    <row r="1926" spans="30:31" x14ac:dyDescent="0.2">
      <c r="AD1926" s="272">
        <f>V1915</f>
        <v>0</v>
      </c>
      <c r="AE1926" s="273">
        <f>W1915</f>
        <v>0</v>
      </c>
    </row>
    <row r="1927" spans="30:31" x14ac:dyDescent="0.2">
      <c r="AD1927" s="267" t="e">
        <f>MATCH(AD1926,'SRIM Data'!$Z$9:$Z$140)</f>
        <v>#N/A</v>
      </c>
      <c r="AE1927" s="268"/>
    </row>
    <row r="1928" spans="30:31" x14ac:dyDescent="0.2">
      <c r="AD1928" s="267" t="e">
        <f>AD1927+1</f>
        <v>#N/A</v>
      </c>
      <c r="AE1928" s="268"/>
    </row>
    <row r="1929" spans="30:31" x14ac:dyDescent="0.2">
      <c r="AD1929" s="269" t="e">
        <f>INDEX('SRIM Data'!$Z$9:$Z$140,AD1927)</f>
        <v>#N/A</v>
      </c>
      <c r="AE1929" s="268" t="e">
        <f>INDEX('SRIM Data'!$AA$9:$AA$140,AD1927)</f>
        <v>#N/A</v>
      </c>
    </row>
    <row r="1930" spans="30:31" x14ac:dyDescent="0.2">
      <c r="AD1930" s="269" t="e">
        <f>INDEX('SRIM Data'!$Z$9:$Z$140,AD1928)</f>
        <v>#N/A</v>
      </c>
      <c r="AE1930" s="268" t="e">
        <f>INDEX('SRIM Data'!$AA$9:$AA$140,AD1928)</f>
        <v>#N/A</v>
      </c>
    </row>
    <row r="1931" spans="30:31" x14ac:dyDescent="0.2">
      <c r="AD1931" s="267" t="e">
        <f>(AD1930-AD1926)/(AD1930-AD1929)</f>
        <v>#N/A</v>
      </c>
      <c r="AE1931" s="268" t="e">
        <f>AE1930-AD1931*(AE1930-AE1929)</f>
        <v>#N/A</v>
      </c>
    </row>
    <row r="1932" spans="30:31" x14ac:dyDescent="0.2">
      <c r="AD1932" s="267"/>
      <c r="AE1932" s="268" t="e">
        <f>AE1931-AE1926</f>
        <v>#N/A</v>
      </c>
    </row>
    <row r="1933" spans="30:31" x14ac:dyDescent="0.2">
      <c r="AD1933" s="267"/>
      <c r="AE1933" s="268" t="e">
        <f>MATCH(AE1932,'SRIM Data'!$AA$9:$AA$140)</f>
        <v>#N/A</v>
      </c>
    </row>
    <row r="1934" spans="30:31" x14ac:dyDescent="0.2">
      <c r="AD1934" s="267"/>
      <c r="AE1934" s="268" t="e">
        <f>AE1933+1</f>
        <v>#N/A</v>
      </c>
    </row>
    <row r="1935" spans="30:31" x14ac:dyDescent="0.2">
      <c r="AD1935" s="269" t="e">
        <f>INDEX('SRIM Data'!$Z$9:$Z$140,AE1933)</f>
        <v>#N/A</v>
      </c>
      <c r="AE1935" s="268" t="e">
        <f>INDEX('SRIM Data'!$AA$9:$AA$140,AE1933)</f>
        <v>#N/A</v>
      </c>
    </row>
    <row r="1936" spans="30:31" x14ac:dyDescent="0.2">
      <c r="AD1936" s="269" t="e">
        <f>INDEX('SRIM Data'!$Z$9:$Z$140,AE1934)</f>
        <v>#N/A</v>
      </c>
      <c r="AE1936" s="268" t="e">
        <f>INDEX('SRIM Data'!$AA$9:$AA$140,AE1934)</f>
        <v>#N/A</v>
      </c>
    </row>
    <row r="1937" spans="30:31" x14ac:dyDescent="0.2">
      <c r="AD1937" s="270" t="e">
        <f>AD1936-AE1937*(AD1936-AD1935)</f>
        <v>#N/A</v>
      </c>
      <c r="AE1937" s="271" t="e">
        <f>(AE1936-AE1932)/(AE1936-AE1935)</f>
        <v>#N/A</v>
      </c>
    </row>
    <row r="1938" spans="30:31" x14ac:dyDescent="0.2">
      <c r="AD1938" s="272">
        <f>V1938</f>
        <v>0</v>
      </c>
      <c r="AE1938" s="273">
        <f>W1938</f>
        <v>0</v>
      </c>
    </row>
    <row r="1939" spans="30:31" x14ac:dyDescent="0.2">
      <c r="AD1939" s="267" t="e">
        <f>MATCH(AD1938,'SRIM Data'!$Z$9:$Z$140)</f>
        <v>#N/A</v>
      </c>
      <c r="AE1939" s="268"/>
    </row>
    <row r="1940" spans="30:31" x14ac:dyDescent="0.2">
      <c r="AD1940" s="267" t="e">
        <f>AD1939+1</f>
        <v>#N/A</v>
      </c>
      <c r="AE1940" s="268"/>
    </row>
    <row r="1941" spans="30:31" x14ac:dyDescent="0.2">
      <c r="AD1941" s="269" t="e">
        <f>INDEX('SRIM Data'!$Z$9:$Z$140,AD1939)</f>
        <v>#N/A</v>
      </c>
      <c r="AE1941" s="268" t="e">
        <f>INDEX('SRIM Data'!$AA$9:$AA$140,AD1939)</f>
        <v>#N/A</v>
      </c>
    </row>
    <row r="1942" spans="30:31" x14ac:dyDescent="0.2">
      <c r="AD1942" s="269" t="e">
        <f>INDEX('SRIM Data'!$Z$9:$Z$140,AD1940)</f>
        <v>#N/A</v>
      </c>
      <c r="AE1942" s="268" t="e">
        <f>INDEX('SRIM Data'!$AA$9:$AA$140,AD1940)</f>
        <v>#N/A</v>
      </c>
    </row>
    <row r="1943" spans="30:31" x14ac:dyDescent="0.2">
      <c r="AD1943" s="267" t="e">
        <f>(AD1942-AD1938)/(AD1942-AD1941)</f>
        <v>#N/A</v>
      </c>
      <c r="AE1943" s="268" t="e">
        <f>AE1942-AD1943*(AE1942-AE1941)</f>
        <v>#N/A</v>
      </c>
    </row>
    <row r="1944" spans="30:31" x14ac:dyDescent="0.2">
      <c r="AD1944" s="267"/>
      <c r="AE1944" s="268" t="e">
        <f>AE1943-AE1938</f>
        <v>#N/A</v>
      </c>
    </row>
    <row r="1945" spans="30:31" x14ac:dyDescent="0.2">
      <c r="AD1945" s="267"/>
      <c r="AE1945" s="268" t="e">
        <f>MATCH(AE1944,'SRIM Data'!$AA$9:$AA$140)</f>
        <v>#N/A</v>
      </c>
    </row>
    <row r="1946" spans="30:31" x14ac:dyDescent="0.2">
      <c r="AD1946" s="267"/>
      <c r="AE1946" s="268" t="e">
        <f>AE1945+1</f>
        <v>#N/A</v>
      </c>
    </row>
    <row r="1947" spans="30:31" x14ac:dyDescent="0.2">
      <c r="AD1947" s="269" t="e">
        <f>INDEX('SRIM Data'!$Z$9:$Z$140,AE1945)</f>
        <v>#N/A</v>
      </c>
      <c r="AE1947" s="268" t="e">
        <f>INDEX('SRIM Data'!$AA$9:$AA$140,AE1945)</f>
        <v>#N/A</v>
      </c>
    </row>
    <row r="1948" spans="30:31" x14ac:dyDescent="0.2">
      <c r="AD1948" s="269" t="e">
        <f>INDEX('SRIM Data'!$Z$9:$Z$140,AE1946)</f>
        <v>#N/A</v>
      </c>
      <c r="AE1948" s="268" t="e">
        <f>INDEX('SRIM Data'!$AA$9:$AA$140,AE1946)</f>
        <v>#N/A</v>
      </c>
    </row>
    <row r="1949" spans="30:31" x14ac:dyDescent="0.2">
      <c r="AD1949" s="270" t="e">
        <f>AD1948-AE1949*(AD1948-AD1947)</f>
        <v>#N/A</v>
      </c>
      <c r="AE1949" s="271" t="e">
        <f>(AE1948-AE1944)/(AE1948-AE1947)</f>
        <v>#N/A</v>
      </c>
    </row>
    <row r="1950" spans="30:31" x14ac:dyDescent="0.2">
      <c r="AD1950" s="272">
        <f>V1939</f>
        <v>0</v>
      </c>
      <c r="AE1950" s="273">
        <f>W1939</f>
        <v>0</v>
      </c>
    </row>
    <row r="1951" spans="30:31" x14ac:dyDescent="0.2">
      <c r="AD1951" s="267" t="e">
        <f>MATCH(AD1950,'SRIM Data'!$Z$9:$Z$140)</f>
        <v>#N/A</v>
      </c>
      <c r="AE1951" s="268"/>
    </row>
    <row r="1952" spans="30:31" x14ac:dyDescent="0.2">
      <c r="AD1952" s="267" t="e">
        <f>AD1951+1</f>
        <v>#N/A</v>
      </c>
      <c r="AE1952" s="268"/>
    </row>
    <row r="1953" spans="30:31" x14ac:dyDescent="0.2">
      <c r="AD1953" s="269" t="e">
        <f>INDEX('SRIM Data'!$Z$9:$Z$140,AD1951)</f>
        <v>#N/A</v>
      </c>
      <c r="AE1953" s="268" t="e">
        <f>INDEX('SRIM Data'!$AA$9:$AA$140,AD1951)</f>
        <v>#N/A</v>
      </c>
    </row>
    <row r="1954" spans="30:31" x14ac:dyDescent="0.2">
      <c r="AD1954" s="269" t="e">
        <f>INDEX('SRIM Data'!$Z$9:$Z$140,AD1952)</f>
        <v>#N/A</v>
      </c>
      <c r="AE1954" s="268" t="e">
        <f>INDEX('SRIM Data'!$AA$9:$AA$140,AD1952)</f>
        <v>#N/A</v>
      </c>
    </row>
    <row r="1955" spans="30:31" x14ac:dyDescent="0.2">
      <c r="AD1955" s="267" t="e">
        <f>(AD1954-AD1950)/(AD1954-AD1953)</f>
        <v>#N/A</v>
      </c>
      <c r="AE1955" s="268" t="e">
        <f>AE1954-AD1955*(AE1954-AE1953)</f>
        <v>#N/A</v>
      </c>
    </row>
    <row r="1956" spans="30:31" x14ac:dyDescent="0.2">
      <c r="AD1956" s="267"/>
      <c r="AE1956" s="268" t="e">
        <f>AE1955-AE1950</f>
        <v>#N/A</v>
      </c>
    </row>
    <row r="1957" spans="30:31" x14ac:dyDescent="0.2">
      <c r="AD1957" s="267"/>
      <c r="AE1957" s="268" t="e">
        <f>MATCH(AE1956,'SRIM Data'!$AA$9:$AA$140)</f>
        <v>#N/A</v>
      </c>
    </row>
    <row r="1958" spans="30:31" x14ac:dyDescent="0.2">
      <c r="AD1958" s="267"/>
      <c r="AE1958" s="268" t="e">
        <f>AE1957+1</f>
        <v>#N/A</v>
      </c>
    </row>
    <row r="1959" spans="30:31" x14ac:dyDescent="0.2">
      <c r="AD1959" s="269" t="e">
        <f>INDEX('SRIM Data'!$Z$9:$Z$140,AE1957)</f>
        <v>#N/A</v>
      </c>
      <c r="AE1959" s="268" t="e">
        <f>INDEX('SRIM Data'!$AA$9:$AA$140,AE1957)</f>
        <v>#N/A</v>
      </c>
    </row>
    <row r="1960" spans="30:31" x14ac:dyDescent="0.2">
      <c r="AD1960" s="269" t="e">
        <f>INDEX('SRIM Data'!$Z$9:$Z$140,AE1958)</f>
        <v>#N/A</v>
      </c>
      <c r="AE1960" s="268" t="e">
        <f>INDEX('SRIM Data'!$AA$9:$AA$140,AE1958)</f>
        <v>#N/A</v>
      </c>
    </row>
    <row r="1961" spans="30:31" x14ac:dyDescent="0.2">
      <c r="AD1961" s="270" t="e">
        <f>AD1960-AE1961*(AD1960-AD1959)</f>
        <v>#N/A</v>
      </c>
      <c r="AE1961" s="271" t="e">
        <f>(AE1960-AE1956)/(AE1960-AE1959)</f>
        <v>#N/A</v>
      </c>
    </row>
    <row r="1962" spans="30:31" x14ac:dyDescent="0.2">
      <c r="AD1962" s="272">
        <f>V1962</f>
        <v>0</v>
      </c>
      <c r="AE1962" s="273">
        <f>W1962</f>
        <v>0</v>
      </c>
    </row>
    <row r="1963" spans="30:31" x14ac:dyDescent="0.2">
      <c r="AD1963" s="267" t="e">
        <f>MATCH(AD1962,'SRIM Data'!$Z$9:$Z$140)</f>
        <v>#N/A</v>
      </c>
      <c r="AE1963" s="268"/>
    </row>
    <row r="1964" spans="30:31" x14ac:dyDescent="0.2">
      <c r="AD1964" s="267" t="e">
        <f>AD1963+1</f>
        <v>#N/A</v>
      </c>
      <c r="AE1964" s="268"/>
    </row>
    <row r="1965" spans="30:31" x14ac:dyDescent="0.2">
      <c r="AD1965" s="269" t="e">
        <f>INDEX('SRIM Data'!$Z$9:$Z$140,AD1963)</f>
        <v>#N/A</v>
      </c>
      <c r="AE1965" s="268" t="e">
        <f>INDEX('SRIM Data'!$AA$9:$AA$140,AD1963)</f>
        <v>#N/A</v>
      </c>
    </row>
    <row r="1966" spans="30:31" x14ac:dyDescent="0.2">
      <c r="AD1966" s="269" t="e">
        <f>INDEX('SRIM Data'!$Z$9:$Z$140,AD1964)</f>
        <v>#N/A</v>
      </c>
      <c r="AE1966" s="268" t="e">
        <f>INDEX('SRIM Data'!$AA$9:$AA$140,AD1964)</f>
        <v>#N/A</v>
      </c>
    </row>
    <row r="1967" spans="30:31" x14ac:dyDescent="0.2">
      <c r="AD1967" s="267" t="e">
        <f>(AD1966-AD1962)/(AD1966-AD1965)</f>
        <v>#N/A</v>
      </c>
      <c r="AE1967" s="268" t="e">
        <f>AE1966-AD1967*(AE1966-AE1965)</f>
        <v>#N/A</v>
      </c>
    </row>
    <row r="1968" spans="30:31" x14ac:dyDescent="0.2">
      <c r="AD1968" s="267"/>
      <c r="AE1968" s="268" t="e">
        <f>AE1967-AE1962</f>
        <v>#N/A</v>
      </c>
    </row>
    <row r="1969" spans="30:31" x14ac:dyDescent="0.2">
      <c r="AD1969" s="267"/>
      <c r="AE1969" s="268" t="e">
        <f>MATCH(AE1968,'SRIM Data'!$AA$9:$AA$140)</f>
        <v>#N/A</v>
      </c>
    </row>
    <row r="1970" spans="30:31" x14ac:dyDescent="0.2">
      <c r="AD1970" s="267"/>
      <c r="AE1970" s="268" t="e">
        <f>AE1969+1</f>
        <v>#N/A</v>
      </c>
    </row>
    <row r="1971" spans="30:31" x14ac:dyDescent="0.2">
      <c r="AD1971" s="269" t="e">
        <f>INDEX('SRIM Data'!$Z$9:$Z$140,AE1969)</f>
        <v>#N/A</v>
      </c>
      <c r="AE1971" s="268" t="e">
        <f>INDEX('SRIM Data'!$AA$9:$AA$140,AE1969)</f>
        <v>#N/A</v>
      </c>
    </row>
    <row r="1972" spans="30:31" x14ac:dyDescent="0.2">
      <c r="AD1972" s="269" t="e">
        <f>INDEX('SRIM Data'!$Z$9:$Z$140,AE1970)</f>
        <v>#N/A</v>
      </c>
      <c r="AE1972" s="268" t="e">
        <f>INDEX('SRIM Data'!$AA$9:$AA$140,AE1970)</f>
        <v>#N/A</v>
      </c>
    </row>
    <row r="1973" spans="30:31" x14ac:dyDescent="0.2">
      <c r="AD1973" s="270" t="e">
        <f>AD1972-AE1973*(AD1972-AD1971)</f>
        <v>#N/A</v>
      </c>
      <c r="AE1973" s="271" t="e">
        <f>(AE1972-AE1968)/(AE1972-AE1971)</f>
        <v>#N/A</v>
      </c>
    </row>
    <row r="1974" spans="30:31" x14ac:dyDescent="0.2">
      <c r="AD1974" s="272">
        <f>V1963</f>
        <v>0</v>
      </c>
      <c r="AE1974" s="273">
        <f>W1963</f>
        <v>0</v>
      </c>
    </row>
    <row r="1975" spans="30:31" x14ac:dyDescent="0.2">
      <c r="AD1975" s="267" t="e">
        <f>MATCH(AD1974,'SRIM Data'!$Z$9:$Z$140)</f>
        <v>#N/A</v>
      </c>
      <c r="AE1975" s="268"/>
    </row>
    <row r="1976" spans="30:31" x14ac:dyDescent="0.2">
      <c r="AD1976" s="267" t="e">
        <f>AD1975+1</f>
        <v>#N/A</v>
      </c>
      <c r="AE1976" s="268"/>
    </row>
    <row r="1977" spans="30:31" x14ac:dyDescent="0.2">
      <c r="AD1977" s="269" t="e">
        <f>INDEX('SRIM Data'!$Z$9:$Z$140,AD1975)</f>
        <v>#N/A</v>
      </c>
      <c r="AE1977" s="268" t="e">
        <f>INDEX('SRIM Data'!$AA$9:$AA$140,AD1975)</f>
        <v>#N/A</v>
      </c>
    </row>
    <row r="1978" spans="30:31" x14ac:dyDescent="0.2">
      <c r="AD1978" s="269" t="e">
        <f>INDEX('SRIM Data'!$Z$9:$Z$140,AD1976)</f>
        <v>#N/A</v>
      </c>
      <c r="AE1978" s="268" t="e">
        <f>INDEX('SRIM Data'!$AA$9:$AA$140,AD1976)</f>
        <v>#N/A</v>
      </c>
    </row>
    <row r="1979" spans="30:31" x14ac:dyDescent="0.2">
      <c r="AD1979" s="267" t="e">
        <f>(AD1978-AD1974)/(AD1978-AD1977)</f>
        <v>#N/A</v>
      </c>
      <c r="AE1979" s="268" t="e">
        <f>AE1978-AD1979*(AE1978-AE1977)</f>
        <v>#N/A</v>
      </c>
    </row>
    <row r="1980" spans="30:31" x14ac:dyDescent="0.2">
      <c r="AD1980" s="267"/>
      <c r="AE1980" s="268" t="e">
        <f>AE1979-AE1974</f>
        <v>#N/A</v>
      </c>
    </row>
    <row r="1981" spans="30:31" x14ac:dyDescent="0.2">
      <c r="AD1981" s="267"/>
      <c r="AE1981" s="268" t="e">
        <f>MATCH(AE1980,'SRIM Data'!$AA$9:$AA$140)</f>
        <v>#N/A</v>
      </c>
    </row>
    <row r="1982" spans="30:31" x14ac:dyDescent="0.2">
      <c r="AD1982" s="267"/>
      <c r="AE1982" s="268" t="e">
        <f>AE1981+1</f>
        <v>#N/A</v>
      </c>
    </row>
    <row r="1983" spans="30:31" x14ac:dyDescent="0.2">
      <c r="AD1983" s="269" t="e">
        <f>INDEX('SRIM Data'!$Z$9:$Z$140,AE1981)</f>
        <v>#N/A</v>
      </c>
      <c r="AE1983" s="268" t="e">
        <f>INDEX('SRIM Data'!$AA$9:$AA$140,AE1981)</f>
        <v>#N/A</v>
      </c>
    </row>
    <row r="1984" spans="30:31" x14ac:dyDescent="0.2">
      <c r="AD1984" s="269" t="e">
        <f>INDEX('SRIM Data'!$Z$9:$Z$140,AE1982)</f>
        <v>#N/A</v>
      </c>
      <c r="AE1984" s="268" t="e">
        <f>INDEX('SRIM Data'!$AA$9:$AA$140,AE1982)</f>
        <v>#N/A</v>
      </c>
    </row>
    <row r="1985" spans="30:31" x14ac:dyDescent="0.2">
      <c r="AD1985" s="270" t="e">
        <f>AD1984-AE1985*(AD1984-AD1983)</f>
        <v>#N/A</v>
      </c>
      <c r="AE1985" s="271" t="e">
        <f>(AE1984-AE1980)/(AE1984-AE1983)</f>
        <v>#N/A</v>
      </c>
    </row>
    <row r="1986" spans="30:31" x14ac:dyDescent="0.2">
      <c r="AD1986" s="272">
        <f>V1986</f>
        <v>0</v>
      </c>
      <c r="AE1986" s="273">
        <f>W1986</f>
        <v>0</v>
      </c>
    </row>
    <row r="1987" spans="30:31" x14ac:dyDescent="0.2">
      <c r="AD1987" s="267" t="e">
        <f>MATCH(AD1986,'SRIM Data'!$Z$9:$Z$140)</f>
        <v>#N/A</v>
      </c>
      <c r="AE1987" s="268"/>
    </row>
    <row r="1988" spans="30:31" x14ac:dyDescent="0.2">
      <c r="AD1988" s="267" t="e">
        <f>AD1987+1</f>
        <v>#N/A</v>
      </c>
      <c r="AE1988" s="268"/>
    </row>
    <row r="1989" spans="30:31" x14ac:dyDescent="0.2">
      <c r="AD1989" s="269" t="e">
        <f>INDEX('SRIM Data'!$Z$9:$Z$140,AD1987)</f>
        <v>#N/A</v>
      </c>
      <c r="AE1989" s="268" t="e">
        <f>INDEX('SRIM Data'!$AA$9:$AA$140,AD1987)</f>
        <v>#N/A</v>
      </c>
    </row>
    <row r="1990" spans="30:31" x14ac:dyDescent="0.2">
      <c r="AD1990" s="269" t="e">
        <f>INDEX('SRIM Data'!$Z$9:$Z$140,AD1988)</f>
        <v>#N/A</v>
      </c>
      <c r="AE1990" s="268" t="e">
        <f>INDEX('SRIM Data'!$AA$9:$AA$140,AD1988)</f>
        <v>#N/A</v>
      </c>
    </row>
    <row r="1991" spans="30:31" x14ac:dyDescent="0.2">
      <c r="AD1991" s="267" t="e">
        <f>(AD1990-AD1986)/(AD1990-AD1989)</f>
        <v>#N/A</v>
      </c>
      <c r="AE1991" s="268" t="e">
        <f>AE1990-AD1991*(AE1990-AE1989)</f>
        <v>#N/A</v>
      </c>
    </row>
    <row r="1992" spans="30:31" x14ac:dyDescent="0.2">
      <c r="AD1992" s="267"/>
      <c r="AE1992" s="268" t="e">
        <f>AE1991-AE1986</f>
        <v>#N/A</v>
      </c>
    </row>
    <row r="1993" spans="30:31" x14ac:dyDescent="0.2">
      <c r="AD1993" s="267"/>
      <c r="AE1993" s="268" t="e">
        <f>MATCH(AE1992,'SRIM Data'!$AA$9:$AA$140)</f>
        <v>#N/A</v>
      </c>
    </row>
    <row r="1994" spans="30:31" x14ac:dyDescent="0.2">
      <c r="AD1994" s="267"/>
      <c r="AE1994" s="268" t="e">
        <f>AE1993+1</f>
        <v>#N/A</v>
      </c>
    </row>
    <row r="1995" spans="30:31" x14ac:dyDescent="0.2">
      <c r="AD1995" s="269" t="e">
        <f>INDEX('SRIM Data'!$Z$9:$Z$140,AE1993)</f>
        <v>#N/A</v>
      </c>
      <c r="AE1995" s="268" t="e">
        <f>INDEX('SRIM Data'!$AA$9:$AA$140,AE1993)</f>
        <v>#N/A</v>
      </c>
    </row>
    <row r="1996" spans="30:31" x14ac:dyDescent="0.2">
      <c r="AD1996" s="269" t="e">
        <f>INDEX('SRIM Data'!$Z$9:$Z$140,AE1994)</f>
        <v>#N/A</v>
      </c>
      <c r="AE1996" s="268" t="e">
        <f>INDEX('SRIM Data'!$AA$9:$AA$140,AE1994)</f>
        <v>#N/A</v>
      </c>
    </row>
    <row r="1997" spans="30:31" x14ac:dyDescent="0.2">
      <c r="AD1997" s="270" t="e">
        <f>AD1996-AE1997*(AD1996-AD1995)</f>
        <v>#N/A</v>
      </c>
      <c r="AE1997" s="271" t="e">
        <f>(AE1996-AE1992)/(AE1996-AE1995)</f>
        <v>#N/A</v>
      </c>
    </row>
    <row r="1998" spans="30:31" x14ac:dyDescent="0.2">
      <c r="AD1998" s="272">
        <f>V1987</f>
        <v>0</v>
      </c>
      <c r="AE1998" s="273">
        <f>W1987</f>
        <v>0</v>
      </c>
    </row>
    <row r="1999" spans="30:31" x14ac:dyDescent="0.2">
      <c r="AD1999" s="267" t="e">
        <f>MATCH(AD1998,'SRIM Data'!$Z$9:$Z$140)</f>
        <v>#N/A</v>
      </c>
      <c r="AE1999" s="268"/>
    </row>
    <row r="2000" spans="30:31" x14ac:dyDescent="0.2">
      <c r="AD2000" s="267" t="e">
        <f>AD1999+1</f>
        <v>#N/A</v>
      </c>
      <c r="AE2000" s="268"/>
    </row>
    <row r="2001" spans="30:31" x14ac:dyDescent="0.2">
      <c r="AD2001" s="269" t="e">
        <f>INDEX('SRIM Data'!$Z$9:$Z$140,AD1999)</f>
        <v>#N/A</v>
      </c>
      <c r="AE2001" s="268" t="e">
        <f>INDEX('SRIM Data'!$AA$9:$AA$140,AD1999)</f>
        <v>#N/A</v>
      </c>
    </row>
    <row r="2002" spans="30:31" x14ac:dyDescent="0.2">
      <c r="AD2002" s="269" t="e">
        <f>INDEX('SRIM Data'!$Z$9:$Z$140,AD2000)</f>
        <v>#N/A</v>
      </c>
      <c r="AE2002" s="268" t="e">
        <f>INDEX('SRIM Data'!$AA$9:$AA$140,AD2000)</f>
        <v>#N/A</v>
      </c>
    </row>
    <row r="2003" spans="30:31" x14ac:dyDescent="0.2">
      <c r="AD2003" s="267" t="e">
        <f>(AD2002-AD1998)/(AD2002-AD2001)</f>
        <v>#N/A</v>
      </c>
      <c r="AE2003" s="268" t="e">
        <f>AE2002-AD2003*(AE2002-AE2001)</f>
        <v>#N/A</v>
      </c>
    </row>
    <row r="2004" spans="30:31" x14ac:dyDescent="0.2">
      <c r="AD2004" s="267"/>
      <c r="AE2004" s="268" t="e">
        <f>AE2003-AE1998</f>
        <v>#N/A</v>
      </c>
    </row>
    <row r="2005" spans="30:31" x14ac:dyDescent="0.2">
      <c r="AD2005" s="267"/>
      <c r="AE2005" s="268" t="e">
        <f>MATCH(AE2004,'SRIM Data'!$AA$9:$AA$140)</f>
        <v>#N/A</v>
      </c>
    </row>
    <row r="2006" spans="30:31" x14ac:dyDescent="0.2">
      <c r="AD2006" s="267"/>
      <c r="AE2006" s="268" t="e">
        <f>AE2005+1</f>
        <v>#N/A</v>
      </c>
    </row>
    <row r="2007" spans="30:31" x14ac:dyDescent="0.2">
      <c r="AD2007" s="269" t="e">
        <f>INDEX('SRIM Data'!$Z$9:$Z$140,AE2005)</f>
        <v>#N/A</v>
      </c>
      <c r="AE2007" s="268" t="e">
        <f>INDEX('SRIM Data'!$AA$9:$AA$140,AE2005)</f>
        <v>#N/A</v>
      </c>
    </row>
    <row r="2008" spans="30:31" x14ac:dyDescent="0.2">
      <c r="AD2008" s="269" t="e">
        <f>INDEX('SRIM Data'!$Z$9:$Z$140,AE2006)</f>
        <v>#N/A</v>
      </c>
      <c r="AE2008" s="268" t="e">
        <f>INDEX('SRIM Data'!$AA$9:$AA$140,AE2006)</f>
        <v>#N/A</v>
      </c>
    </row>
    <row r="2009" spans="30:31" x14ac:dyDescent="0.2">
      <c r="AD2009" s="270" t="e">
        <f>AD2008-AE2009*(AD2008-AD2007)</f>
        <v>#N/A</v>
      </c>
      <c r="AE2009" s="271" t="e">
        <f>(AE2008-AE2004)/(AE2008-AE2007)</f>
        <v>#N/A</v>
      </c>
    </row>
    <row r="2010" spans="30:31" x14ac:dyDescent="0.2">
      <c r="AD2010" s="272">
        <f>V2010</f>
        <v>0</v>
      </c>
      <c r="AE2010" s="273">
        <f>W2010</f>
        <v>0</v>
      </c>
    </row>
    <row r="2011" spans="30:31" x14ac:dyDescent="0.2">
      <c r="AD2011" s="267" t="e">
        <f>MATCH(AD2010,'SRIM Data'!$Z$9:$Z$140)</f>
        <v>#N/A</v>
      </c>
      <c r="AE2011" s="268"/>
    </row>
    <row r="2012" spans="30:31" x14ac:dyDescent="0.2">
      <c r="AD2012" s="267" t="e">
        <f>AD2011+1</f>
        <v>#N/A</v>
      </c>
      <c r="AE2012" s="268"/>
    </row>
    <row r="2013" spans="30:31" x14ac:dyDescent="0.2">
      <c r="AD2013" s="269" t="e">
        <f>INDEX('SRIM Data'!$Z$9:$Z$140,AD2011)</f>
        <v>#N/A</v>
      </c>
      <c r="AE2013" s="268" t="e">
        <f>INDEX('SRIM Data'!$AA$9:$AA$140,AD2011)</f>
        <v>#N/A</v>
      </c>
    </row>
    <row r="2014" spans="30:31" x14ac:dyDescent="0.2">
      <c r="AD2014" s="269" t="e">
        <f>INDEX('SRIM Data'!$Z$9:$Z$140,AD2012)</f>
        <v>#N/A</v>
      </c>
      <c r="AE2014" s="268" t="e">
        <f>INDEX('SRIM Data'!$AA$9:$AA$140,AD2012)</f>
        <v>#N/A</v>
      </c>
    </row>
    <row r="2015" spans="30:31" x14ac:dyDescent="0.2">
      <c r="AD2015" s="267" t="e">
        <f>(AD2014-AD2010)/(AD2014-AD2013)</f>
        <v>#N/A</v>
      </c>
      <c r="AE2015" s="268" t="e">
        <f>AE2014-AD2015*(AE2014-AE2013)</f>
        <v>#N/A</v>
      </c>
    </row>
    <row r="2016" spans="30:31" x14ac:dyDescent="0.2">
      <c r="AD2016" s="267"/>
      <c r="AE2016" s="268" t="e">
        <f>AE2015-AE2010</f>
        <v>#N/A</v>
      </c>
    </row>
    <row r="2017" spans="30:31" x14ac:dyDescent="0.2">
      <c r="AD2017" s="267"/>
      <c r="AE2017" s="268" t="e">
        <f>MATCH(AE2016,'SRIM Data'!$AA$9:$AA$140)</f>
        <v>#N/A</v>
      </c>
    </row>
    <row r="2018" spans="30:31" x14ac:dyDescent="0.2">
      <c r="AD2018" s="267"/>
      <c r="AE2018" s="268" t="e">
        <f>AE2017+1</f>
        <v>#N/A</v>
      </c>
    </row>
    <row r="2019" spans="30:31" x14ac:dyDescent="0.2">
      <c r="AD2019" s="269" t="e">
        <f>INDEX('SRIM Data'!$Z$9:$Z$140,AE2017)</f>
        <v>#N/A</v>
      </c>
      <c r="AE2019" s="268" t="e">
        <f>INDEX('SRIM Data'!$AA$9:$AA$140,AE2017)</f>
        <v>#N/A</v>
      </c>
    </row>
    <row r="2020" spans="30:31" x14ac:dyDescent="0.2">
      <c r="AD2020" s="269" t="e">
        <f>INDEX('SRIM Data'!$Z$9:$Z$140,AE2018)</f>
        <v>#N/A</v>
      </c>
      <c r="AE2020" s="268" t="e">
        <f>INDEX('SRIM Data'!$AA$9:$AA$140,AE2018)</f>
        <v>#N/A</v>
      </c>
    </row>
    <row r="2021" spans="30:31" x14ac:dyDescent="0.2">
      <c r="AD2021" s="270" t="e">
        <f>AD2020-AE2021*(AD2020-AD2019)</f>
        <v>#N/A</v>
      </c>
      <c r="AE2021" s="271" t="e">
        <f>(AE2020-AE2016)/(AE2020-AE2019)</f>
        <v>#N/A</v>
      </c>
    </row>
    <row r="2022" spans="30:31" x14ac:dyDescent="0.2">
      <c r="AD2022" s="272">
        <f>V2011</f>
        <v>0</v>
      </c>
      <c r="AE2022" s="273">
        <f>W2011</f>
        <v>0</v>
      </c>
    </row>
    <row r="2023" spans="30:31" x14ac:dyDescent="0.2">
      <c r="AD2023" s="267" t="e">
        <f>MATCH(AD2022,'SRIM Data'!$Z$9:$Z$140)</f>
        <v>#N/A</v>
      </c>
      <c r="AE2023" s="268"/>
    </row>
    <row r="2024" spans="30:31" x14ac:dyDescent="0.2">
      <c r="AD2024" s="267" t="e">
        <f>AD2023+1</f>
        <v>#N/A</v>
      </c>
      <c r="AE2024" s="268"/>
    </row>
    <row r="2025" spans="30:31" x14ac:dyDescent="0.2">
      <c r="AD2025" s="269" t="e">
        <f>INDEX('SRIM Data'!$Z$9:$Z$140,AD2023)</f>
        <v>#N/A</v>
      </c>
      <c r="AE2025" s="268" t="e">
        <f>INDEX('SRIM Data'!$AA$9:$AA$140,AD2023)</f>
        <v>#N/A</v>
      </c>
    </row>
    <row r="2026" spans="30:31" x14ac:dyDescent="0.2">
      <c r="AD2026" s="269" t="e">
        <f>INDEX('SRIM Data'!$Z$9:$Z$140,AD2024)</f>
        <v>#N/A</v>
      </c>
      <c r="AE2026" s="268" t="e">
        <f>INDEX('SRIM Data'!$AA$9:$AA$140,AD2024)</f>
        <v>#N/A</v>
      </c>
    </row>
    <row r="2027" spans="30:31" x14ac:dyDescent="0.2">
      <c r="AD2027" s="267" t="e">
        <f>(AD2026-AD2022)/(AD2026-AD2025)</f>
        <v>#N/A</v>
      </c>
      <c r="AE2027" s="268" t="e">
        <f>AE2026-AD2027*(AE2026-AE2025)</f>
        <v>#N/A</v>
      </c>
    </row>
    <row r="2028" spans="30:31" x14ac:dyDescent="0.2">
      <c r="AD2028" s="267"/>
      <c r="AE2028" s="268" t="e">
        <f>AE2027-AE2022</f>
        <v>#N/A</v>
      </c>
    </row>
    <row r="2029" spans="30:31" x14ac:dyDescent="0.2">
      <c r="AD2029" s="267"/>
      <c r="AE2029" s="268" t="e">
        <f>MATCH(AE2028,'SRIM Data'!$AA$9:$AA$140)</f>
        <v>#N/A</v>
      </c>
    </row>
    <row r="2030" spans="30:31" x14ac:dyDescent="0.2">
      <c r="AD2030" s="267"/>
      <c r="AE2030" s="268" t="e">
        <f>AE2029+1</f>
        <v>#N/A</v>
      </c>
    </row>
    <row r="2031" spans="30:31" x14ac:dyDescent="0.2">
      <c r="AD2031" s="269" t="e">
        <f>INDEX('SRIM Data'!$Z$9:$Z$140,AE2029)</f>
        <v>#N/A</v>
      </c>
      <c r="AE2031" s="268" t="e">
        <f>INDEX('SRIM Data'!$AA$9:$AA$140,AE2029)</f>
        <v>#N/A</v>
      </c>
    </row>
    <row r="2032" spans="30:31" x14ac:dyDescent="0.2">
      <c r="AD2032" s="269" t="e">
        <f>INDEX('SRIM Data'!$Z$9:$Z$140,AE2030)</f>
        <v>#N/A</v>
      </c>
      <c r="AE2032" s="268" t="e">
        <f>INDEX('SRIM Data'!$AA$9:$AA$140,AE2030)</f>
        <v>#N/A</v>
      </c>
    </row>
    <row r="2033" spans="30:31" x14ac:dyDescent="0.2">
      <c r="AD2033" s="270" t="e">
        <f>AD2032-AE2033*(AD2032-AD2031)</f>
        <v>#N/A</v>
      </c>
      <c r="AE2033" s="271" t="e">
        <f>(AE2032-AE2028)/(AE2032-AE2031)</f>
        <v>#N/A</v>
      </c>
    </row>
    <row r="2034" spans="30:31" x14ac:dyDescent="0.2">
      <c r="AD2034" s="272">
        <f>V2034</f>
        <v>0</v>
      </c>
      <c r="AE2034" s="273">
        <f>W2034</f>
        <v>0</v>
      </c>
    </row>
    <row r="2035" spans="30:31" x14ac:dyDescent="0.2">
      <c r="AD2035" s="267" t="e">
        <f>MATCH(AD2034,'SRIM Data'!$Z$9:$Z$140)</f>
        <v>#N/A</v>
      </c>
      <c r="AE2035" s="268"/>
    </row>
    <row r="2036" spans="30:31" x14ac:dyDescent="0.2">
      <c r="AD2036" s="267" t="e">
        <f>AD2035+1</f>
        <v>#N/A</v>
      </c>
      <c r="AE2036" s="268"/>
    </row>
    <row r="2037" spans="30:31" x14ac:dyDescent="0.2">
      <c r="AD2037" s="269" t="e">
        <f>INDEX('SRIM Data'!$Z$9:$Z$140,AD2035)</f>
        <v>#N/A</v>
      </c>
      <c r="AE2037" s="268" t="e">
        <f>INDEX('SRIM Data'!$AA$9:$AA$140,AD2035)</f>
        <v>#N/A</v>
      </c>
    </row>
    <row r="2038" spans="30:31" x14ac:dyDescent="0.2">
      <c r="AD2038" s="269" t="e">
        <f>INDEX('SRIM Data'!$Z$9:$Z$140,AD2036)</f>
        <v>#N/A</v>
      </c>
      <c r="AE2038" s="268" t="e">
        <f>INDEX('SRIM Data'!$AA$9:$AA$140,AD2036)</f>
        <v>#N/A</v>
      </c>
    </row>
    <row r="2039" spans="30:31" x14ac:dyDescent="0.2">
      <c r="AD2039" s="267" t="e">
        <f>(AD2038-AD2034)/(AD2038-AD2037)</f>
        <v>#N/A</v>
      </c>
      <c r="AE2039" s="268" t="e">
        <f>AE2038-AD2039*(AE2038-AE2037)</f>
        <v>#N/A</v>
      </c>
    </row>
    <row r="2040" spans="30:31" x14ac:dyDescent="0.2">
      <c r="AD2040" s="267"/>
      <c r="AE2040" s="268" t="e">
        <f>AE2039-AE2034</f>
        <v>#N/A</v>
      </c>
    </row>
    <row r="2041" spans="30:31" x14ac:dyDescent="0.2">
      <c r="AD2041" s="267"/>
      <c r="AE2041" s="268" t="e">
        <f>MATCH(AE2040,'SRIM Data'!$AA$9:$AA$140)</f>
        <v>#N/A</v>
      </c>
    </row>
    <row r="2042" spans="30:31" x14ac:dyDescent="0.2">
      <c r="AD2042" s="267"/>
      <c r="AE2042" s="268" t="e">
        <f>AE2041+1</f>
        <v>#N/A</v>
      </c>
    </row>
    <row r="2043" spans="30:31" x14ac:dyDescent="0.2">
      <c r="AD2043" s="269" t="e">
        <f>INDEX('SRIM Data'!$Z$9:$Z$140,AE2041)</f>
        <v>#N/A</v>
      </c>
      <c r="AE2043" s="268" t="e">
        <f>INDEX('SRIM Data'!$AA$9:$AA$140,AE2041)</f>
        <v>#N/A</v>
      </c>
    </row>
    <row r="2044" spans="30:31" x14ac:dyDescent="0.2">
      <c r="AD2044" s="269" t="e">
        <f>INDEX('SRIM Data'!$Z$9:$Z$140,AE2042)</f>
        <v>#N/A</v>
      </c>
      <c r="AE2044" s="268" t="e">
        <f>INDEX('SRIM Data'!$AA$9:$AA$140,AE2042)</f>
        <v>#N/A</v>
      </c>
    </row>
    <row r="2045" spans="30:31" x14ac:dyDescent="0.2">
      <c r="AD2045" s="270" t="e">
        <f>AD2044-AE2045*(AD2044-AD2043)</f>
        <v>#N/A</v>
      </c>
      <c r="AE2045" s="271" t="e">
        <f>(AE2044-AE2040)/(AE2044-AE2043)</f>
        <v>#N/A</v>
      </c>
    </row>
    <row r="2046" spans="30:31" x14ac:dyDescent="0.2">
      <c r="AD2046" s="272">
        <f>V2035</f>
        <v>0</v>
      </c>
      <c r="AE2046" s="273">
        <f>W2035</f>
        <v>0</v>
      </c>
    </row>
    <row r="2047" spans="30:31" x14ac:dyDescent="0.2">
      <c r="AD2047" s="267" t="e">
        <f>MATCH(AD2046,'SRIM Data'!$Z$9:$Z$140)</f>
        <v>#N/A</v>
      </c>
      <c r="AE2047" s="268"/>
    </row>
    <row r="2048" spans="30:31" x14ac:dyDescent="0.2">
      <c r="AD2048" s="267" t="e">
        <f>AD2047+1</f>
        <v>#N/A</v>
      </c>
      <c r="AE2048" s="268"/>
    </row>
    <row r="2049" spans="30:31" x14ac:dyDescent="0.2">
      <c r="AD2049" s="269" t="e">
        <f>INDEX('SRIM Data'!$Z$9:$Z$140,AD2047)</f>
        <v>#N/A</v>
      </c>
      <c r="AE2049" s="268" t="e">
        <f>INDEX('SRIM Data'!$AA$9:$AA$140,AD2047)</f>
        <v>#N/A</v>
      </c>
    </row>
    <row r="2050" spans="30:31" x14ac:dyDescent="0.2">
      <c r="AD2050" s="269" t="e">
        <f>INDEX('SRIM Data'!$Z$9:$Z$140,AD2048)</f>
        <v>#N/A</v>
      </c>
      <c r="AE2050" s="268" t="e">
        <f>INDEX('SRIM Data'!$AA$9:$AA$140,AD2048)</f>
        <v>#N/A</v>
      </c>
    </row>
    <row r="2051" spans="30:31" x14ac:dyDescent="0.2">
      <c r="AD2051" s="267" t="e">
        <f>(AD2050-AD2046)/(AD2050-AD2049)</f>
        <v>#N/A</v>
      </c>
      <c r="AE2051" s="268" t="e">
        <f>AE2050-AD2051*(AE2050-AE2049)</f>
        <v>#N/A</v>
      </c>
    </row>
    <row r="2052" spans="30:31" x14ac:dyDescent="0.2">
      <c r="AD2052" s="267"/>
      <c r="AE2052" s="268" t="e">
        <f>AE2051-AE2046</f>
        <v>#N/A</v>
      </c>
    </row>
    <row r="2053" spans="30:31" x14ac:dyDescent="0.2">
      <c r="AD2053" s="267"/>
      <c r="AE2053" s="268" t="e">
        <f>MATCH(AE2052,'SRIM Data'!$AA$9:$AA$140)</f>
        <v>#N/A</v>
      </c>
    </row>
    <row r="2054" spans="30:31" x14ac:dyDescent="0.2">
      <c r="AD2054" s="267"/>
      <c r="AE2054" s="268" t="e">
        <f>AE2053+1</f>
        <v>#N/A</v>
      </c>
    </row>
    <row r="2055" spans="30:31" x14ac:dyDescent="0.2">
      <c r="AD2055" s="269" t="e">
        <f>INDEX('SRIM Data'!$Z$9:$Z$140,AE2053)</f>
        <v>#N/A</v>
      </c>
      <c r="AE2055" s="268" t="e">
        <f>INDEX('SRIM Data'!$AA$9:$AA$140,AE2053)</f>
        <v>#N/A</v>
      </c>
    </row>
    <row r="2056" spans="30:31" x14ac:dyDescent="0.2">
      <c r="AD2056" s="269" t="e">
        <f>INDEX('SRIM Data'!$Z$9:$Z$140,AE2054)</f>
        <v>#N/A</v>
      </c>
      <c r="AE2056" s="268" t="e">
        <f>INDEX('SRIM Data'!$AA$9:$AA$140,AE2054)</f>
        <v>#N/A</v>
      </c>
    </row>
    <row r="2057" spans="30:31" x14ac:dyDescent="0.2">
      <c r="AD2057" s="270" t="e">
        <f>AD2056-AE2057*(AD2056-AD2055)</f>
        <v>#N/A</v>
      </c>
      <c r="AE2057" s="271" t="e">
        <f>(AE2056-AE2052)/(AE2056-AE2055)</f>
        <v>#N/A</v>
      </c>
    </row>
    <row r="2058" spans="30:31" x14ac:dyDescent="0.2">
      <c r="AD2058" s="272">
        <f>V2058</f>
        <v>0</v>
      </c>
      <c r="AE2058" s="273">
        <f>W2058</f>
        <v>0</v>
      </c>
    </row>
    <row r="2059" spans="30:31" x14ac:dyDescent="0.2">
      <c r="AD2059" s="267" t="e">
        <f>MATCH(AD2058,'SRIM Data'!$Z$9:$Z$140)</f>
        <v>#N/A</v>
      </c>
      <c r="AE2059" s="268"/>
    </row>
    <row r="2060" spans="30:31" x14ac:dyDescent="0.2">
      <c r="AD2060" s="267" t="e">
        <f>AD2059+1</f>
        <v>#N/A</v>
      </c>
      <c r="AE2060" s="268"/>
    </row>
    <row r="2061" spans="30:31" x14ac:dyDescent="0.2">
      <c r="AD2061" s="269" t="e">
        <f>INDEX('SRIM Data'!$Z$9:$Z$140,AD2059)</f>
        <v>#N/A</v>
      </c>
      <c r="AE2061" s="268" t="e">
        <f>INDEX('SRIM Data'!$AA$9:$AA$140,AD2059)</f>
        <v>#N/A</v>
      </c>
    </row>
    <row r="2062" spans="30:31" x14ac:dyDescent="0.2">
      <c r="AD2062" s="269" t="e">
        <f>INDEX('SRIM Data'!$Z$9:$Z$140,AD2060)</f>
        <v>#N/A</v>
      </c>
      <c r="AE2062" s="268" t="e">
        <f>INDEX('SRIM Data'!$AA$9:$AA$140,AD2060)</f>
        <v>#N/A</v>
      </c>
    </row>
    <row r="2063" spans="30:31" x14ac:dyDescent="0.2">
      <c r="AD2063" s="267" t="e">
        <f>(AD2062-AD2058)/(AD2062-AD2061)</f>
        <v>#N/A</v>
      </c>
      <c r="AE2063" s="268" t="e">
        <f>AE2062-AD2063*(AE2062-AE2061)</f>
        <v>#N/A</v>
      </c>
    </row>
    <row r="2064" spans="30:31" x14ac:dyDescent="0.2">
      <c r="AD2064" s="267"/>
      <c r="AE2064" s="268" t="e">
        <f>AE2063-AE2058</f>
        <v>#N/A</v>
      </c>
    </row>
    <row r="2065" spans="30:31" x14ac:dyDescent="0.2">
      <c r="AD2065" s="267"/>
      <c r="AE2065" s="268" t="e">
        <f>MATCH(AE2064,'SRIM Data'!$AA$9:$AA$140)</f>
        <v>#N/A</v>
      </c>
    </row>
    <row r="2066" spans="30:31" x14ac:dyDescent="0.2">
      <c r="AD2066" s="267"/>
      <c r="AE2066" s="268" t="e">
        <f>AE2065+1</f>
        <v>#N/A</v>
      </c>
    </row>
    <row r="2067" spans="30:31" x14ac:dyDescent="0.2">
      <c r="AD2067" s="269" t="e">
        <f>INDEX('SRIM Data'!$Z$9:$Z$140,AE2065)</f>
        <v>#N/A</v>
      </c>
      <c r="AE2067" s="268" t="e">
        <f>INDEX('SRIM Data'!$AA$9:$AA$140,AE2065)</f>
        <v>#N/A</v>
      </c>
    </row>
    <row r="2068" spans="30:31" x14ac:dyDescent="0.2">
      <c r="AD2068" s="269" t="e">
        <f>INDEX('SRIM Data'!$Z$9:$Z$140,AE2066)</f>
        <v>#N/A</v>
      </c>
      <c r="AE2068" s="268" t="e">
        <f>INDEX('SRIM Data'!$AA$9:$AA$140,AE2066)</f>
        <v>#N/A</v>
      </c>
    </row>
    <row r="2069" spans="30:31" x14ac:dyDescent="0.2">
      <c r="AD2069" s="270" t="e">
        <f>AD2068-AE2069*(AD2068-AD2067)</f>
        <v>#N/A</v>
      </c>
      <c r="AE2069" s="271" t="e">
        <f>(AE2068-AE2064)/(AE2068-AE2067)</f>
        <v>#N/A</v>
      </c>
    </row>
    <row r="2070" spans="30:31" x14ac:dyDescent="0.2">
      <c r="AD2070" s="272">
        <f>V2059</f>
        <v>0</v>
      </c>
      <c r="AE2070" s="273">
        <f>W2059</f>
        <v>0</v>
      </c>
    </row>
    <row r="2071" spans="30:31" x14ac:dyDescent="0.2">
      <c r="AD2071" s="267" t="e">
        <f>MATCH(AD2070,'SRIM Data'!$Z$9:$Z$140)</f>
        <v>#N/A</v>
      </c>
      <c r="AE2071" s="268"/>
    </row>
    <row r="2072" spans="30:31" x14ac:dyDescent="0.2">
      <c r="AD2072" s="267" t="e">
        <f>AD2071+1</f>
        <v>#N/A</v>
      </c>
      <c r="AE2072" s="268"/>
    </row>
    <row r="2073" spans="30:31" x14ac:dyDescent="0.2">
      <c r="AD2073" s="269" t="e">
        <f>INDEX('SRIM Data'!$Z$9:$Z$140,AD2071)</f>
        <v>#N/A</v>
      </c>
      <c r="AE2073" s="268" t="e">
        <f>INDEX('SRIM Data'!$AA$9:$AA$140,AD2071)</f>
        <v>#N/A</v>
      </c>
    </row>
    <row r="2074" spans="30:31" x14ac:dyDescent="0.2">
      <c r="AD2074" s="269" t="e">
        <f>INDEX('SRIM Data'!$Z$9:$Z$140,AD2072)</f>
        <v>#N/A</v>
      </c>
      <c r="AE2074" s="268" t="e">
        <f>INDEX('SRIM Data'!$AA$9:$AA$140,AD2072)</f>
        <v>#N/A</v>
      </c>
    </row>
    <row r="2075" spans="30:31" x14ac:dyDescent="0.2">
      <c r="AD2075" s="267" t="e">
        <f>(AD2074-AD2070)/(AD2074-AD2073)</f>
        <v>#N/A</v>
      </c>
      <c r="AE2075" s="268" t="e">
        <f>AE2074-AD2075*(AE2074-AE2073)</f>
        <v>#N/A</v>
      </c>
    </row>
    <row r="2076" spans="30:31" x14ac:dyDescent="0.2">
      <c r="AD2076" s="267"/>
      <c r="AE2076" s="268" t="e">
        <f>AE2075-AE2070</f>
        <v>#N/A</v>
      </c>
    </row>
    <row r="2077" spans="30:31" x14ac:dyDescent="0.2">
      <c r="AD2077" s="267"/>
      <c r="AE2077" s="268" t="e">
        <f>MATCH(AE2076,'SRIM Data'!$AA$9:$AA$140)</f>
        <v>#N/A</v>
      </c>
    </row>
    <row r="2078" spans="30:31" x14ac:dyDescent="0.2">
      <c r="AD2078" s="267"/>
      <c r="AE2078" s="268" t="e">
        <f>AE2077+1</f>
        <v>#N/A</v>
      </c>
    </row>
    <row r="2079" spans="30:31" x14ac:dyDescent="0.2">
      <c r="AD2079" s="269" t="e">
        <f>INDEX('SRIM Data'!$Z$9:$Z$140,AE2077)</f>
        <v>#N/A</v>
      </c>
      <c r="AE2079" s="268" t="e">
        <f>INDEX('SRIM Data'!$AA$9:$AA$140,AE2077)</f>
        <v>#N/A</v>
      </c>
    </row>
    <row r="2080" spans="30:31" x14ac:dyDescent="0.2">
      <c r="AD2080" s="269" t="e">
        <f>INDEX('SRIM Data'!$Z$9:$Z$140,AE2078)</f>
        <v>#N/A</v>
      </c>
      <c r="AE2080" s="268" t="e">
        <f>INDEX('SRIM Data'!$AA$9:$AA$140,AE2078)</f>
        <v>#N/A</v>
      </c>
    </row>
    <row r="2081" spans="30:31" x14ac:dyDescent="0.2">
      <c r="AD2081" s="270" t="e">
        <f>AD2080-AE2081*(AD2080-AD2079)</f>
        <v>#N/A</v>
      </c>
      <c r="AE2081" s="271" t="e">
        <f>(AE2080-AE2076)/(AE2080-AE2079)</f>
        <v>#N/A</v>
      </c>
    </row>
    <row r="2082" spans="30:31" x14ac:dyDescent="0.2">
      <c r="AD2082" s="272">
        <f>V2082</f>
        <v>0</v>
      </c>
      <c r="AE2082" s="273">
        <f>W2082</f>
        <v>0</v>
      </c>
    </row>
    <row r="2083" spans="30:31" x14ac:dyDescent="0.2">
      <c r="AD2083" s="267" t="e">
        <f>MATCH(AD2082,'SRIM Data'!$Z$9:$Z$140)</f>
        <v>#N/A</v>
      </c>
      <c r="AE2083" s="268"/>
    </row>
    <row r="2084" spans="30:31" x14ac:dyDescent="0.2">
      <c r="AD2084" s="267" t="e">
        <f>AD2083+1</f>
        <v>#N/A</v>
      </c>
      <c r="AE2084" s="268"/>
    </row>
    <row r="2085" spans="30:31" x14ac:dyDescent="0.2">
      <c r="AD2085" s="269" t="e">
        <f>INDEX('SRIM Data'!$Z$9:$Z$140,AD2083)</f>
        <v>#N/A</v>
      </c>
      <c r="AE2085" s="268" t="e">
        <f>INDEX('SRIM Data'!$AA$9:$AA$140,AD2083)</f>
        <v>#N/A</v>
      </c>
    </row>
    <row r="2086" spans="30:31" x14ac:dyDescent="0.2">
      <c r="AD2086" s="269" t="e">
        <f>INDEX('SRIM Data'!$Z$9:$Z$140,AD2084)</f>
        <v>#N/A</v>
      </c>
      <c r="AE2086" s="268" t="e">
        <f>INDEX('SRIM Data'!$AA$9:$AA$140,AD2084)</f>
        <v>#N/A</v>
      </c>
    </row>
    <row r="2087" spans="30:31" x14ac:dyDescent="0.2">
      <c r="AD2087" s="267" t="e">
        <f>(AD2086-AD2082)/(AD2086-AD2085)</f>
        <v>#N/A</v>
      </c>
      <c r="AE2087" s="268" t="e">
        <f>AE2086-AD2087*(AE2086-AE2085)</f>
        <v>#N/A</v>
      </c>
    </row>
    <row r="2088" spans="30:31" x14ac:dyDescent="0.2">
      <c r="AD2088" s="267"/>
      <c r="AE2088" s="268" t="e">
        <f>AE2087-AE2082</f>
        <v>#N/A</v>
      </c>
    </row>
    <row r="2089" spans="30:31" x14ac:dyDescent="0.2">
      <c r="AD2089" s="267"/>
      <c r="AE2089" s="268" t="e">
        <f>MATCH(AE2088,'SRIM Data'!$AA$9:$AA$140)</f>
        <v>#N/A</v>
      </c>
    </row>
    <row r="2090" spans="30:31" x14ac:dyDescent="0.2">
      <c r="AD2090" s="267"/>
      <c r="AE2090" s="268" t="e">
        <f>AE2089+1</f>
        <v>#N/A</v>
      </c>
    </row>
    <row r="2091" spans="30:31" x14ac:dyDescent="0.2">
      <c r="AD2091" s="269" t="e">
        <f>INDEX('SRIM Data'!$Z$9:$Z$140,AE2089)</f>
        <v>#N/A</v>
      </c>
      <c r="AE2091" s="268" t="e">
        <f>INDEX('SRIM Data'!$AA$9:$AA$140,AE2089)</f>
        <v>#N/A</v>
      </c>
    </row>
    <row r="2092" spans="30:31" x14ac:dyDescent="0.2">
      <c r="AD2092" s="269" t="e">
        <f>INDEX('SRIM Data'!$Z$9:$Z$140,AE2090)</f>
        <v>#N/A</v>
      </c>
      <c r="AE2092" s="268" t="e">
        <f>INDEX('SRIM Data'!$AA$9:$AA$140,AE2090)</f>
        <v>#N/A</v>
      </c>
    </row>
    <row r="2093" spans="30:31" x14ac:dyDescent="0.2">
      <c r="AD2093" s="270" t="e">
        <f>AD2092-AE2093*(AD2092-AD2091)</f>
        <v>#N/A</v>
      </c>
      <c r="AE2093" s="271" t="e">
        <f>(AE2092-AE2088)/(AE2092-AE2091)</f>
        <v>#N/A</v>
      </c>
    </row>
    <row r="2094" spans="30:31" x14ac:dyDescent="0.2">
      <c r="AD2094" s="272">
        <f>V2083</f>
        <v>0</v>
      </c>
      <c r="AE2094" s="273">
        <f>W2083</f>
        <v>0</v>
      </c>
    </row>
    <row r="2095" spans="30:31" x14ac:dyDescent="0.2">
      <c r="AD2095" s="267" t="e">
        <f>MATCH(AD2094,'SRIM Data'!$Z$9:$Z$140)</f>
        <v>#N/A</v>
      </c>
      <c r="AE2095" s="268"/>
    </row>
    <row r="2096" spans="30:31" x14ac:dyDescent="0.2">
      <c r="AD2096" s="267" t="e">
        <f>AD2095+1</f>
        <v>#N/A</v>
      </c>
      <c r="AE2096" s="268"/>
    </row>
    <row r="2097" spans="30:31" x14ac:dyDescent="0.2">
      <c r="AD2097" s="269" t="e">
        <f>INDEX('SRIM Data'!$Z$9:$Z$140,AD2095)</f>
        <v>#N/A</v>
      </c>
      <c r="AE2097" s="268" t="e">
        <f>INDEX('SRIM Data'!$AA$9:$AA$140,AD2095)</f>
        <v>#N/A</v>
      </c>
    </row>
    <row r="2098" spans="30:31" x14ac:dyDescent="0.2">
      <c r="AD2098" s="269" t="e">
        <f>INDEX('SRIM Data'!$Z$9:$Z$140,AD2096)</f>
        <v>#N/A</v>
      </c>
      <c r="AE2098" s="268" t="e">
        <f>INDEX('SRIM Data'!$AA$9:$AA$140,AD2096)</f>
        <v>#N/A</v>
      </c>
    </row>
    <row r="2099" spans="30:31" x14ac:dyDescent="0.2">
      <c r="AD2099" s="267" t="e">
        <f>(AD2098-AD2094)/(AD2098-AD2097)</f>
        <v>#N/A</v>
      </c>
      <c r="AE2099" s="268" t="e">
        <f>AE2098-AD2099*(AE2098-AE2097)</f>
        <v>#N/A</v>
      </c>
    </row>
    <row r="2100" spans="30:31" x14ac:dyDescent="0.2">
      <c r="AD2100" s="267"/>
      <c r="AE2100" s="268" t="e">
        <f>AE2099-AE2094</f>
        <v>#N/A</v>
      </c>
    </row>
    <row r="2101" spans="30:31" x14ac:dyDescent="0.2">
      <c r="AD2101" s="267"/>
      <c r="AE2101" s="268" t="e">
        <f>MATCH(AE2100,'SRIM Data'!$AA$9:$AA$140)</f>
        <v>#N/A</v>
      </c>
    </row>
    <row r="2102" spans="30:31" x14ac:dyDescent="0.2">
      <c r="AD2102" s="267"/>
      <c r="AE2102" s="268" t="e">
        <f>AE2101+1</f>
        <v>#N/A</v>
      </c>
    </row>
    <row r="2103" spans="30:31" x14ac:dyDescent="0.2">
      <c r="AD2103" s="269" t="e">
        <f>INDEX('SRIM Data'!$Z$9:$Z$140,AE2101)</f>
        <v>#N/A</v>
      </c>
      <c r="AE2103" s="268" t="e">
        <f>INDEX('SRIM Data'!$AA$9:$AA$140,AE2101)</f>
        <v>#N/A</v>
      </c>
    </row>
    <row r="2104" spans="30:31" x14ac:dyDescent="0.2">
      <c r="AD2104" s="272"/>
      <c r="AE2104" s="273"/>
    </row>
    <row r="2105" spans="30:31" x14ac:dyDescent="0.2">
      <c r="AD2105" s="267"/>
      <c r="AE2105" s="268"/>
    </row>
  </sheetData>
  <phoneticPr fontId="6" type="noConversion"/>
  <pageMargins left="0.75" right="0.75" top="1" bottom="1" header="0.5" footer="0.5"/>
  <pageSetup paperSize="9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3187"/>
  <sheetViews>
    <sheetView workbookViewId="0">
      <selection activeCell="M15" sqref="M15"/>
    </sheetView>
  </sheetViews>
  <sheetFormatPr defaultColWidth="8.85546875" defaultRowHeight="12.75" x14ac:dyDescent="0.2"/>
  <cols>
    <col min="1" max="8" width="10.42578125" customWidth="1"/>
  </cols>
  <sheetData>
    <row r="1" spans="1:25" x14ac:dyDescent="0.2">
      <c r="A1" s="26" t="s">
        <v>1717</v>
      </c>
      <c r="B1" s="26"/>
      <c r="C1" s="26"/>
      <c r="D1" s="26"/>
      <c r="E1" s="27" t="s">
        <v>1716</v>
      </c>
      <c r="F1" s="26"/>
      <c r="G1" s="26"/>
      <c r="H1" s="29" t="s">
        <v>264</v>
      </c>
      <c r="J1" s="26"/>
      <c r="K1" s="27" t="s">
        <v>1716</v>
      </c>
      <c r="L1" s="26"/>
      <c r="M1" s="26"/>
      <c r="N1" s="29" t="s">
        <v>264</v>
      </c>
      <c r="P1" s="26"/>
      <c r="Q1" s="27" t="s">
        <v>1716</v>
      </c>
      <c r="R1" s="26"/>
      <c r="S1" s="29" t="s">
        <v>264</v>
      </c>
      <c r="U1" s="26"/>
      <c r="V1" s="27" t="s">
        <v>1716</v>
      </c>
      <c r="W1" s="26"/>
      <c r="X1" s="26"/>
      <c r="Y1" s="29" t="s">
        <v>264</v>
      </c>
    </row>
    <row r="2" spans="1:25" x14ac:dyDescent="0.2">
      <c r="A2" s="26">
        <v>931.49386000000004</v>
      </c>
      <c r="B2" s="26"/>
      <c r="C2" s="26"/>
      <c r="D2" s="26" t="s">
        <v>1712</v>
      </c>
      <c r="E2" s="26">
        <f ca="1">F2+H2/$A$2</f>
        <v>7.0169298314000699</v>
      </c>
      <c r="F2" s="26">
        <f>Reaction!D7</f>
        <v>7</v>
      </c>
      <c r="G2" s="26" t="str">
        <f>INDEX(Symbol_values,MATCH(Reaction!F7,Z_values,0))</f>
        <v>Be</v>
      </c>
      <c r="H2" s="30">
        <f ca="1">VLOOKUP(Reaction!C7,INDIRECT(ADDRESS(MATCH(Reaction!D7,A_values,0),4,1)):INDIRECT(ADDRESS(MATCH(Reaction!D7+1,A_values,0)-1,7,1)),4,FALSE)/1000</f>
        <v>15.770033999999999</v>
      </c>
      <c r="J2" s="26" t="s">
        <v>1712</v>
      </c>
      <c r="K2" s="26">
        <f ca="1">L2+N2/$A$2</f>
        <v>7.0160045510122844</v>
      </c>
      <c r="L2" s="26">
        <f>Reaction!D31</f>
        <v>7</v>
      </c>
      <c r="M2" s="26" t="str">
        <f>INDEX(Symbol_values,MATCH(Reaction!E31,Z_values,0))</f>
        <v>Li</v>
      </c>
      <c r="N2" s="30">
        <f ca="1">VLOOKUP(Reaction!C31,INDIRECT(ADDRESS(MATCH(Reaction!D31,A_values,0),4,1)):INDIRECT(ADDRESS(MATCH(Reaction!D31+1,A_values,0)-1,7,1)),4,FALSE)/1000</f>
        <v>14.908140999999999</v>
      </c>
      <c r="P2" s="109" t="s">
        <v>1713</v>
      </c>
      <c r="Q2" s="26">
        <f ca="1">R2+S2/$A$2</f>
        <v>196.96656865671665</v>
      </c>
      <c r="R2" s="26">
        <f>Target!E13</f>
        <v>197</v>
      </c>
      <c r="S2" s="30">
        <f ca="1">VLOOKUP(Target!D13,INDIRECT(ADDRESS(MATCH(Target!E13,A_values,0),4,1)):INDIRECT(ADDRESS(MATCH(Target!E13+1,A_values,0)-1,7,1)),4,FALSE)/1000</f>
        <v>-31.141090999999999</v>
      </c>
      <c r="U2" s="109" t="s">
        <v>399</v>
      </c>
      <c r="V2" s="26">
        <f ca="1">W2+Y2/$A$2</f>
        <v>7.0160045510122844</v>
      </c>
      <c r="W2" s="26">
        <f>'Rutherford Scattering'!D4</f>
        <v>7</v>
      </c>
      <c r="X2" s="26" t="str">
        <f>INDEX(Symbol_values,MATCH('Rutherford Scattering'!E4,Z_values,0))</f>
        <v>Li</v>
      </c>
      <c r="Y2" s="30">
        <f ca="1">VLOOKUP('Rutherford Scattering'!C4,INDIRECT(ADDRESS(MATCH('Rutherford Scattering'!D4,A_values,0),4,1)):INDIRECT(ADDRESS(MATCH('Rutherford Scattering'!D4+1,A_values,0)-1,7,1)),4,FALSE)/1000</f>
        <v>14.908140999999999</v>
      </c>
    </row>
    <row r="3" spans="1:25" x14ac:dyDescent="0.2">
      <c r="A3" s="26"/>
      <c r="B3" s="26"/>
      <c r="C3" s="26"/>
      <c r="D3" s="26" t="s">
        <v>1713</v>
      </c>
      <c r="E3" s="26">
        <f ca="1">F3+H3/$A$2</f>
        <v>1.0078250333287222</v>
      </c>
      <c r="F3" s="26">
        <f>Reaction!D8</f>
        <v>1</v>
      </c>
      <c r="G3" s="26" t="str">
        <f>INDEX(Symbol_values,MATCH(Reaction!F8,Z_values,0))</f>
        <v>H</v>
      </c>
      <c r="H3" s="30">
        <f ca="1">VLOOKUP(Reaction!C8,INDIRECT(ADDRESS(MATCH(Reaction!D8,A_values,0),4,1)):INDIRECT(ADDRESS(MATCH(Reaction!D8+1,A_values,0)-1,7,1)),4,FALSE)/1000</f>
        <v>7.2889705000000005</v>
      </c>
      <c r="J3" s="26" t="s">
        <v>1713</v>
      </c>
      <c r="K3" s="26">
        <f ca="1">L3+N3/$A$2</f>
        <v>196.96656865671665</v>
      </c>
      <c r="L3" s="26">
        <f>Reaction!D32</f>
        <v>197</v>
      </c>
      <c r="M3" s="26" t="str">
        <f>INDEX(Symbol_values,MATCH(Reaction!E32,Z_values,0))</f>
        <v>Au</v>
      </c>
      <c r="N3" s="30">
        <f ca="1">VLOOKUP(Reaction!C32,INDIRECT(ADDRESS(MATCH(Reaction!D32,A_values,0),4,1)):INDIRECT(ADDRESS(MATCH(Reaction!D32+1,A_values,0)-1,7,1)),4,FALSE)/1000</f>
        <v>-31.141090999999999</v>
      </c>
      <c r="P3" s="26" t="s">
        <v>1713</v>
      </c>
      <c r="Q3" s="26" t="e">
        <f ca="1">R3+S3/$A$2</f>
        <v>#N/A</v>
      </c>
      <c r="R3" s="26">
        <f>Target!E14</f>
        <v>0</v>
      </c>
      <c r="S3" s="30" t="e">
        <f ca="1">VLOOKUP(Target!D14,INDIRECT(ADDRESS(MATCH(Target!E14,A_values,0),4,1)):INDIRECT(ADDRESS(MATCH(Target!E14+1,A_values,0)-1,7,1)),4,FALSE)/1000</f>
        <v>#N/A</v>
      </c>
      <c r="U3" s="26" t="s">
        <v>1713</v>
      </c>
      <c r="V3" s="26">
        <f ca="1">W3+Y3/$A$2</f>
        <v>196.96656865671665</v>
      </c>
      <c r="W3" s="26">
        <f>'Rutherford Scattering'!D5</f>
        <v>197</v>
      </c>
      <c r="X3" s="26" t="str">
        <f>INDEX(Symbol_values,MATCH('Rutherford Scattering'!E5,Z_values,0))</f>
        <v>Au</v>
      </c>
      <c r="Y3" s="30">
        <f ca="1">VLOOKUP('Rutherford Scattering'!C5,INDIRECT(ADDRESS(MATCH('Rutherford Scattering'!D5,A_values,0),4,1)):INDIRECT(ADDRESS(MATCH('Rutherford Scattering'!D5+1,A_values,0)-1,7,1)),4,FALSE)/1000</f>
        <v>-31.141090999999999</v>
      </c>
    </row>
    <row r="4" spans="1:25" x14ac:dyDescent="0.2">
      <c r="A4" s="26"/>
      <c r="B4" s="26"/>
      <c r="C4" s="26"/>
      <c r="D4" s="26" t="s">
        <v>1714</v>
      </c>
      <c r="E4" s="26">
        <f ca="1">F4+H4/$A$2</f>
        <v>1.0078250333287222</v>
      </c>
      <c r="F4" s="26">
        <f>Reaction!D10</f>
        <v>1</v>
      </c>
      <c r="G4" s="26" t="str">
        <f>INDEX(Symbol_values,MATCH(Reaction!F10,Z_values,0))</f>
        <v>H</v>
      </c>
      <c r="H4" s="30">
        <f ca="1">VLOOKUP(Reaction!C10,INDIRECT(ADDRESS(MATCH(Reaction!D10,A_values,0),4,1)):INDIRECT(ADDRESS(MATCH(Reaction!D10+1,A_values,0)-1,7,1)),4,FALSE)/1000</f>
        <v>7.2889705000000005</v>
      </c>
      <c r="J4" s="26" t="s">
        <v>1714</v>
      </c>
      <c r="K4" s="26">
        <f ca="1">L4+N4/$A$2</f>
        <v>196.96656865671665</v>
      </c>
      <c r="L4" s="26">
        <f>Reaction!D34</f>
        <v>197</v>
      </c>
      <c r="M4" s="26" t="str">
        <f>INDEX(Symbol_values,MATCH(Reaction!E34,Z_values,0))</f>
        <v>Au</v>
      </c>
      <c r="N4" s="30">
        <f ca="1">VLOOKUP(Reaction!C34,INDIRECT(ADDRESS(MATCH(Reaction!D34,A_values,0),4,1)):INDIRECT(ADDRESS(MATCH(Reaction!D34+1,A_values,0)-1,7,1)),4,FALSE)/1000</f>
        <v>-31.141090999999999</v>
      </c>
      <c r="U4" s="109" t="s">
        <v>284</v>
      </c>
      <c r="V4" s="26">
        <f ca="1">W4+Y4/$A$2</f>
        <v>7.0160045510122844</v>
      </c>
      <c r="W4" s="26">
        <f>'Rutherford Scattering'!D6</f>
        <v>7</v>
      </c>
      <c r="X4" s="26" t="str">
        <f>INDEX(Symbol_values,MATCH('Rutherford Scattering'!E6,Z_values,0))</f>
        <v>Li</v>
      </c>
      <c r="Y4" s="30">
        <f ca="1">VLOOKUP('Rutherford Scattering'!C6,INDIRECT(ADDRESS(MATCH('Rutherford Scattering'!D6,A_values,0),4,1)):INDIRECT(ADDRESS(MATCH('Rutherford Scattering'!D6+1,A_values,0)-1,7,1)),4,FALSE)/1000</f>
        <v>14.908140999999999</v>
      </c>
    </row>
    <row r="5" spans="1:25" x14ac:dyDescent="0.2">
      <c r="A5" s="26"/>
      <c r="B5" s="26"/>
      <c r="C5" s="26"/>
      <c r="D5" s="26" t="s">
        <v>1715</v>
      </c>
      <c r="E5" s="26">
        <f ca="1">F5+H5/$A$2</f>
        <v>7.0169298314000699</v>
      </c>
      <c r="F5" s="26">
        <f>Reaction!D12</f>
        <v>7</v>
      </c>
      <c r="G5" s="26" t="str">
        <f>INDEX(Symbol_values,MATCH(Reaction!F12,Z_values,0))</f>
        <v>Be</v>
      </c>
      <c r="H5" s="30">
        <f ca="1">VLOOKUP(Reaction!C12,INDIRECT(ADDRESS(MATCH(Reaction!D12,A_values,0),4,1)):INDIRECT(ADDRESS(MATCH(Reaction!D12+1,A_values,0)-1,7,1)),4,FALSE)/1000</f>
        <v>15.770033999999999</v>
      </c>
      <c r="J5" s="26" t="s">
        <v>1715</v>
      </c>
      <c r="K5" s="26">
        <f ca="1">L5+N5/$A$2</f>
        <v>7.0160045510122844</v>
      </c>
      <c r="L5" s="26">
        <f>Reaction!D36</f>
        <v>7</v>
      </c>
      <c r="M5" s="26" t="str">
        <f>INDEX(Symbol_values,MATCH(Reaction!E36,Z_values,0))</f>
        <v>Li</v>
      </c>
      <c r="N5" s="30">
        <f ca="1">VLOOKUP(Reaction!C36,INDIRECT(ADDRESS(MATCH(Reaction!D36,A_values,0),4,1)):INDIRECT(ADDRESS(MATCH(Reaction!D36+1,A_values,0)-1,7,1)),4,FALSE)/1000</f>
        <v>14.908140999999999</v>
      </c>
      <c r="U5" s="26" t="s">
        <v>1715</v>
      </c>
      <c r="V5" s="26">
        <f ca="1">W5+Y5/$A$2</f>
        <v>196.96656865671665</v>
      </c>
      <c r="W5" s="26">
        <f>'Rutherford Scattering'!D7</f>
        <v>197</v>
      </c>
      <c r="X5" s="26" t="str">
        <f>INDEX(Symbol_values,MATCH('Rutherford Scattering'!E7,Z_values,0))</f>
        <v>Au</v>
      </c>
      <c r="Y5" s="30">
        <f ca="1">VLOOKUP('Rutherford Scattering'!C7,INDIRECT(ADDRESS(MATCH('Rutherford Scattering'!D7,A_values,0),4,1)):INDIRECT(ADDRESS(MATCH('Rutherford Scattering'!D7+1,A_values,0)-1,7,1)),4,FALSE)/1000</f>
        <v>-31.141090999999999</v>
      </c>
    </row>
    <row r="6" spans="1:25" x14ac:dyDescent="0.2">
      <c r="A6" s="26"/>
      <c r="B6" s="26"/>
      <c r="C6" s="26"/>
      <c r="D6" s="26"/>
      <c r="E6" s="26"/>
      <c r="F6" s="26"/>
      <c r="G6" s="26"/>
    </row>
    <row r="7" spans="1:25" x14ac:dyDescent="0.2">
      <c r="A7" s="27" t="s">
        <v>1758</v>
      </c>
      <c r="B7" s="27" t="s">
        <v>1741</v>
      </c>
      <c r="C7" s="27" t="s">
        <v>1718</v>
      </c>
      <c r="D7" s="27"/>
      <c r="E7" s="28" t="s">
        <v>262</v>
      </c>
      <c r="F7" s="28" t="s">
        <v>1165</v>
      </c>
      <c r="G7" s="28" t="s">
        <v>263</v>
      </c>
    </row>
    <row r="8" spans="1:25" x14ac:dyDescent="0.2">
      <c r="A8">
        <v>0</v>
      </c>
      <c r="B8">
        <v>0</v>
      </c>
      <c r="C8">
        <v>0</v>
      </c>
      <c r="D8" s="393" t="s">
        <v>1784</v>
      </c>
    </row>
    <row r="9" spans="1:25" x14ac:dyDescent="0.2">
      <c r="A9" s="26">
        <v>1</v>
      </c>
      <c r="B9" s="26">
        <v>0</v>
      </c>
      <c r="C9" s="26">
        <v>1</v>
      </c>
      <c r="D9" s="393" t="s">
        <v>1783</v>
      </c>
      <c r="E9" s="26">
        <v>8071.3171000000002</v>
      </c>
      <c r="F9" s="26">
        <v>5.2999999999999998E-4</v>
      </c>
      <c r="G9" s="26">
        <f>IF(ISNUMBER(E9),E9,VALUE(SUBSTITUTE(E9,"#",".01")))</f>
        <v>8071.3171000000002</v>
      </c>
    </row>
    <row r="10" spans="1:25" x14ac:dyDescent="0.2">
      <c r="A10" s="26">
        <v>0</v>
      </c>
      <c r="B10" s="26">
        <v>1</v>
      </c>
      <c r="C10" s="26">
        <v>1</v>
      </c>
      <c r="D10" s="26" t="s">
        <v>1752</v>
      </c>
      <c r="E10" s="26">
        <v>7288.9705000000004</v>
      </c>
      <c r="F10" s="26">
        <v>1.1E-4</v>
      </c>
      <c r="G10" s="26">
        <f t="shared" ref="G10:G73" si="0">IF(ISNUMBER(E10),E10,VALUE(SUBSTITUTE(E10,"#",".01")))</f>
        <v>7288.9705000000004</v>
      </c>
    </row>
    <row r="11" spans="1:25" x14ac:dyDescent="0.2">
      <c r="A11" s="26">
        <v>1</v>
      </c>
      <c r="B11" s="26">
        <v>1</v>
      </c>
      <c r="C11" s="26">
        <v>2</v>
      </c>
      <c r="D11" s="26" t="s">
        <v>1752</v>
      </c>
      <c r="E11" s="26">
        <v>13135.721579999999</v>
      </c>
      <c r="F11" s="26">
        <v>3.5E-4</v>
      </c>
      <c r="G11" s="26">
        <f t="shared" si="0"/>
        <v>13135.721579999999</v>
      </c>
    </row>
    <row r="12" spans="1:25" x14ac:dyDescent="0.2">
      <c r="A12" s="26">
        <v>2</v>
      </c>
      <c r="B12" s="26">
        <v>1</v>
      </c>
      <c r="C12" s="26">
        <v>3</v>
      </c>
      <c r="D12" s="26" t="s">
        <v>1752</v>
      </c>
      <c r="E12" s="26">
        <v>14949.806</v>
      </c>
      <c r="F12" s="26">
        <v>2.31E-3</v>
      </c>
      <c r="G12" s="26">
        <f t="shared" si="0"/>
        <v>14949.806</v>
      </c>
    </row>
    <row r="13" spans="1:25" x14ac:dyDescent="0.2">
      <c r="A13" s="26">
        <v>1</v>
      </c>
      <c r="B13" s="26">
        <v>2</v>
      </c>
      <c r="C13" s="26">
        <v>3</v>
      </c>
      <c r="D13" s="26" t="s">
        <v>1753</v>
      </c>
      <c r="E13" s="26">
        <v>14931.214749999999</v>
      </c>
      <c r="F13" s="26">
        <v>2.4199999999999998E-3</v>
      </c>
      <c r="G13" s="26">
        <f t="shared" si="0"/>
        <v>14931.214749999999</v>
      </c>
    </row>
    <row r="14" spans="1:25" x14ac:dyDescent="0.2">
      <c r="A14" s="26">
        <v>0</v>
      </c>
      <c r="B14" s="26">
        <v>3</v>
      </c>
      <c r="C14" s="26">
        <v>3</v>
      </c>
      <c r="D14" s="26" t="s">
        <v>1754</v>
      </c>
      <c r="E14" s="26" t="s">
        <v>1166</v>
      </c>
      <c r="F14" s="26" t="s">
        <v>1167</v>
      </c>
      <c r="G14" s="26">
        <f t="shared" si="0"/>
        <v>28667.01</v>
      </c>
    </row>
    <row r="15" spans="1:25" x14ac:dyDescent="0.2">
      <c r="A15" s="26">
        <v>3</v>
      </c>
      <c r="B15" s="26">
        <v>1</v>
      </c>
      <c r="C15" s="26">
        <v>4</v>
      </c>
      <c r="D15" s="26" t="s">
        <v>1752</v>
      </c>
      <c r="E15" s="26">
        <v>25901.518</v>
      </c>
      <c r="F15" s="26">
        <v>103.286</v>
      </c>
      <c r="G15" s="26">
        <f t="shared" si="0"/>
        <v>25901.518</v>
      </c>
    </row>
    <row r="16" spans="1:25" x14ac:dyDescent="0.2">
      <c r="A16" s="26">
        <v>2</v>
      </c>
      <c r="B16" s="26">
        <v>2</v>
      </c>
      <c r="C16" s="26">
        <v>4</v>
      </c>
      <c r="D16" s="26" t="s">
        <v>1753</v>
      </c>
      <c r="E16" s="26">
        <v>2424.9156499999999</v>
      </c>
      <c r="F16" s="26">
        <v>6.0000000000000002E-5</v>
      </c>
      <c r="G16" s="26">
        <f t="shared" si="0"/>
        <v>2424.9156499999999</v>
      </c>
    </row>
    <row r="17" spans="1:7" x14ac:dyDescent="0.2">
      <c r="A17" s="26">
        <v>1</v>
      </c>
      <c r="B17" s="26">
        <v>3</v>
      </c>
      <c r="C17" s="26">
        <v>4</v>
      </c>
      <c r="D17" s="26" t="s">
        <v>1754</v>
      </c>
      <c r="E17" s="26">
        <v>25323.185000000001</v>
      </c>
      <c r="F17" s="26">
        <v>212.13200000000001</v>
      </c>
      <c r="G17" s="26">
        <f t="shared" si="0"/>
        <v>25323.185000000001</v>
      </c>
    </row>
    <row r="18" spans="1:7" x14ac:dyDescent="0.2">
      <c r="A18" s="26">
        <v>4</v>
      </c>
      <c r="B18" s="26">
        <v>1</v>
      </c>
      <c r="C18" s="26">
        <v>5</v>
      </c>
      <c r="D18" s="26" t="s">
        <v>1752</v>
      </c>
      <c r="E18" s="26">
        <v>32892.44</v>
      </c>
      <c r="F18" s="26">
        <v>100</v>
      </c>
      <c r="G18" s="26">
        <f t="shared" si="0"/>
        <v>32892.44</v>
      </c>
    </row>
    <row r="19" spans="1:7" x14ac:dyDescent="0.2">
      <c r="A19" s="26">
        <v>3</v>
      </c>
      <c r="B19" s="26">
        <v>2</v>
      </c>
      <c r="C19" s="26">
        <v>5</v>
      </c>
      <c r="D19" s="26" t="s">
        <v>1753</v>
      </c>
      <c r="E19" s="26">
        <v>11386.233</v>
      </c>
      <c r="F19" s="26">
        <v>50</v>
      </c>
      <c r="G19" s="26">
        <f t="shared" si="0"/>
        <v>11386.233</v>
      </c>
    </row>
    <row r="20" spans="1:7" x14ac:dyDescent="0.2">
      <c r="A20" s="26">
        <v>2</v>
      </c>
      <c r="B20" s="26">
        <v>3</v>
      </c>
      <c r="C20" s="26">
        <v>5</v>
      </c>
      <c r="D20" s="26" t="s">
        <v>1754</v>
      </c>
      <c r="E20" s="26">
        <v>11678.886</v>
      </c>
      <c r="F20" s="26">
        <v>50</v>
      </c>
      <c r="G20" s="26">
        <f t="shared" si="0"/>
        <v>11678.886</v>
      </c>
    </row>
    <row r="21" spans="1:7" x14ac:dyDescent="0.2">
      <c r="A21" s="26">
        <v>1</v>
      </c>
      <c r="B21" s="26">
        <v>4</v>
      </c>
      <c r="C21" s="26">
        <v>5</v>
      </c>
      <c r="D21" s="26" t="s">
        <v>1755</v>
      </c>
      <c r="E21" s="26" t="s">
        <v>1719</v>
      </c>
      <c r="F21" s="26" t="s">
        <v>1720</v>
      </c>
      <c r="G21" s="26">
        <f t="shared" si="0"/>
        <v>37996.01</v>
      </c>
    </row>
    <row r="22" spans="1:7" x14ac:dyDescent="0.2">
      <c r="A22" s="26">
        <v>5</v>
      </c>
      <c r="B22" s="26">
        <v>1</v>
      </c>
      <c r="C22" s="26">
        <v>6</v>
      </c>
      <c r="D22" s="26" t="s">
        <v>1752</v>
      </c>
      <c r="E22" s="26">
        <v>41863.756999999998</v>
      </c>
      <c r="F22" s="26">
        <v>264.90600000000001</v>
      </c>
      <c r="G22" s="26">
        <f t="shared" si="0"/>
        <v>41863.756999999998</v>
      </c>
    </row>
    <row r="23" spans="1:7" x14ac:dyDescent="0.2">
      <c r="A23" s="26">
        <v>4</v>
      </c>
      <c r="B23" s="26">
        <v>2</v>
      </c>
      <c r="C23" s="26">
        <v>6</v>
      </c>
      <c r="D23" s="26" t="s">
        <v>1753</v>
      </c>
      <c r="E23" s="26">
        <v>17595.106</v>
      </c>
      <c r="F23" s="26">
        <v>0.755</v>
      </c>
      <c r="G23" s="26">
        <f t="shared" si="0"/>
        <v>17595.106</v>
      </c>
    </row>
    <row r="24" spans="1:7" x14ac:dyDescent="0.2">
      <c r="A24" s="26">
        <v>3</v>
      </c>
      <c r="B24" s="26">
        <v>3</v>
      </c>
      <c r="C24" s="26">
        <v>6</v>
      </c>
      <c r="D24" s="26" t="s">
        <v>1754</v>
      </c>
      <c r="E24" s="26">
        <v>14086.793</v>
      </c>
      <c r="F24" s="26">
        <v>1.4999999999999999E-2</v>
      </c>
      <c r="G24" s="26">
        <f t="shared" si="0"/>
        <v>14086.793</v>
      </c>
    </row>
    <row r="25" spans="1:7" x14ac:dyDescent="0.2">
      <c r="A25" s="26">
        <v>2</v>
      </c>
      <c r="B25" s="26">
        <v>4</v>
      </c>
      <c r="C25" s="26">
        <v>6</v>
      </c>
      <c r="D25" s="26" t="s">
        <v>1755</v>
      </c>
      <c r="E25" s="26">
        <v>18374.947</v>
      </c>
      <c r="F25" s="26">
        <v>5.4480000000000004</v>
      </c>
      <c r="G25" s="26">
        <f t="shared" si="0"/>
        <v>18374.947</v>
      </c>
    </row>
    <row r="26" spans="1:7" x14ac:dyDescent="0.2">
      <c r="A26" s="26">
        <v>1</v>
      </c>
      <c r="B26" s="26">
        <v>5</v>
      </c>
      <c r="C26" s="26">
        <v>6</v>
      </c>
      <c r="D26" s="26" t="s">
        <v>1756</v>
      </c>
      <c r="E26" s="26" t="s">
        <v>1168</v>
      </c>
      <c r="F26" s="26" t="s">
        <v>1508</v>
      </c>
      <c r="G26" s="26">
        <f t="shared" si="0"/>
        <v>43603.01</v>
      </c>
    </row>
    <row r="27" spans="1:7" x14ac:dyDescent="0.2">
      <c r="A27" s="26">
        <v>6</v>
      </c>
      <c r="B27" s="26">
        <v>1</v>
      </c>
      <c r="C27" s="26">
        <v>7</v>
      </c>
      <c r="D27" s="26" t="s">
        <v>1752</v>
      </c>
      <c r="E27" s="26" t="s">
        <v>1169</v>
      </c>
      <c r="F27" s="26" t="s">
        <v>1170</v>
      </c>
      <c r="G27" s="26">
        <f t="shared" si="0"/>
        <v>49135.01</v>
      </c>
    </row>
    <row r="28" spans="1:7" x14ac:dyDescent="0.2">
      <c r="A28" s="26">
        <v>5</v>
      </c>
      <c r="B28" s="26">
        <v>2</v>
      </c>
      <c r="C28" s="26">
        <v>7</v>
      </c>
      <c r="D28" s="26" t="s">
        <v>1753</v>
      </c>
      <c r="E28" s="26">
        <v>26101.038</v>
      </c>
      <c r="F28" s="26">
        <v>16.658000000000001</v>
      </c>
      <c r="G28" s="26">
        <f t="shared" si="0"/>
        <v>26101.038</v>
      </c>
    </row>
    <row r="29" spans="1:7" x14ac:dyDescent="0.2">
      <c r="A29" s="26">
        <v>4</v>
      </c>
      <c r="B29" s="26">
        <v>3</v>
      </c>
      <c r="C29" s="26">
        <v>7</v>
      </c>
      <c r="D29" s="26" t="s">
        <v>1754</v>
      </c>
      <c r="E29" s="26">
        <v>14908.141</v>
      </c>
      <c r="F29" s="26">
        <v>7.9000000000000001E-2</v>
      </c>
      <c r="G29" s="26">
        <f t="shared" si="0"/>
        <v>14908.141</v>
      </c>
    </row>
    <row r="30" spans="1:7" x14ac:dyDescent="0.2">
      <c r="A30" s="26">
        <v>3</v>
      </c>
      <c r="B30" s="26">
        <v>4</v>
      </c>
      <c r="C30" s="26">
        <v>7</v>
      </c>
      <c r="D30" s="26" t="s">
        <v>1755</v>
      </c>
      <c r="E30" s="26">
        <v>15770.034</v>
      </c>
      <c r="F30" s="26">
        <v>0.106</v>
      </c>
      <c r="G30" s="26">
        <f t="shared" si="0"/>
        <v>15770.034</v>
      </c>
    </row>
    <row r="31" spans="1:7" x14ac:dyDescent="0.2">
      <c r="A31" s="26">
        <v>2</v>
      </c>
      <c r="B31" s="26">
        <v>5</v>
      </c>
      <c r="C31" s="26">
        <v>7</v>
      </c>
      <c r="D31" s="26" t="s">
        <v>1756</v>
      </c>
      <c r="E31" s="26">
        <v>27868.346000000001</v>
      </c>
      <c r="F31" s="26">
        <v>70.712000000000003</v>
      </c>
      <c r="G31" s="26">
        <f t="shared" si="0"/>
        <v>27868.346000000001</v>
      </c>
    </row>
    <row r="32" spans="1:7" x14ac:dyDescent="0.2">
      <c r="A32" s="26">
        <v>6</v>
      </c>
      <c r="B32" s="26">
        <v>2</v>
      </c>
      <c r="C32" s="26">
        <v>8</v>
      </c>
      <c r="D32" s="26" t="s">
        <v>1753</v>
      </c>
      <c r="E32" s="26">
        <v>31598.044000000002</v>
      </c>
      <c r="F32" s="26">
        <v>6.8680000000000003</v>
      </c>
      <c r="G32" s="26">
        <f t="shared" si="0"/>
        <v>31598.044000000002</v>
      </c>
    </row>
    <row r="33" spans="1:7" x14ac:dyDescent="0.2">
      <c r="A33" s="26">
        <v>5</v>
      </c>
      <c r="B33" s="26">
        <v>3</v>
      </c>
      <c r="C33" s="26">
        <v>8</v>
      </c>
      <c r="D33" s="26" t="s">
        <v>1754</v>
      </c>
      <c r="E33" s="26">
        <v>20946.844000000001</v>
      </c>
      <c r="F33" s="26">
        <v>9.5000000000000001E-2</v>
      </c>
      <c r="G33" s="26">
        <f t="shared" si="0"/>
        <v>20946.844000000001</v>
      </c>
    </row>
    <row r="34" spans="1:7" x14ac:dyDescent="0.2">
      <c r="A34" s="26">
        <v>4</v>
      </c>
      <c r="B34" s="26">
        <v>4</v>
      </c>
      <c r="C34" s="26">
        <v>8</v>
      </c>
      <c r="D34" s="26" t="s">
        <v>1755</v>
      </c>
      <c r="E34" s="26">
        <v>4941.6719999999996</v>
      </c>
      <c r="F34" s="26">
        <v>3.5000000000000003E-2</v>
      </c>
      <c r="G34" s="26">
        <f t="shared" si="0"/>
        <v>4941.6719999999996</v>
      </c>
    </row>
    <row r="35" spans="1:7" x14ac:dyDescent="0.2">
      <c r="A35" s="26">
        <v>3</v>
      </c>
      <c r="B35" s="26">
        <v>5</v>
      </c>
      <c r="C35" s="26">
        <v>8</v>
      </c>
      <c r="D35" s="26" t="s">
        <v>1756</v>
      </c>
      <c r="E35" s="26">
        <v>22921.49</v>
      </c>
      <c r="F35" s="26">
        <v>1</v>
      </c>
      <c r="G35" s="26">
        <f t="shared" si="0"/>
        <v>22921.49</v>
      </c>
    </row>
    <row r="36" spans="1:7" x14ac:dyDescent="0.2">
      <c r="A36" s="26">
        <v>2</v>
      </c>
      <c r="B36" s="26">
        <v>6</v>
      </c>
      <c r="C36" s="26">
        <v>8</v>
      </c>
      <c r="D36" s="26" t="s">
        <v>1757</v>
      </c>
      <c r="E36" s="26">
        <v>35094.06</v>
      </c>
      <c r="F36" s="26">
        <v>23.068000000000001</v>
      </c>
      <c r="G36" s="26">
        <f t="shared" si="0"/>
        <v>35094.06</v>
      </c>
    </row>
    <row r="37" spans="1:7" x14ac:dyDescent="0.2">
      <c r="A37" s="26">
        <v>7</v>
      </c>
      <c r="B37" s="26">
        <v>2</v>
      </c>
      <c r="C37" s="26">
        <v>9</v>
      </c>
      <c r="D37" s="26" t="s">
        <v>1753</v>
      </c>
      <c r="E37" s="26">
        <v>40939.428999999996</v>
      </c>
      <c r="F37" s="26">
        <v>29.417999999999999</v>
      </c>
      <c r="G37" s="26">
        <f t="shared" si="0"/>
        <v>40939.428999999996</v>
      </c>
    </row>
    <row r="38" spans="1:7" x14ac:dyDescent="0.2">
      <c r="A38" s="26">
        <v>6</v>
      </c>
      <c r="B38" s="26">
        <v>3</v>
      </c>
      <c r="C38" s="26">
        <v>9</v>
      </c>
      <c r="D38" s="26" t="s">
        <v>1754</v>
      </c>
      <c r="E38" s="26">
        <v>24954.263999999999</v>
      </c>
      <c r="F38" s="26">
        <v>1.9350000000000001</v>
      </c>
      <c r="G38" s="26">
        <f t="shared" si="0"/>
        <v>24954.263999999999</v>
      </c>
    </row>
    <row r="39" spans="1:7" x14ac:dyDescent="0.2">
      <c r="A39" s="26">
        <v>5</v>
      </c>
      <c r="B39" s="26">
        <v>4</v>
      </c>
      <c r="C39" s="26">
        <v>9</v>
      </c>
      <c r="D39" s="26" t="s">
        <v>1755</v>
      </c>
      <c r="E39" s="26">
        <v>11347.647999999999</v>
      </c>
      <c r="F39" s="26">
        <v>0.39800000000000002</v>
      </c>
      <c r="G39" s="26">
        <f t="shared" si="0"/>
        <v>11347.647999999999</v>
      </c>
    </row>
    <row r="40" spans="1:7" x14ac:dyDescent="0.2">
      <c r="A40" s="26">
        <v>4</v>
      </c>
      <c r="B40" s="26">
        <v>5</v>
      </c>
      <c r="C40" s="26">
        <v>9</v>
      </c>
      <c r="D40" s="26" t="s">
        <v>1756</v>
      </c>
      <c r="E40" s="26">
        <v>12415.681</v>
      </c>
      <c r="F40" s="26">
        <v>0.98299999999999998</v>
      </c>
      <c r="G40" s="26">
        <f t="shared" si="0"/>
        <v>12415.681</v>
      </c>
    </row>
    <row r="41" spans="1:7" x14ac:dyDescent="0.2">
      <c r="A41" s="26">
        <v>3</v>
      </c>
      <c r="B41" s="26">
        <v>6</v>
      </c>
      <c r="C41" s="26">
        <v>9</v>
      </c>
      <c r="D41" s="26" t="s">
        <v>1757</v>
      </c>
      <c r="E41" s="26">
        <v>28910.491000000002</v>
      </c>
      <c r="F41" s="26">
        <v>2.1379999999999999</v>
      </c>
      <c r="G41" s="26">
        <f t="shared" si="0"/>
        <v>28910.491000000002</v>
      </c>
    </row>
    <row r="42" spans="1:7" x14ac:dyDescent="0.2">
      <c r="A42" s="26">
        <v>8</v>
      </c>
      <c r="B42" s="26">
        <v>2</v>
      </c>
      <c r="C42" s="26">
        <v>10</v>
      </c>
      <c r="D42" s="26" t="s">
        <v>1753</v>
      </c>
      <c r="E42" s="26">
        <v>48809.203000000001</v>
      </c>
      <c r="F42" s="26">
        <v>70.001000000000005</v>
      </c>
      <c r="G42" s="26">
        <f t="shared" si="0"/>
        <v>48809.203000000001</v>
      </c>
    </row>
    <row r="43" spans="1:7" x14ac:dyDescent="0.2">
      <c r="A43" s="26">
        <v>7</v>
      </c>
      <c r="B43" s="26">
        <v>3</v>
      </c>
      <c r="C43" s="26">
        <v>10</v>
      </c>
      <c r="D43" s="26" t="s">
        <v>1754</v>
      </c>
      <c r="E43" s="26">
        <v>33050.580999999998</v>
      </c>
      <c r="F43" s="26">
        <v>15.124000000000001</v>
      </c>
      <c r="G43" s="26">
        <f t="shared" si="0"/>
        <v>33050.580999999998</v>
      </c>
    </row>
    <row r="44" spans="1:7" x14ac:dyDescent="0.2">
      <c r="A44" s="26">
        <v>6</v>
      </c>
      <c r="B44" s="26">
        <v>4</v>
      </c>
      <c r="C44" s="26">
        <v>10</v>
      </c>
      <c r="D44" s="26" t="s">
        <v>1755</v>
      </c>
      <c r="E44" s="26">
        <v>12606.67</v>
      </c>
      <c r="F44" s="26">
        <v>0.40100000000000002</v>
      </c>
      <c r="G44" s="26">
        <f t="shared" si="0"/>
        <v>12606.67</v>
      </c>
    </row>
    <row r="45" spans="1:7" x14ac:dyDescent="0.2">
      <c r="A45" s="26">
        <v>5</v>
      </c>
      <c r="B45" s="26">
        <v>5</v>
      </c>
      <c r="C45" s="26">
        <v>10</v>
      </c>
      <c r="D45" s="26" t="s">
        <v>1756</v>
      </c>
      <c r="E45" s="26">
        <v>12050.731</v>
      </c>
      <c r="F45" s="26">
        <v>0.38600000000000001</v>
      </c>
      <c r="G45" s="26">
        <f t="shared" si="0"/>
        <v>12050.731</v>
      </c>
    </row>
    <row r="46" spans="1:7" x14ac:dyDescent="0.2">
      <c r="A46" s="26">
        <v>4</v>
      </c>
      <c r="B46" s="26">
        <v>6</v>
      </c>
      <c r="C46" s="26">
        <v>10</v>
      </c>
      <c r="D46" s="26" t="s">
        <v>1757</v>
      </c>
      <c r="E46" s="26">
        <v>15698.682000000001</v>
      </c>
      <c r="F46" s="26">
        <v>0.40300000000000002</v>
      </c>
      <c r="G46" s="26">
        <f t="shared" si="0"/>
        <v>15698.682000000001</v>
      </c>
    </row>
    <row r="47" spans="1:7" x14ac:dyDescent="0.2">
      <c r="A47" s="26">
        <v>3</v>
      </c>
      <c r="B47" s="26">
        <v>7</v>
      </c>
      <c r="C47" s="26">
        <v>10</v>
      </c>
      <c r="D47" s="26" t="s">
        <v>1758</v>
      </c>
      <c r="E47" s="26">
        <v>38800.148000000001</v>
      </c>
      <c r="F47" s="26">
        <v>400</v>
      </c>
      <c r="G47" s="26">
        <f t="shared" si="0"/>
        <v>38800.148000000001</v>
      </c>
    </row>
    <row r="48" spans="1:7" x14ac:dyDescent="0.2">
      <c r="A48" s="26">
        <v>8</v>
      </c>
      <c r="B48" s="26">
        <v>3</v>
      </c>
      <c r="C48" s="26">
        <v>11</v>
      </c>
      <c r="D48" s="26" t="s">
        <v>1754</v>
      </c>
      <c r="E48" s="26">
        <v>40797.31</v>
      </c>
      <c r="F48" s="26">
        <v>19.295000000000002</v>
      </c>
      <c r="G48" s="26">
        <f t="shared" si="0"/>
        <v>40797.31</v>
      </c>
    </row>
    <row r="49" spans="1:7" x14ac:dyDescent="0.2">
      <c r="A49" s="26">
        <v>7</v>
      </c>
      <c r="B49" s="26">
        <v>4</v>
      </c>
      <c r="C49" s="26">
        <v>11</v>
      </c>
      <c r="D49" s="26" t="s">
        <v>1755</v>
      </c>
      <c r="E49" s="26">
        <v>20174.063999999998</v>
      </c>
      <c r="F49" s="26">
        <v>6.3559999999999999</v>
      </c>
      <c r="G49" s="26">
        <f t="shared" si="0"/>
        <v>20174.063999999998</v>
      </c>
    </row>
    <row r="50" spans="1:7" x14ac:dyDescent="0.2">
      <c r="A50" s="26">
        <v>6</v>
      </c>
      <c r="B50" s="26">
        <v>5</v>
      </c>
      <c r="C50" s="26">
        <v>11</v>
      </c>
      <c r="D50" s="26" t="s">
        <v>1756</v>
      </c>
      <c r="E50" s="26">
        <v>8667.9310000000005</v>
      </c>
      <c r="F50" s="26">
        <v>0.41799999999999998</v>
      </c>
      <c r="G50" s="26">
        <f t="shared" si="0"/>
        <v>8667.9310000000005</v>
      </c>
    </row>
    <row r="51" spans="1:7" x14ac:dyDescent="0.2">
      <c r="A51" s="26">
        <v>5</v>
      </c>
      <c r="B51" s="26">
        <v>6</v>
      </c>
      <c r="C51" s="26">
        <v>11</v>
      </c>
      <c r="D51" s="26" t="s">
        <v>1757</v>
      </c>
      <c r="E51" s="26">
        <v>10650.342000000001</v>
      </c>
      <c r="F51" s="26">
        <v>0.95</v>
      </c>
      <c r="G51" s="26">
        <f t="shared" si="0"/>
        <v>10650.342000000001</v>
      </c>
    </row>
    <row r="52" spans="1:7" x14ac:dyDescent="0.2">
      <c r="A52" s="26">
        <v>4</v>
      </c>
      <c r="B52" s="26">
        <v>7</v>
      </c>
      <c r="C52" s="26">
        <v>11</v>
      </c>
      <c r="D52" s="26" t="s">
        <v>1758</v>
      </c>
      <c r="E52" s="26">
        <v>24303.569</v>
      </c>
      <c r="F52" s="26">
        <v>46.155999999999999</v>
      </c>
      <c r="G52" s="26">
        <f t="shared" si="0"/>
        <v>24303.569</v>
      </c>
    </row>
    <row r="53" spans="1:7" x14ac:dyDescent="0.2">
      <c r="A53" s="26">
        <v>9</v>
      </c>
      <c r="B53" s="26">
        <v>3</v>
      </c>
      <c r="C53" s="26">
        <v>12</v>
      </c>
      <c r="D53" s="26" t="s">
        <v>1754</v>
      </c>
      <c r="E53" s="26" t="s">
        <v>1721</v>
      </c>
      <c r="F53" s="26" t="s">
        <v>1722</v>
      </c>
      <c r="G53" s="26">
        <f t="shared" si="0"/>
        <v>50096.01</v>
      </c>
    </row>
    <row r="54" spans="1:7" x14ac:dyDescent="0.2">
      <c r="A54" s="26">
        <v>8</v>
      </c>
      <c r="B54" s="26">
        <v>4</v>
      </c>
      <c r="C54" s="26">
        <v>12</v>
      </c>
      <c r="D54" s="26" t="s">
        <v>1755</v>
      </c>
      <c r="E54" s="26">
        <v>25076.506000000001</v>
      </c>
      <c r="F54" s="26">
        <v>15.005000000000001</v>
      </c>
      <c r="G54" s="26">
        <f t="shared" si="0"/>
        <v>25076.506000000001</v>
      </c>
    </row>
    <row r="55" spans="1:7" x14ac:dyDescent="0.2">
      <c r="A55" s="26">
        <v>7</v>
      </c>
      <c r="B55" s="26">
        <v>5</v>
      </c>
      <c r="C55" s="26">
        <v>12</v>
      </c>
      <c r="D55" s="26" t="s">
        <v>1756</v>
      </c>
      <c r="E55" s="26">
        <v>13368.898999999999</v>
      </c>
      <c r="F55" s="26">
        <v>1.4</v>
      </c>
      <c r="G55" s="26">
        <f t="shared" si="0"/>
        <v>13368.898999999999</v>
      </c>
    </row>
    <row r="56" spans="1:7" x14ac:dyDescent="0.2">
      <c r="A56" s="26">
        <v>6</v>
      </c>
      <c r="B56" s="26">
        <v>6</v>
      </c>
      <c r="C56" s="26">
        <v>12</v>
      </c>
      <c r="D56" s="26" t="s">
        <v>1757</v>
      </c>
      <c r="E56" s="26">
        <v>0</v>
      </c>
      <c r="F56" s="26">
        <v>0</v>
      </c>
      <c r="G56" s="26">
        <f t="shared" si="0"/>
        <v>0</v>
      </c>
    </row>
    <row r="57" spans="1:7" x14ac:dyDescent="0.2">
      <c r="A57" s="26">
        <v>5</v>
      </c>
      <c r="B57" s="26">
        <v>7</v>
      </c>
      <c r="C57" s="26">
        <v>12</v>
      </c>
      <c r="D57" s="26" t="s">
        <v>1758</v>
      </c>
      <c r="E57" s="26">
        <v>17338.081999999999</v>
      </c>
      <c r="F57" s="26">
        <v>1</v>
      </c>
      <c r="G57" s="26">
        <f t="shared" si="0"/>
        <v>17338.081999999999</v>
      </c>
    </row>
    <row r="58" spans="1:7" x14ac:dyDescent="0.2">
      <c r="A58" s="26">
        <v>4</v>
      </c>
      <c r="B58" s="26">
        <v>8</v>
      </c>
      <c r="C58" s="26">
        <v>12</v>
      </c>
      <c r="D58" s="26" t="s">
        <v>1381</v>
      </c>
      <c r="E58" s="26">
        <v>32047.954000000002</v>
      </c>
      <c r="F58" s="26">
        <v>18.466000000000001</v>
      </c>
      <c r="G58" s="26">
        <f t="shared" si="0"/>
        <v>32047.954000000002</v>
      </c>
    </row>
    <row r="59" spans="1:7" x14ac:dyDescent="0.2">
      <c r="A59" s="26">
        <v>9</v>
      </c>
      <c r="B59" s="26">
        <v>4</v>
      </c>
      <c r="C59" s="26">
        <v>13</v>
      </c>
      <c r="D59" s="26" t="s">
        <v>1755</v>
      </c>
      <c r="E59" s="26">
        <v>33247.822999999997</v>
      </c>
      <c r="F59" s="26">
        <v>71.59</v>
      </c>
      <c r="G59" s="26">
        <f t="shared" si="0"/>
        <v>33247.822999999997</v>
      </c>
    </row>
    <row r="60" spans="1:7" x14ac:dyDescent="0.2">
      <c r="A60" s="26">
        <v>8</v>
      </c>
      <c r="B60" s="26">
        <v>5</v>
      </c>
      <c r="C60" s="26">
        <v>13</v>
      </c>
      <c r="D60" s="26" t="s">
        <v>1756</v>
      </c>
      <c r="E60" s="26">
        <v>16562.166000000001</v>
      </c>
      <c r="F60" s="26">
        <v>1.0840000000000001</v>
      </c>
      <c r="G60" s="26">
        <f t="shared" si="0"/>
        <v>16562.166000000001</v>
      </c>
    </row>
    <row r="61" spans="1:7" x14ac:dyDescent="0.2">
      <c r="A61" s="26">
        <v>7</v>
      </c>
      <c r="B61" s="26">
        <v>6</v>
      </c>
      <c r="C61" s="26">
        <v>13</v>
      </c>
      <c r="D61" s="26" t="s">
        <v>1757</v>
      </c>
      <c r="E61" s="26">
        <v>3125.0112899999999</v>
      </c>
      <c r="F61" s="26">
        <v>9.1E-4</v>
      </c>
      <c r="G61" s="26">
        <f t="shared" si="0"/>
        <v>3125.0112899999999</v>
      </c>
    </row>
    <row r="62" spans="1:7" x14ac:dyDescent="0.2">
      <c r="A62" s="26">
        <v>6</v>
      </c>
      <c r="B62" s="26">
        <v>7</v>
      </c>
      <c r="C62" s="26">
        <v>13</v>
      </c>
      <c r="D62" s="26" t="s">
        <v>1758</v>
      </c>
      <c r="E62" s="26">
        <v>5345.4809999999998</v>
      </c>
      <c r="F62" s="26">
        <v>0.27</v>
      </c>
      <c r="G62" s="26">
        <f t="shared" si="0"/>
        <v>5345.4809999999998</v>
      </c>
    </row>
    <row r="63" spans="1:7" x14ac:dyDescent="0.2">
      <c r="A63" s="26">
        <v>5</v>
      </c>
      <c r="B63" s="26">
        <v>8</v>
      </c>
      <c r="C63" s="26">
        <v>13</v>
      </c>
      <c r="D63" s="26" t="s">
        <v>1381</v>
      </c>
      <c r="E63" s="26">
        <v>23112.428</v>
      </c>
      <c r="F63" s="26">
        <v>9.5259999999999998</v>
      </c>
      <c r="G63" s="26">
        <f t="shared" si="0"/>
        <v>23112.428</v>
      </c>
    </row>
    <row r="64" spans="1:7" x14ac:dyDescent="0.2">
      <c r="A64" s="26">
        <v>10</v>
      </c>
      <c r="B64" s="26">
        <v>4</v>
      </c>
      <c r="C64" s="26">
        <v>14</v>
      </c>
      <c r="D64" s="26" t="s">
        <v>1755</v>
      </c>
      <c r="E64" s="26">
        <v>39954.498</v>
      </c>
      <c r="F64" s="26">
        <v>132.245</v>
      </c>
      <c r="G64" s="26">
        <f t="shared" si="0"/>
        <v>39954.498</v>
      </c>
    </row>
    <row r="65" spans="1:7" x14ac:dyDescent="0.2">
      <c r="A65" s="26">
        <v>9</v>
      </c>
      <c r="B65" s="26">
        <v>5</v>
      </c>
      <c r="C65" s="26">
        <v>14</v>
      </c>
      <c r="D65" s="26" t="s">
        <v>1756</v>
      </c>
      <c r="E65" s="26">
        <v>23663.683000000001</v>
      </c>
      <c r="F65" s="26">
        <v>21.213000000000001</v>
      </c>
      <c r="G65" s="26">
        <f t="shared" si="0"/>
        <v>23663.683000000001</v>
      </c>
    </row>
    <row r="66" spans="1:7" x14ac:dyDescent="0.2">
      <c r="A66" s="26">
        <v>8</v>
      </c>
      <c r="B66" s="26">
        <v>6</v>
      </c>
      <c r="C66" s="26">
        <v>14</v>
      </c>
      <c r="D66" s="26" t="s">
        <v>1757</v>
      </c>
      <c r="E66" s="26">
        <v>3019.8930500000001</v>
      </c>
      <c r="F66" s="26">
        <v>3.8E-3</v>
      </c>
      <c r="G66" s="26">
        <f t="shared" si="0"/>
        <v>3019.8930500000001</v>
      </c>
    </row>
    <row r="67" spans="1:7" x14ac:dyDescent="0.2">
      <c r="A67" s="26">
        <v>7</v>
      </c>
      <c r="B67" s="26">
        <v>7</v>
      </c>
      <c r="C67" s="26">
        <v>14</v>
      </c>
      <c r="D67" s="26" t="s">
        <v>1758</v>
      </c>
      <c r="E67" s="26">
        <v>2863.4170399999998</v>
      </c>
      <c r="F67" s="26">
        <v>5.8E-4</v>
      </c>
      <c r="G67" s="26">
        <f t="shared" si="0"/>
        <v>2863.4170399999998</v>
      </c>
    </row>
    <row r="68" spans="1:7" x14ac:dyDescent="0.2">
      <c r="A68" s="26">
        <v>6</v>
      </c>
      <c r="B68" s="26">
        <v>8</v>
      </c>
      <c r="C68" s="26">
        <v>14</v>
      </c>
      <c r="D68" s="26" t="s">
        <v>1381</v>
      </c>
      <c r="E68" s="26">
        <v>8007.3559999999998</v>
      </c>
      <c r="F68" s="26">
        <v>0.109</v>
      </c>
      <c r="G68" s="26">
        <f t="shared" si="0"/>
        <v>8007.3559999999998</v>
      </c>
    </row>
    <row r="69" spans="1:7" x14ac:dyDescent="0.2">
      <c r="A69" s="26">
        <v>5</v>
      </c>
      <c r="B69" s="26">
        <v>9</v>
      </c>
      <c r="C69" s="26">
        <v>14</v>
      </c>
      <c r="D69" s="26" t="s">
        <v>1382</v>
      </c>
      <c r="E69" s="26" t="s">
        <v>1171</v>
      </c>
      <c r="F69" s="26" t="s">
        <v>1723</v>
      </c>
      <c r="G69" s="26">
        <f t="shared" si="0"/>
        <v>32658.01</v>
      </c>
    </row>
    <row r="70" spans="1:7" x14ac:dyDescent="0.2">
      <c r="A70" s="26">
        <v>11</v>
      </c>
      <c r="B70" s="26">
        <v>4</v>
      </c>
      <c r="C70" s="26">
        <v>15</v>
      </c>
      <c r="D70" s="26" t="s">
        <v>1755</v>
      </c>
      <c r="E70" s="26" t="s">
        <v>1172</v>
      </c>
      <c r="F70" s="26" t="s">
        <v>1728</v>
      </c>
      <c r="G70" s="26">
        <f t="shared" si="0"/>
        <v>49798.01</v>
      </c>
    </row>
    <row r="71" spans="1:7" x14ac:dyDescent="0.2">
      <c r="A71" s="26">
        <v>10</v>
      </c>
      <c r="B71" s="26">
        <v>5</v>
      </c>
      <c r="C71" s="26">
        <v>15</v>
      </c>
      <c r="D71" s="26" t="s">
        <v>1756</v>
      </c>
      <c r="E71" s="26">
        <v>28972.277999999998</v>
      </c>
      <c r="F71" s="26">
        <v>22.369</v>
      </c>
      <c r="G71" s="26">
        <f t="shared" si="0"/>
        <v>28972.277999999998</v>
      </c>
    </row>
    <row r="72" spans="1:7" x14ac:dyDescent="0.2">
      <c r="A72" s="26">
        <v>9</v>
      </c>
      <c r="B72" s="26">
        <v>6</v>
      </c>
      <c r="C72" s="26">
        <v>15</v>
      </c>
      <c r="D72" s="26" t="s">
        <v>1757</v>
      </c>
      <c r="E72" s="26">
        <v>9873.1440000000002</v>
      </c>
      <c r="F72" s="26">
        <v>0.8</v>
      </c>
      <c r="G72" s="26">
        <f t="shared" si="0"/>
        <v>9873.1440000000002</v>
      </c>
    </row>
    <row r="73" spans="1:7" x14ac:dyDescent="0.2">
      <c r="A73" s="26">
        <v>8</v>
      </c>
      <c r="B73" s="26">
        <v>7</v>
      </c>
      <c r="C73" s="26">
        <v>15</v>
      </c>
      <c r="D73" s="26" t="s">
        <v>1758</v>
      </c>
      <c r="E73" s="26">
        <v>101.43805</v>
      </c>
      <c r="F73" s="26">
        <v>6.9999999999999999E-4</v>
      </c>
      <c r="G73" s="26">
        <f t="shared" si="0"/>
        <v>101.43805</v>
      </c>
    </row>
    <row r="74" spans="1:7" x14ac:dyDescent="0.2">
      <c r="A74" s="26">
        <v>7</v>
      </c>
      <c r="B74" s="26">
        <v>8</v>
      </c>
      <c r="C74" s="26">
        <v>15</v>
      </c>
      <c r="D74" s="26" t="s">
        <v>1381</v>
      </c>
      <c r="E74" s="26">
        <v>2855.605</v>
      </c>
      <c r="F74" s="26">
        <v>0.49099999999999999</v>
      </c>
      <c r="G74" s="26">
        <f t="shared" ref="G74:G137" si="1">IF(ISNUMBER(E74),E74,VALUE(SUBSTITUTE(E74,"#",".01")))</f>
        <v>2855.605</v>
      </c>
    </row>
    <row r="75" spans="1:7" x14ac:dyDescent="0.2">
      <c r="A75" s="26">
        <v>6</v>
      </c>
      <c r="B75" s="26">
        <v>9</v>
      </c>
      <c r="C75" s="26">
        <v>15</v>
      </c>
      <c r="D75" s="26" t="s">
        <v>1382</v>
      </c>
      <c r="E75" s="26">
        <v>16775.371999999999</v>
      </c>
      <c r="F75" s="26">
        <v>133.79300000000001</v>
      </c>
      <c r="G75" s="26">
        <f t="shared" si="1"/>
        <v>16775.371999999999</v>
      </c>
    </row>
    <row r="76" spans="1:7" x14ac:dyDescent="0.2">
      <c r="A76" s="26">
        <v>12</v>
      </c>
      <c r="B76" s="26">
        <v>4</v>
      </c>
      <c r="C76" s="26">
        <v>16</v>
      </c>
      <c r="D76" s="26" t="s">
        <v>1755</v>
      </c>
      <c r="E76" s="26" t="s">
        <v>1173</v>
      </c>
      <c r="F76" s="26" t="s">
        <v>1728</v>
      </c>
      <c r="G76" s="26">
        <f t="shared" si="1"/>
        <v>57678.01</v>
      </c>
    </row>
    <row r="77" spans="1:7" x14ac:dyDescent="0.2">
      <c r="A77" s="26">
        <v>11</v>
      </c>
      <c r="B77" s="26">
        <v>5</v>
      </c>
      <c r="C77" s="26">
        <v>16</v>
      </c>
      <c r="D77" s="26" t="s">
        <v>1756</v>
      </c>
      <c r="E77" s="26">
        <v>37081.686000000002</v>
      </c>
      <c r="F77" s="26">
        <v>60</v>
      </c>
      <c r="G77" s="26">
        <f t="shared" si="1"/>
        <v>37081.686000000002</v>
      </c>
    </row>
    <row r="78" spans="1:7" x14ac:dyDescent="0.2">
      <c r="A78" s="26">
        <v>10</v>
      </c>
      <c r="B78" s="26">
        <v>6</v>
      </c>
      <c r="C78" s="26">
        <v>16</v>
      </c>
      <c r="D78" s="26" t="s">
        <v>1757</v>
      </c>
      <c r="E78" s="26">
        <v>13694.129000000001</v>
      </c>
      <c r="F78" s="26">
        <v>3.5779999999999998</v>
      </c>
      <c r="G78" s="26">
        <f t="shared" si="1"/>
        <v>13694.129000000001</v>
      </c>
    </row>
    <row r="79" spans="1:7" x14ac:dyDescent="0.2">
      <c r="A79" s="26">
        <v>9</v>
      </c>
      <c r="B79" s="26">
        <v>7</v>
      </c>
      <c r="C79" s="26">
        <v>16</v>
      </c>
      <c r="D79" s="26" t="s">
        <v>1758</v>
      </c>
      <c r="E79" s="26">
        <v>5683.6580000000004</v>
      </c>
      <c r="F79" s="26">
        <v>2.6219999999999999</v>
      </c>
      <c r="G79" s="26">
        <f t="shared" si="1"/>
        <v>5683.6580000000004</v>
      </c>
    </row>
    <row r="80" spans="1:7" x14ac:dyDescent="0.2">
      <c r="A80" s="26">
        <v>8</v>
      </c>
      <c r="B80" s="26">
        <v>8</v>
      </c>
      <c r="C80" s="26">
        <v>16</v>
      </c>
      <c r="D80" s="26" t="s">
        <v>1381</v>
      </c>
      <c r="E80" s="26">
        <v>-4737.0014099999999</v>
      </c>
      <c r="F80" s="26">
        <v>1.6000000000000001E-4</v>
      </c>
      <c r="G80" s="26">
        <f t="shared" si="1"/>
        <v>-4737.0014099999999</v>
      </c>
    </row>
    <row r="81" spans="1:7" x14ac:dyDescent="0.2">
      <c r="A81" s="26">
        <v>7</v>
      </c>
      <c r="B81" s="26">
        <v>9</v>
      </c>
      <c r="C81" s="26">
        <v>16</v>
      </c>
      <c r="D81" s="26" t="s">
        <v>1382</v>
      </c>
      <c r="E81" s="26">
        <v>10680.254000000001</v>
      </c>
      <c r="F81" s="26">
        <v>8.3209999999999997</v>
      </c>
      <c r="G81" s="26">
        <f t="shared" si="1"/>
        <v>10680.254000000001</v>
      </c>
    </row>
    <row r="82" spans="1:7" x14ac:dyDescent="0.2">
      <c r="A82" s="26">
        <v>6</v>
      </c>
      <c r="B82" s="26">
        <v>10</v>
      </c>
      <c r="C82" s="26">
        <v>16</v>
      </c>
      <c r="D82" s="26" t="s">
        <v>1383</v>
      </c>
      <c r="E82" s="26">
        <v>23996.462</v>
      </c>
      <c r="F82" s="26">
        <v>20.48</v>
      </c>
      <c r="G82" s="26">
        <f t="shared" si="1"/>
        <v>23996.462</v>
      </c>
    </row>
    <row r="83" spans="1:7" x14ac:dyDescent="0.2">
      <c r="A83" s="26">
        <v>12</v>
      </c>
      <c r="B83" s="26">
        <v>5</v>
      </c>
      <c r="C83" s="26">
        <v>17</v>
      </c>
      <c r="D83" s="26" t="s">
        <v>1756</v>
      </c>
      <c r="E83" s="26">
        <v>43770.815999999999</v>
      </c>
      <c r="F83" s="26">
        <v>170.87299999999999</v>
      </c>
      <c r="G83" s="26">
        <f t="shared" si="1"/>
        <v>43770.815999999999</v>
      </c>
    </row>
    <row r="84" spans="1:7" x14ac:dyDescent="0.2">
      <c r="A84" s="26">
        <v>11</v>
      </c>
      <c r="B84" s="26">
        <v>6</v>
      </c>
      <c r="C84" s="26">
        <v>17</v>
      </c>
      <c r="D84" s="26" t="s">
        <v>1757</v>
      </c>
      <c r="E84" s="26">
        <v>21038.831999999999</v>
      </c>
      <c r="F84" s="26">
        <v>17.376000000000001</v>
      </c>
      <c r="G84" s="26">
        <f t="shared" si="1"/>
        <v>21038.831999999999</v>
      </c>
    </row>
    <row r="85" spans="1:7" x14ac:dyDescent="0.2">
      <c r="A85" s="26">
        <v>10</v>
      </c>
      <c r="B85" s="26">
        <v>7</v>
      </c>
      <c r="C85" s="26">
        <v>17</v>
      </c>
      <c r="D85" s="26" t="s">
        <v>1758</v>
      </c>
      <c r="E85" s="26">
        <v>7871.3680000000004</v>
      </c>
      <c r="F85" s="26">
        <v>15.013</v>
      </c>
      <c r="G85" s="26">
        <f t="shared" si="1"/>
        <v>7871.3680000000004</v>
      </c>
    </row>
    <row r="86" spans="1:7" x14ac:dyDescent="0.2">
      <c r="A86" s="26">
        <v>9</v>
      </c>
      <c r="B86" s="26">
        <v>8</v>
      </c>
      <c r="C86" s="26">
        <v>17</v>
      </c>
      <c r="D86" s="26" t="s">
        <v>1381</v>
      </c>
      <c r="E86" s="26">
        <v>-808.81299999999999</v>
      </c>
      <c r="F86" s="26">
        <v>0.11</v>
      </c>
      <c r="G86" s="26">
        <f t="shared" si="1"/>
        <v>-808.81299999999999</v>
      </c>
    </row>
    <row r="87" spans="1:7" x14ac:dyDescent="0.2">
      <c r="A87" s="26">
        <v>8</v>
      </c>
      <c r="B87" s="26">
        <v>9</v>
      </c>
      <c r="C87" s="26">
        <v>17</v>
      </c>
      <c r="D87" s="26" t="s">
        <v>1382</v>
      </c>
      <c r="E87" s="26">
        <v>1951.701</v>
      </c>
      <c r="F87" s="26">
        <v>0.248</v>
      </c>
      <c r="G87" s="26">
        <f t="shared" si="1"/>
        <v>1951.701</v>
      </c>
    </row>
    <row r="88" spans="1:7" x14ac:dyDescent="0.2">
      <c r="A88" s="26">
        <v>7</v>
      </c>
      <c r="B88" s="26">
        <v>10</v>
      </c>
      <c r="C88" s="26">
        <v>17</v>
      </c>
      <c r="D88" s="26" t="s">
        <v>1383</v>
      </c>
      <c r="E88" s="26">
        <v>16460.901000000002</v>
      </c>
      <c r="F88" s="26">
        <v>26.952999999999999</v>
      </c>
      <c r="G88" s="26">
        <f t="shared" si="1"/>
        <v>16460.901000000002</v>
      </c>
    </row>
    <row r="89" spans="1:7" x14ac:dyDescent="0.2">
      <c r="A89" s="26">
        <v>13</v>
      </c>
      <c r="B89" s="26">
        <v>5</v>
      </c>
      <c r="C89" s="26">
        <v>18</v>
      </c>
      <c r="D89" s="26" t="s">
        <v>1756</v>
      </c>
      <c r="E89" s="26" t="s">
        <v>1724</v>
      </c>
      <c r="F89" s="26" t="s">
        <v>1725</v>
      </c>
      <c r="G89" s="26">
        <f t="shared" si="1"/>
        <v>52322.01</v>
      </c>
    </row>
    <row r="90" spans="1:7" x14ac:dyDescent="0.2">
      <c r="A90" s="26">
        <v>12</v>
      </c>
      <c r="B90" s="26">
        <v>6</v>
      </c>
      <c r="C90" s="26">
        <v>18</v>
      </c>
      <c r="D90" s="26" t="s">
        <v>1757</v>
      </c>
      <c r="E90" s="26">
        <v>24926.178</v>
      </c>
      <c r="F90" s="26">
        <v>30.006</v>
      </c>
      <c r="G90" s="26">
        <f t="shared" si="1"/>
        <v>24926.178</v>
      </c>
    </row>
    <row r="91" spans="1:7" x14ac:dyDescent="0.2">
      <c r="A91" s="26">
        <v>11</v>
      </c>
      <c r="B91" s="26">
        <v>7</v>
      </c>
      <c r="C91" s="26">
        <v>18</v>
      </c>
      <c r="D91" s="26" t="s">
        <v>1758</v>
      </c>
      <c r="E91" s="26">
        <v>13114.466</v>
      </c>
      <c r="F91" s="26">
        <v>18.579999999999998</v>
      </c>
      <c r="G91" s="26">
        <f t="shared" si="1"/>
        <v>13114.466</v>
      </c>
    </row>
    <row r="92" spans="1:7" x14ac:dyDescent="0.2">
      <c r="A92" s="26">
        <v>10</v>
      </c>
      <c r="B92" s="26">
        <v>8</v>
      </c>
      <c r="C92" s="26">
        <v>18</v>
      </c>
      <c r="D92" s="26" t="s">
        <v>1381</v>
      </c>
      <c r="E92" s="26">
        <v>-781.52200000000005</v>
      </c>
      <c r="F92" s="26">
        <v>0.621</v>
      </c>
      <c r="G92" s="26">
        <f t="shared" si="1"/>
        <v>-781.52200000000005</v>
      </c>
    </row>
    <row r="93" spans="1:7" x14ac:dyDescent="0.2">
      <c r="A93" s="26">
        <v>9</v>
      </c>
      <c r="B93" s="26">
        <v>9</v>
      </c>
      <c r="C93" s="26">
        <v>18</v>
      </c>
      <c r="D93" s="26" t="s">
        <v>1382</v>
      </c>
      <c r="E93" s="26">
        <v>873.70100000000002</v>
      </c>
      <c r="F93" s="26">
        <v>0.53400000000000003</v>
      </c>
      <c r="G93" s="26">
        <f t="shared" si="1"/>
        <v>873.70100000000002</v>
      </c>
    </row>
    <row r="94" spans="1:7" x14ac:dyDescent="0.2">
      <c r="A94" s="26">
        <v>8</v>
      </c>
      <c r="B94" s="26">
        <v>10</v>
      </c>
      <c r="C94" s="26">
        <v>18</v>
      </c>
      <c r="D94" s="26" t="s">
        <v>1383</v>
      </c>
      <c r="E94" s="26">
        <v>5317.1660000000002</v>
      </c>
      <c r="F94" s="26">
        <v>0.28000000000000003</v>
      </c>
      <c r="G94" s="26">
        <f t="shared" si="1"/>
        <v>5317.1660000000002</v>
      </c>
    </row>
    <row r="95" spans="1:7" x14ac:dyDescent="0.2">
      <c r="A95" s="26">
        <v>7</v>
      </c>
      <c r="B95" s="26">
        <v>11</v>
      </c>
      <c r="C95" s="26">
        <v>18</v>
      </c>
      <c r="D95" s="26" t="s">
        <v>1751</v>
      </c>
      <c r="E95" s="26">
        <v>24189.968000000001</v>
      </c>
      <c r="F95" s="26">
        <v>50.301000000000002</v>
      </c>
      <c r="G95" s="26">
        <f t="shared" si="1"/>
        <v>24189.968000000001</v>
      </c>
    </row>
    <row r="96" spans="1:7" x14ac:dyDescent="0.2">
      <c r="A96" s="26">
        <v>14</v>
      </c>
      <c r="B96" s="26">
        <v>5</v>
      </c>
      <c r="C96" s="26">
        <v>19</v>
      </c>
      <c r="D96" s="26" t="s">
        <v>1756</v>
      </c>
      <c r="E96" s="26" t="s">
        <v>1726</v>
      </c>
      <c r="F96" s="26" t="s">
        <v>1723</v>
      </c>
      <c r="G96" s="26">
        <f t="shared" si="1"/>
        <v>59364.01</v>
      </c>
    </row>
    <row r="97" spans="1:7" x14ac:dyDescent="0.2">
      <c r="A97" s="26">
        <v>13</v>
      </c>
      <c r="B97" s="26">
        <v>6</v>
      </c>
      <c r="C97" s="26">
        <v>19</v>
      </c>
      <c r="D97" s="26" t="s">
        <v>1757</v>
      </c>
      <c r="E97" s="26">
        <v>32420.666000000001</v>
      </c>
      <c r="F97" s="26">
        <v>98.391000000000005</v>
      </c>
      <c r="G97" s="26">
        <f t="shared" si="1"/>
        <v>32420.666000000001</v>
      </c>
    </row>
    <row r="98" spans="1:7" x14ac:dyDescent="0.2">
      <c r="A98" s="26">
        <v>12</v>
      </c>
      <c r="B98" s="26">
        <v>7</v>
      </c>
      <c r="C98" s="26">
        <v>19</v>
      </c>
      <c r="D98" s="26" t="s">
        <v>1758</v>
      </c>
      <c r="E98" s="26">
        <v>15862.129000000001</v>
      </c>
      <c r="F98" s="26">
        <v>16.414999999999999</v>
      </c>
      <c r="G98" s="26">
        <f t="shared" si="1"/>
        <v>15862.129000000001</v>
      </c>
    </row>
    <row r="99" spans="1:7" x14ac:dyDescent="0.2">
      <c r="A99" s="26">
        <v>11</v>
      </c>
      <c r="B99" s="26">
        <v>8</v>
      </c>
      <c r="C99" s="26">
        <v>19</v>
      </c>
      <c r="D99" s="26" t="s">
        <v>1381</v>
      </c>
      <c r="E99" s="26">
        <v>3334.87</v>
      </c>
      <c r="F99" s="26">
        <v>2.8250000000000002</v>
      </c>
      <c r="G99" s="26">
        <f t="shared" si="1"/>
        <v>3334.87</v>
      </c>
    </row>
    <row r="100" spans="1:7" x14ac:dyDescent="0.2">
      <c r="A100" s="26">
        <v>10</v>
      </c>
      <c r="B100" s="26">
        <v>9</v>
      </c>
      <c r="C100" s="26">
        <v>19</v>
      </c>
      <c r="D100" s="26" t="s">
        <v>1382</v>
      </c>
      <c r="E100" s="26">
        <v>-1487.386</v>
      </c>
      <c r="F100" s="26">
        <v>6.9000000000000006E-2</v>
      </c>
      <c r="G100" s="26">
        <f t="shared" si="1"/>
        <v>-1487.386</v>
      </c>
    </row>
    <row r="101" spans="1:7" x14ac:dyDescent="0.2">
      <c r="A101" s="26">
        <v>9</v>
      </c>
      <c r="B101" s="26">
        <v>10</v>
      </c>
      <c r="C101" s="26">
        <v>19</v>
      </c>
      <c r="D101" s="26" t="s">
        <v>1383</v>
      </c>
      <c r="E101" s="26">
        <v>1751.44</v>
      </c>
      <c r="F101" s="26">
        <v>0.28599999999999998</v>
      </c>
      <c r="G101" s="26">
        <f t="shared" si="1"/>
        <v>1751.44</v>
      </c>
    </row>
    <row r="102" spans="1:7" x14ac:dyDescent="0.2">
      <c r="A102" s="26">
        <v>8</v>
      </c>
      <c r="B102" s="26">
        <v>11</v>
      </c>
      <c r="C102" s="26">
        <v>19</v>
      </c>
      <c r="D102" s="26" t="s">
        <v>1751</v>
      </c>
      <c r="E102" s="26">
        <v>12926.808000000001</v>
      </c>
      <c r="F102" s="26">
        <v>12</v>
      </c>
      <c r="G102" s="26">
        <f t="shared" si="1"/>
        <v>12926.808000000001</v>
      </c>
    </row>
    <row r="103" spans="1:7" x14ac:dyDescent="0.2">
      <c r="A103" s="26">
        <v>7</v>
      </c>
      <c r="B103" s="26">
        <v>12</v>
      </c>
      <c r="C103" s="26">
        <v>19</v>
      </c>
      <c r="D103" s="26" t="s">
        <v>1384</v>
      </c>
      <c r="E103" s="26">
        <v>33040.091999999997</v>
      </c>
      <c r="F103" s="26">
        <v>251.50299999999999</v>
      </c>
      <c r="G103" s="26">
        <f t="shared" si="1"/>
        <v>33040.091999999997</v>
      </c>
    </row>
    <row r="104" spans="1:7" x14ac:dyDescent="0.2">
      <c r="A104" s="26">
        <v>14</v>
      </c>
      <c r="B104" s="26">
        <v>6</v>
      </c>
      <c r="C104" s="26">
        <v>20</v>
      </c>
      <c r="D104" s="26" t="s">
        <v>1757</v>
      </c>
      <c r="E104" s="26">
        <v>37557.61</v>
      </c>
      <c r="F104" s="26">
        <v>239.161</v>
      </c>
      <c r="G104" s="26">
        <f t="shared" si="1"/>
        <v>37557.61</v>
      </c>
    </row>
    <row r="105" spans="1:7" x14ac:dyDescent="0.2">
      <c r="A105" s="26">
        <v>13</v>
      </c>
      <c r="B105" s="26">
        <v>7</v>
      </c>
      <c r="C105" s="26">
        <v>20</v>
      </c>
      <c r="D105" s="26" t="s">
        <v>1758</v>
      </c>
      <c r="E105" s="26">
        <v>21765.11</v>
      </c>
      <c r="F105" s="26">
        <v>55.59</v>
      </c>
      <c r="G105" s="26">
        <f t="shared" si="1"/>
        <v>21765.11</v>
      </c>
    </row>
    <row r="106" spans="1:7" x14ac:dyDescent="0.2">
      <c r="A106" s="26">
        <v>12</v>
      </c>
      <c r="B106" s="26">
        <v>8</v>
      </c>
      <c r="C106" s="26">
        <v>20</v>
      </c>
      <c r="D106" s="26" t="s">
        <v>1381</v>
      </c>
      <c r="E106" s="26">
        <v>3797.462</v>
      </c>
      <c r="F106" s="26">
        <v>1.081</v>
      </c>
      <c r="G106" s="26">
        <f t="shared" si="1"/>
        <v>3797.462</v>
      </c>
    </row>
    <row r="107" spans="1:7" x14ac:dyDescent="0.2">
      <c r="A107" s="26">
        <v>11</v>
      </c>
      <c r="B107" s="26">
        <v>9</v>
      </c>
      <c r="C107" s="26">
        <v>20</v>
      </c>
      <c r="D107" s="26" t="s">
        <v>1382</v>
      </c>
      <c r="E107" s="26">
        <v>-17.404</v>
      </c>
      <c r="F107" s="26">
        <v>7.4999999999999997E-2</v>
      </c>
      <c r="G107" s="26">
        <f t="shared" si="1"/>
        <v>-17.404</v>
      </c>
    </row>
    <row r="108" spans="1:7" x14ac:dyDescent="0.2">
      <c r="A108" s="26">
        <v>10</v>
      </c>
      <c r="B108" s="26">
        <v>10</v>
      </c>
      <c r="C108" s="26">
        <v>20</v>
      </c>
      <c r="D108" s="26" t="s">
        <v>1383</v>
      </c>
      <c r="E108" s="26">
        <v>-7041.9313099999999</v>
      </c>
      <c r="F108" s="26">
        <v>1.7899999999999999E-3</v>
      </c>
      <c r="G108" s="26">
        <f t="shared" si="1"/>
        <v>-7041.9313099999999</v>
      </c>
    </row>
    <row r="109" spans="1:7" x14ac:dyDescent="0.2">
      <c r="A109" s="26">
        <v>9</v>
      </c>
      <c r="B109" s="26">
        <v>11</v>
      </c>
      <c r="C109" s="26">
        <v>20</v>
      </c>
      <c r="D109" s="26" t="s">
        <v>1751</v>
      </c>
      <c r="E109" s="26">
        <v>6847.7190000000001</v>
      </c>
      <c r="F109" s="26">
        <v>6.6619999999999999</v>
      </c>
      <c r="G109" s="26">
        <f t="shared" si="1"/>
        <v>6847.7190000000001</v>
      </c>
    </row>
    <row r="110" spans="1:7" x14ac:dyDescent="0.2">
      <c r="A110" s="26">
        <v>8</v>
      </c>
      <c r="B110" s="26">
        <v>12</v>
      </c>
      <c r="C110" s="26">
        <v>20</v>
      </c>
      <c r="D110" s="26" t="s">
        <v>1384</v>
      </c>
      <c r="E110" s="26">
        <v>17570.348000000002</v>
      </c>
      <c r="F110" s="26">
        <v>27</v>
      </c>
      <c r="G110" s="26">
        <f t="shared" si="1"/>
        <v>17570.348000000002</v>
      </c>
    </row>
    <row r="111" spans="1:7" x14ac:dyDescent="0.2">
      <c r="A111" s="26">
        <v>15</v>
      </c>
      <c r="B111" s="26">
        <v>6</v>
      </c>
      <c r="C111" s="26">
        <v>21</v>
      </c>
      <c r="D111" s="26" t="s">
        <v>1757</v>
      </c>
      <c r="E111" s="26" t="s">
        <v>1727</v>
      </c>
      <c r="F111" s="26" t="s">
        <v>1728</v>
      </c>
      <c r="G111" s="26">
        <f t="shared" si="1"/>
        <v>45960.01</v>
      </c>
    </row>
    <row r="112" spans="1:7" x14ac:dyDescent="0.2">
      <c r="A112" s="26">
        <v>14</v>
      </c>
      <c r="B112" s="26">
        <v>7</v>
      </c>
      <c r="C112" s="26">
        <v>21</v>
      </c>
      <c r="D112" s="26" t="s">
        <v>1758</v>
      </c>
      <c r="E112" s="26">
        <v>25251.164000000001</v>
      </c>
      <c r="F112" s="26">
        <v>95.045000000000002</v>
      </c>
      <c r="G112" s="26">
        <f t="shared" si="1"/>
        <v>25251.164000000001</v>
      </c>
    </row>
    <row r="113" spans="1:7" x14ac:dyDescent="0.2">
      <c r="A113" s="26">
        <v>13</v>
      </c>
      <c r="B113" s="26">
        <v>8</v>
      </c>
      <c r="C113" s="26">
        <v>21</v>
      </c>
      <c r="D113" s="26" t="s">
        <v>1381</v>
      </c>
      <c r="E113" s="26">
        <v>8062.9059999999999</v>
      </c>
      <c r="F113" s="26">
        <v>12.016</v>
      </c>
      <c r="G113" s="26">
        <f t="shared" si="1"/>
        <v>8062.9059999999999</v>
      </c>
    </row>
    <row r="114" spans="1:7" x14ac:dyDescent="0.2">
      <c r="A114" s="26">
        <v>12</v>
      </c>
      <c r="B114" s="26">
        <v>9</v>
      </c>
      <c r="C114" s="26">
        <v>21</v>
      </c>
      <c r="D114" s="26" t="s">
        <v>1382</v>
      </c>
      <c r="E114" s="26">
        <v>-47.551000000000002</v>
      </c>
      <c r="F114" s="26">
        <v>1.8009999999999999</v>
      </c>
      <c r="G114" s="26">
        <f t="shared" si="1"/>
        <v>-47.551000000000002</v>
      </c>
    </row>
    <row r="115" spans="1:7" x14ac:dyDescent="0.2">
      <c r="A115" s="26">
        <v>11</v>
      </c>
      <c r="B115" s="26">
        <v>10</v>
      </c>
      <c r="C115" s="26">
        <v>21</v>
      </c>
      <c r="D115" s="26" t="s">
        <v>1383</v>
      </c>
      <c r="E115" s="26">
        <v>-5731.7759999999998</v>
      </c>
      <c r="F115" s="26">
        <v>3.9E-2</v>
      </c>
      <c r="G115" s="26">
        <f t="shared" si="1"/>
        <v>-5731.7759999999998</v>
      </c>
    </row>
    <row r="116" spans="1:7" x14ac:dyDescent="0.2">
      <c r="A116" s="26">
        <v>10</v>
      </c>
      <c r="B116" s="26">
        <v>11</v>
      </c>
      <c r="C116" s="26">
        <v>21</v>
      </c>
      <c r="D116" s="26" t="s">
        <v>1751</v>
      </c>
      <c r="E116" s="26">
        <v>-2184.1610000000001</v>
      </c>
      <c r="F116" s="26">
        <v>0.7</v>
      </c>
      <c r="G116" s="26">
        <f t="shared" si="1"/>
        <v>-2184.1610000000001</v>
      </c>
    </row>
    <row r="117" spans="1:7" x14ac:dyDescent="0.2">
      <c r="A117" s="26">
        <v>9</v>
      </c>
      <c r="B117" s="26">
        <v>12</v>
      </c>
      <c r="C117" s="26">
        <v>21</v>
      </c>
      <c r="D117" s="26" t="s">
        <v>1384</v>
      </c>
      <c r="E117" s="26">
        <v>10910.505999999999</v>
      </c>
      <c r="F117" s="26">
        <v>16.414999999999999</v>
      </c>
      <c r="G117" s="26">
        <f t="shared" si="1"/>
        <v>10910.505999999999</v>
      </c>
    </row>
    <row r="118" spans="1:7" x14ac:dyDescent="0.2">
      <c r="A118" s="26">
        <v>8</v>
      </c>
      <c r="B118" s="26">
        <v>13</v>
      </c>
      <c r="C118" s="26">
        <v>21</v>
      </c>
      <c r="D118" s="26" t="s">
        <v>1385</v>
      </c>
      <c r="E118" s="26" t="s">
        <v>1729</v>
      </c>
      <c r="F118" s="26" t="s">
        <v>1730</v>
      </c>
      <c r="G118" s="26">
        <f t="shared" si="1"/>
        <v>26119.01</v>
      </c>
    </row>
    <row r="119" spans="1:7" x14ac:dyDescent="0.2">
      <c r="A119" s="26">
        <v>16</v>
      </c>
      <c r="B119" s="26">
        <v>6</v>
      </c>
      <c r="C119" s="26">
        <v>22</v>
      </c>
      <c r="D119" s="26" t="s">
        <v>1757</v>
      </c>
      <c r="E119" s="26" t="s">
        <v>1174</v>
      </c>
      <c r="F119" s="26" t="s">
        <v>1731</v>
      </c>
      <c r="G119" s="26">
        <f t="shared" si="1"/>
        <v>53281.01</v>
      </c>
    </row>
    <row r="120" spans="1:7" x14ac:dyDescent="0.2">
      <c r="A120" s="26">
        <v>15</v>
      </c>
      <c r="B120" s="26">
        <v>7</v>
      </c>
      <c r="C120" s="26">
        <v>22</v>
      </c>
      <c r="D120" s="26" t="s">
        <v>1758</v>
      </c>
      <c r="E120" s="26">
        <v>32038.674999999999</v>
      </c>
      <c r="F120" s="26">
        <v>192.21299999999999</v>
      </c>
      <c r="G120" s="26">
        <f t="shared" si="1"/>
        <v>32038.674999999999</v>
      </c>
    </row>
    <row r="121" spans="1:7" x14ac:dyDescent="0.2">
      <c r="A121" s="26">
        <v>14</v>
      </c>
      <c r="B121" s="26">
        <v>8</v>
      </c>
      <c r="C121" s="26">
        <v>22</v>
      </c>
      <c r="D121" s="26" t="s">
        <v>1381</v>
      </c>
      <c r="E121" s="26">
        <v>9284.152</v>
      </c>
      <c r="F121" s="26">
        <v>56.923999999999999</v>
      </c>
      <c r="G121" s="26">
        <f t="shared" si="1"/>
        <v>9284.152</v>
      </c>
    </row>
    <row r="122" spans="1:7" x14ac:dyDescent="0.2">
      <c r="A122" s="26">
        <v>13</v>
      </c>
      <c r="B122" s="26">
        <v>9</v>
      </c>
      <c r="C122" s="26">
        <v>22</v>
      </c>
      <c r="D122" s="26" t="s">
        <v>1382</v>
      </c>
      <c r="E122" s="26">
        <v>2793.3780000000002</v>
      </c>
      <c r="F122" s="26">
        <v>12.398999999999999</v>
      </c>
      <c r="G122" s="26">
        <f t="shared" si="1"/>
        <v>2793.3780000000002</v>
      </c>
    </row>
    <row r="123" spans="1:7" x14ac:dyDescent="0.2">
      <c r="A123" s="26">
        <v>12</v>
      </c>
      <c r="B123" s="26">
        <v>10</v>
      </c>
      <c r="C123" s="26">
        <v>22</v>
      </c>
      <c r="D123" s="26" t="s">
        <v>1383</v>
      </c>
      <c r="E123" s="26">
        <v>-8024.7150000000001</v>
      </c>
      <c r="F123" s="26">
        <v>1.7999999999999999E-2</v>
      </c>
      <c r="G123" s="26">
        <f t="shared" si="1"/>
        <v>-8024.7150000000001</v>
      </c>
    </row>
    <row r="124" spans="1:7" x14ac:dyDescent="0.2">
      <c r="A124" s="26">
        <v>11</v>
      </c>
      <c r="B124" s="26">
        <v>11</v>
      </c>
      <c r="C124" s="26">
        <v>22</v>
      </c>
      <c r="D124" s="26" t="s">
        <v>1751</v>
      </c>
      <c r="E124" s="26">
        <v>-5182.4359999999997</v>
      </c>
      <c r="F124" s="26">
        <v>0.41499999999999998</v>
      </c>
      <c r="G124" s="26">
        <f t="shared" si="1"/>
        <v>-5182.4359999999997</v>
      </c>
    </row>
    <row r="125" spans="1:7" x14ac:dyDescent="0.2">
      <c r="A125" s="26">
        <v>10</v>
      </c>
      <c r="B125" s="26">
        <v>12</v>
      </c>
      <c r="C125" s="26">
        <v>22</v>
      </c>
      <c r="D125" s="26" t="s">
        <v>1384</v>
      </c>
      <c r="E125" s="26">
        <v>-396.96300000000002</v>
      </c>
      <c r="F125" s="26">
        <v>1.3420000000000001</v>
      </c>
      <c r="G125" s="26">
        <f t="shared" si="1"/>
        <v>-396.96300000000002</v>
      </c>
    </row>
    <row r="126" spans="1:7" x14ac:dyDescent="0.2">
      <c r="A126" s="26">
        <v>9</v>
      </c>
      <c r="B126" s="26">
        <v>13</v>
      </c>
      <c r="C126" s="26">
        <v>22</v>
      </c>
      <c r="D126" s="26" t="s">
        <v>1385</v>
      </c>
      <c r="E126" s="26" t="s">
        <v>1732</v>
      </c>
      <c r="F126" s="26" t="s">
        <v>1476</v>
      </c>
      <c r="G126" s="26">
        <f t="shared" si="1"/>
        <v>18183.009999999998</v>
      </c>
    </row>
    <row r="127" spans="1:7" x14ac:dyDescent="0.2">
      <c r="A127" s="26">
        <v>8</v>
      </c>
      <c r="B127" s="26">
        <v>14</v>
      </c>
      <c r="C127" s="26">
        <v>22</v>
      </c>
      <c r="D127" s="26" t="s">
        <v>1386</v>
      </c>
      <c r="E127" s="26" t="s">
        <v>1477</v>
      </c>
      <c r="F127" s="26" t="s">
        <v>1478</v>
      </c>
      <c r="G127" s="26">
        <f t="shared" si="1"/>
        <v>32164.01</v>
      </c>
    </row>
    <row r="128" spans="1:7" x14ac:dyDescent="0.2">
      <c r="A128" s="26">
        <v>16</v>
      </c>
      <c r="B128" s="26">
        <v>7</v>
      </c>
      <c r="C128" s="26">
        <v>23</v>
      </c>
      <c r="D128" s="26" t="s">
        <v>1758</v>
      </c>
      <c r="E128" s="26" t="s">
        <v>1455</v>
      </c>
      <c r="F128" s="26" t="s">
        <v>1730</v>
      </c>
      <c r="G128" s="26">
        <f t="shared" si="1"/>
        <v>38396.01</v>
      </c>
    </row>
    <row r="129" spans="1:7" x14ac:dyDescent="0.2">
      <c r="A129" s="26">
        <v>15</v>
      </c>
      <c r="B129" s="26">
        <v>8</v>
      </c>
      <c r="C129" s="26">
        <v>23</v>
      </c>
      <c r="D129" s="26" t="s">
        <v>1381</v>
      </c>
      <c r="E129" s="26">
        <v>14612.96</v>
      </c>
      <c r="F129" s="26">
        <v>121.867</v>
      </c>
      <c r="G129" s="26">
        <f t="shared" si="1"/>
        <v>14612.96</v>
      </c>
    </row>
    <row r="130" spans="1:7" x14ac:dyDescent="0.2">
      <c r="A130" s="26">
        <v>14</v>
      </c>
      <c r="B130" s="26">
        <v>9</v>
      </c>
      <c r="C130" s="26">
        <v>23</v>
      </c>
      <c r="D130" s="26" t="s">
        <v>1382</v>
      </c>
      <c r="E130" s="26">
        <v>3329.7469999999998</v>
      </c>
      <c r="F130" s="26">
        <v>79.540999999999997</v>
      </c>
      <c r="G130" s="26">
        <f t="shared" si="1"/>
        <v>3329.7469999999998</v>
      </c>
    </row>
    <row r="131" spans="1:7" x14ac:dyDescent="0.2">
      <c r="A131" s="26">
        <v>13</v>
      </c>
      <c r="B131" s="26">
        <v>10</v>
      </c>
      <c r="C131" s="26">
        <v>23</v>
      </c>
      <c r="D131" s="26" t="s">
        <v>1383</v>
      </c>
      <c r="E131" s="26">
        <v>-5154.0450000000001</v>
      </c>
      <c r="F131" s="26">
        <v>0.104</v>
      </c>
      <c r="G131" s="26">
        <f t="shared" si="1"/>
        <v>-5154.0450000000001</v>
      </c>
    </row>
    <row r="132" spans="1:7" x14ac:dyDescent="0.2">
      <c r="A132" s="26">
        <v>12</v>
      </c>
      <c r="B132" s="26">
        <v>11</v>
      </c>
      <c r="C132" s="26">
        <v>23</v>
      </c>
      <c r="D132" s="26" t="s">
        <v>1751</v>
      </c>
      <c r="E132" s="26">
        <v>-9529.8535800000009</v>
      </c>
      <c r="F132" s="26">
        <v>2.7299999999999998E-3</v>
      </c>
      <c r="G132" s="26">
        <f t="shared" si="1"/>
        <v>-9529.8535800000009</v>
      </c>
    </row>
    <row r="133" spans="1:7" x14ac:dyDescent="0.2">
      <c r="A133" s="26">
        <v>11</v>
      </c>
      <c r="B133" s="26">
        <v>12</v>
      </c>
      <c r="C133" s="26">
        <v>23</v>
      </c>
      <c r="D133" s="26" t="s">
        <v>1384</v>
      </c>
      <c r="E133" s="26">
        <v>-5473.7659999999996</v>
      </c>
      <c r="F133" s="26">
        <v>1.286</v>
      </c>
      <c r="G133" s="26">
        <f t="shared" si="1"/>
        <v>-5473.7659999999996</v>
      </c>
    </row>
    <row r="134" spans="1:7" x14ac:dyDescent="0.2">
      <c r="A134" s="26">
        <v>10</v>
      </c>
      <c r="B134" s="26">
        <v>13</v>
      </c>
      <c r="C134" s="26">
        <v>23</v>
      </c>
      <c r="D134" s="26" t="s">
        <v>1385</v>
      </c>
      <c r="E134" s="26">
        <v>6769.57</v>
      </c>
      <c r="F134" s="26">
        <v>18.648</v>
      </c>
      <c r="G134" s="26">
        <f t="shared" si="1"/>
        <v>6769.57</v>
      </c>
    </row>
    <row r="135" spans="1:7" x14ac:dyDescent="0.2">
      <c r="A135" s="26">
        <v>9</v>
      </c>
      <c r="B135" s="26">
        <v>14</v>
      </c>
      <c r="C135" s="26">
        <v>23</v>
      </c>
      <c r="D135" s="26" t="s">
        <v>1386</v>
      </c>
      <c r="E135" s="26" t="s">
        <v>1479</v>
      </c>
      <c r="F135" s="26" t="s">
        <v>1480</v>
      </c>
      <c r="G135" s="26">
        <f t="shared" si="1"/>
        <v>23772.01</v>
      </c>
    </row>
    <row r="136" spans="1:7" x14ac:dyDescent="0.2">
      <c r="A136" s="26">
        <v>17</v>
      </c>
      <c r="B136" s="26">
        <v>7</v>
      </c>
      <c r="C136" s="26">
        <v>24</v>
      </c>
      <c r="D136" s="26" t="s">
        <v>1758</v>
      </c>
      <c r="E136" s="26" t="s">
        <v>1175</v>
      </c>
      <c r="F136" s="26" t="s">
        <v>1723</v>
      </c>
      <c r="G136" s="26">
        <f t="shared" si="1"/>
        <v>47543.01</v>
      </c>
    </row>
    <row r="137" spans="1:7" x14ac:dyDescent="0.2">
      <c r="A137" s="26">
        <v>16</v>
      </c>
      <c r="B137" s="26">
        <v>8</v>
      </c>
      <c r="C137" s="26">
        <v>24</v>
      </c>
      <c r="D137" s="26" t="s">
        <v>1381</v>
      </c>
      <c r="E137" s="26">
        <v>19070.400000000001</v>
      </c>
      <c r="F137" s="26">
        <v>236.24199999999999</v>
      </c>
      <c r="G137" s="26">
        <f t="shared" si="1"/>
        <v>19070.400000000001</v>
      </c>
    </row>
    <row r="138" spans="1:7" x14ac:dyDescent="0.2">
      <c r="A138" s="26">
        <v>15</v>
      </c>
      <c r="B138" s="26">
        <v>9</v>
      </c>
      <c r="C138" s="26">
        <v>24</v>
      </c>
      <c r="D138" s="26" t="s">
        <v>1382</v>
      </c>
      <c r="E138" s="26">
        <v>7559.527</v>
      </c>
      <c r="F138" s="26">
        <v>72.281999999999996</v>
      </c>
      <c r="G138" s="26">
        <f t="shared" ref="G138:G201" si="2">IF(ISNUMBER(E138),E138,VALUE(SUBSTITUTE(E138,"#",".01")))</f>
        <v>7559.527</v>
      </c>
    </row>
    <row r="139" spans="1:7" x14ac:dyDescent="0.2">
      <c r="A139" s="26">
        <v>14</v>
      </c>
      <c r="B139" s="26">
        <v>10</v>
      </c>
      <c r="C139" s="26">
        <v>24</v>
      </c>
      <c r="D139" s="26" t="s">
        <v>1383</v>
      </c>
      <c r="E139" s="26">
        <v>-5951.5209999999997</v>
      </c>
      <c r="F139" s="26">
        <v>0.39200000000000002</v>
      </c>
      <c r="G139" s="26">
        <f t="shared" si="2"/>
        <v>-5951.5209999999997</v>
      </c>
    </row>
    <row r="140" spans="1:7" x14ac:dyDescent="0.2">
      <c r="A140" s="26">
        <v>13</v>
      </c>
      <c r="B140" s="26">
        <v>11</v>
      </c>
      <c r="C140" s="26">
        <v>24</v>
      </c>
      <c r="D140" s="26" t="s">
        <v>1751</v>
      </c>
      <c r="E140" s="26">
        <v>-8418.1139999999996</v>
      </c>
      <c r="F140" s="26">
        <v>7.5999999999999998E-2</v>
      </c>
      <c r="G140" s="26">
        <f t="shared" si="2"/>
        <v>-8418.1139999999996</v>
      </c>
    </row>
    <row r="141" spans="1:7" x14ac:dyDescent="0.2">
      <c r="A141" s="26">
        <v>12</v>
      </c>
      <c r="B141" s="26">
        <v>12</v>
      </c>
      <c r="C141" s="26">
        <v>24</v>
      </c>
      <c r="D141" s="26" t="s">
        <v>1384</v>
      </c>
      <c r="E141" s="26">
        <v>-13933.566999999999</v>
      </c>
      <c r="F141" s="26">
        <v>1.2999999999999999E-2</v>
      </c>
      <c r="G141" s="26">
        <f t="shared" si="2"/>
        <v>-13933.566999999999</v>
      </c>
    </row>
    <row r="142" spans="1:7" x14ac:dyDescent="0.2">
      <c r="A142" s="26">
        <v>11</v>
      </c>
      <c r="B142" s="26">
        <v>13</v>
      </c>
      <c r="C142" s="26">
        <v>24</v>
      </c>
      <c r="D142" s="26" t="s">
        <v>1385</v>
      </c>
      <c r="E142" s="26">
        <v>-56.945999999999998</v>
      </c>
      <c r="F142" s="26">
        <v>2.782</v>
      </c>
      <c r="G142" s="26">
        <f t="shared" si="2"/>
        <v>-56.945999999999998</v>
      </c>
    </row>
    <row r="143" spans="1:7" x14ac:dyDescent="0.2">
      <c r="A143" s="26">
        <v>10</v>
      </c>
      <c r="B143" s="26">
        <v>14</v>
      </c>
      <c r="C143" s="26">
        <v>24</v>
      </c>
      <c r="D143" s="26" t="s">
        <v>1386</v>
      </c>
      <c r="E143" s="26">
        <v>10754.673000000001</v>
      </c>
      <c r="F143" s="26">
        <v>19.472000000000001</v>
      </c>
      <c r="G143" s="26">
        <f t="shared" si="2"/>
        <v>10754.673000000001</v>
      </c>
    </row>
    <row r="144" spans="1:7" x14ac:dyDescent="0.2">
      <c r="A144" s="26">
        <v>9</v>
      </c>
      <c r="B144" s="26">
        <v>15</v>
      </c>
      <c r="C144" s="26">
        <v>24</v>
      </c>
      <c r="D144" s="26" t="s">
        <v>1387</v>
      </c>
      <c r="E144" s="26" t="s">
        <v>1481</v>
      </c>
      <c r="F144" s="26" t="s">
        <v>1728</v>
      </c>
      <c r="G144" s="26">
        <f t="shared" si="2"/>
        <v>31997.01</v>
      </c>
    </row>
    <row r="145" spans="1:7" x14ac:dyDescent="0.2">
      <c r="A145" s="26">
        <v>18</v>
      </c>
      <c r="B145" s="26">
        <v>7</v>
      </c>
      <c r="C145" s="26">
        <v>25</v>
      </c>
      <c r="D145" s="26" t="s">
        <v>1758</v>
      </c>
      <c r="E145" s="26" t="s">
        <v>1176</v>
      </c>
      <c r="F145" s="26" t="s">
        <v>1728</v>
      </c>
      <c r="G145" s="26">
        <f t="shared" si="2"/>
        <v>56504.01</v>
      </c>
    </row>
    <row r="146" spans="1:7" x14ac:dyDescent="0.2">
      <c r="A146" s="26">
        <v>17</v>
      </c>
      <c r="B146" s="26">
        <v>8</v>
      </c>
      <c r="C146" s="26">
        <v>25</v>
      </c>
      <c r="D146" s="26" t="s">
        <v>1381</v>
      </c>
      <c r="E146" s="26" t="s">
        <v>1177</v>
      </c>
      <c r="F146" s="26" t="s">
        <v>1178</v>
      </c>
      <c r="G146" s="26">
        <f t="shared" si="2"/>
        <v>27442.01</v>
      </c>
    </row>
    <row r="147" spans="1:7" x14ac:dyDescent="0.2">
      <c r="A147" s="26">
        <v>16</v>
      </c>
      <c r="B147" s="26">
        <v>9</v>
      </c>
      <c r="C147" s="26">
        <v>25</v>
      </c>
      <c r="D147" s="26" t="s">
        <v>1382</v>
      </c>
      <c r="E147" s="26">
        <v>11272.706</v>
      </c>
      <c r="F147" s="26">
        <v>98.238</v>
      </c>
      <c r="G147" s="26">
        <f t="shared" si="2"/>
        <v>11272.706</v>
      </c>
    </row>
    <row r="148" spans="1:7" x14ac:dyDescent="0.2">
      <c r="A148" s="26">
        <v>15</v>
      </c>
      <c r="B148" s="26">
        <v>10</v>
      </c>
      <c r="C148" s="26">
        <v>25</v>
      </c>
      <c r="D148" s="26" t="s">
        <v>1383</v>
      </c>
      <c r="E148" s="26">
        <v>-2108.0749999999998</v>
      </c>
      <c r="F148" s="26">
        <v>25.643000000000001</v>
      </c>
      <c r="G148" s="26">
        <f t="shared" si="2"/>
        <v>-2108.0749999999998</v>
      </c>
    </row>
    <row r="149" spans="1:7" x14ac:dyDescent="0.2">
      <c r="A149" s="26">
        <v>14</v>
      </c>
      <c r="B149" s="26">
        <v>11</v>
      </c>
      <c r="C149" s="26">
        <v>25</v>
      </c>
      <c r="D149" s="26" t="s">
        <v>1751</v>
      </c>
      <c r="E149" s="26">
        <v>-9357.8179999999993</v>
      </c>
      <c r="F149" s="26">
        <v>1.2</v>
      </c>
      <c r="G149" s="26">
        <f t="shared" si="2"/>
        <v>-9357.8179999999993</v>
      </c>
    </row>
    <row r="150" spans="1:7" x14ac:dyDescent="0.2">
      <c r="A150" s="26">
        <v>13</v>
      </c>
      <c r="B150" s="26">
        <v>12</v>
      </c>
      <c r="C150" s="26">
        <v>25</v>
      </c>
      <c r="D150" s="26" t="s">
        <v>1384</v>
      </c>
      <c r="E150" s="26">
        <v>-13192.825999999999</v>
      </c>
      <c r="F150" s="26">
        <v>3.2000000000000001E-2</v>
      </c>
      <c r="G150" s="26">
        <f t="shared" si="2"/>
        <v>-13192.825999999999</v>
      </c>
    </row>
    <row r="151" spans="1:7" x14ac:dyDescent="0.2">
      <c r="A151" s="26">
        <v>12</v>
      </c>
      <c r="B151" s="26">
        <v>13</v>
      </c>
      <c r="C151" s="26">
        <v>25</v>
      </c>
      <c r="D151" s="26" t="s">
        <v>1385</v>
      </c>
      <c r="E151" s="26">
        <v>-8916.1720000000005</v>
      </c>
      <c r="F151" s="26">
        <v>0.47499999999999998</v>
      </c>
      <c r="G151" s="26">
        <f t="shared" si="2"/>
        <v>-8916.1720000000005</v>
      </c>
    </row>
    <row r="152" spans="1:7" x14ac:dyDescent="0.2">
      <c r="A152" s="26">
        <v>11</v>
      </c>
      <c r="B152" s="26">
        <v>14</v>
      </c>
      <c r="C152" s="26">
        <v>25</v>
      </c>
      <c r="D152" s="26" t="s">
        <v>1386</v>
      </c>
      <c r="E152" s="26">
        <v>3824.3180000000002</v>
      </c>
      <c r="F152" s="26">
        <v>10</v>
      </c>
      <c r="G152" s="26">
        <f t="shared" si="2"/>
        <v>3824.3180000000002</v>
      </c>
    </row>
    <row r="153" spans="1:7" x14ac:dyDescent="0.2">
      <c r="A153" s="26">
        <v>10</v>
      </c>
      <c r="B153" s="26">
        <v>15</v>
      </c>
      <c r="C153" s="26">
        <v>25</v>
      </c>
      <c r="D153" s="26" t="s">
        <v>1387</v>
      </c>
      <c r="E153" s="26" t="s">
        <v>1482</v>
      </c>
      <c r="F153" s="26" t="s">
        <v>1480</v>
      </c>
      <c r="G153" s="26">
        <f t="shared" si="2"/>
        <v>18872.009999999998</v>
      </c>
    </row>
    <row r="154" spans="1:7" x14ac:dyDescent="0.2">
      <c r="A154" s="26">
        <v>18</v>
      </c>
      <c r="B154" s="26">
        <v>8</v>
      </c>
      <c r="C154" s="26">
        <v>26</v>
      </c>
      <c r="D154" s="26" t="s">
        <v>1381</v>
      </c>
      <c r="E154" s="26" t="s">
        <v>1179</v>
      </c>
      <c r="F154" s="26" t="s">
        <v>1178</v>
      </c>
      <c r="G154" s="26">
        <f t="shared" si="2"/>
        <v>35713.01</v>
      </c>
    </row>
    <row r="155" spans="1:7" x14ac:dyDescent="0.2">
      <c r="A155" s="26">
        <v>17</v>
      </c>
      <c r="B155" s="26">
        <v>9</v>
      </c>
      <c r="C155" s="26">
        <v>26</v>
      </c>
      <c r="D155" s="26" t="s">
        <v>1382</v>
      </c>
      <c r="E155" s="26">
        <v>18271.772000000001</v>
      </c>
      <c r="F155" s="26">
        <v>166.58500000000001</v>
      </c>
      <c r="G155" s="26">
        <f t="shared" si="2"/>
        <v>18271.772000000001</v>
      </c>
    </row>
    <row r="156" spans="1:7" x14ac:dyDescent="0.2">
      <c r="A156" s="26">
        <v>16</v>
      </c>
      <c r="B156" s="26">
        <v>10</v>
      </c>
      <c r="C156" s="26">
        <v>26</v>
      </c>
      <c r="D156" s="26" t="s">
        <v>1383</v>
      </c>
      <c r="E156" s="26">
        <v>429.61099999999999</v>
      </c>
      <c r="F156" s="26">
        <v>26.774000000000001</v>
      </c>
      <c r="G156" s="26">
        <f t="shared" si="2"/>
        <v>429.61099999999999</v>
      </c>
    </row>
    <row r="157" spans="1:7" x14ac:dyDescent="0.2">
      <c r="A157" s="26">
        <v>15</v>
      </c>
      <c r="B157" s="26">
        <v>11</v>
      </c>
      <c r="C157" s="26">
        <v>26</v>
      </c>
      <c r="D157" s="26" t="s">
        <v>1751</v>
      </c>
      <c r="E157" s="26">
        <v>-6862.3159999999998</v>
      </c>
      <c r="F157" s="26">
        <v>5.8319999999999999</v>
      </c>
      <c r="G157" s="26">
        <f t="shared" si="2"/>
        <v>-6862.3159999999998</v>
      </c>
    </row>
    <row r="158" spans="1:7" x14ac:dyDescent="0.2">
      <c r="A158" s="26">
        <v>14</v>
      </c>
      <c r="B158" s="26">
        <v>12</v>
      </c>
      <c r="C158" s="26">
        <v>26</v>
      </c>
      <c r="D158" s="26" t="s">
        <v>1384</v>
      </c>
      <c r="E158" s="26">
        <v>-16214.582</v>
      </c>
      <c r="F158" s="26">
        <v>2.7E-2</v>
      </c>
      <c r="G158" s="26">
        <f t="shared" si="2"/>
        <v>-16214.582</v>
      </c>
    </row>
    <row r="159" spans="1:7" x14ac:dyDescent="0.2">
      <c r="A159" s="26">
        <v>13</v>
      </c>
      <c r="B159" s="26">
        <v>13</v>
      </c>
      <c r="C159" s="26">
        <v>26</v>
      </c>
      <c r="D159" s="26" t="s">
        <v>1385</v>
      </c>
      <c r="E159" s="26">
        <v>-12210.308999999999</v>
      </c>
      <c r="F159" s="26">
        <v>0.06</v>
      </c>
      <c r="G159" s="26">
        <f t="shared" si="2"/>
        <v>-12210.308999999999</v>
      </c>
    </row>
    <row r="160" spans="1:7" x14ac:dyDescent="0.2">
      <c r="A160" s="26">
        <v>12</v>
      </c>
      <c r="B160" s="26">
        <v>14</v>
      </c>
      <c r="C160" s="26">
        <v>26</v>
      </c>
      <c r="D160" s="26" t="s">
        <v>1386</v>
      </c>
      <c r="E160" s="26">
        <v>-7144.6319999999996</v>
      </c>
      <c r="F160" s="26">
        <v>3</v>
      </c>
      <c r="G160" s="26">
        <f t="shared" si="2"/>
        <v>-7144.6319999999996</v>
      </c>
    </row>
    <row r="161" spans="1:7" x14ac:dyDescent="0.2">
      <c r="A161" s="26">
        <v>11</v>
      </c>
      <c r="B161" s="26">
        <v>15</v>
      </c>
      <c r="C161" s="26">
        <v>26</v>
      </c>
      <c r="D161" s="26" t="s">
        <v>1387</v>
      </c>
      <c r="E161" s="26" t="s">
        <v>1483</v>
      </c>
      <c r="F161" s="26" t="s">
        <v>1480</v>
      </c>
      <c r="G161" s="26">
        <f t="shared" si="2"/>
        <v>10973.01</v>
      </c>
    </row>
    <row r="162" spans="1:7" x14ac:dyDescent="0.2">
      <c r="A162" s="26">
        <v>10</v>
      </c>
      <c r="B162" s="26">
        <v>16</v>
      </c>
      <c r="C162" s="26">
        <v>26</v>
      </c>
      <c r="D162" s="26" t="s">
        <v>1388</v>
      </c>
      <c r="E162" s="26" t="s">
        <v>1484</v>
      </c>
      <c r="F162" s="26" t="s">
        <v>1730</v>
      </c>
      <c r="G162" s="26">
        <f t="shared" si="2"/>
        <v>25970.01</v>
      </c>
    </row>
    <row r="163" spans="1:7" x14ac:dyDescent="0.2">
      <c r="A163" s="26">
        <v>19</v>
      </c>
      <c r="B163" s="26">
        <v>8</v>
      </c>
      <c r="C163" s="26">
        <v>27</v>
      </c>
      <c r="D163" s="26" t="s">
        <v>1381</v>
      </c>
      <c r="E163" s="26" t="s">
        <v>1180</v>
      </c>
      <c r="F163" s="26" t="s">
        <v>1728</v>
      </c>
      <c r="G163" s="26">
        <f t="shared" si="2"/>
        <v>44954.01</v>
      </c>
    </row>
    <row r="164" spans="1:7" x14ac:dyDescent="0.2">
      <c r="A164" s="26">
        <v>18</v>
      </c>
      <c r="B164" s="26">
        <v>9</v>
      </c>
      <c r="C164" s="26">
        <v>27</v>
      </c>
      <c r="D164" s="26" t="s">
        <v>1382</v>
      </c>
      <c r="E164" s="26">
        <v>24926.86</v>
      </c>
      <c r="F164" s="26">
        <v>376.68799999999999</v>
      </c>
      <c r="G164" s="26">
        <f t="shared" si="2"/>
        <v>24926.86</v>
      </c>
    </row>
    <row r="165" spans="1:7" x14ac:dyDescent="0.2">
      <c r="A165" s="26">
        <v>17</v>
      </c>
      <c r="B165" s="26">
        <v>10</v>
      </c>
      <c r="C165" s="26">
        <v>27</v>
      </c>
      <c r="D165" s="26" t="s">
        <v>1383</v>
      </c>
      <c r="E165" s="26">
        <v>7069.9489999999996</v>
      </c>
      <c r="F165" s="26">
        <v>110.384</v>
      </c>
      <c r="G165" s="26">
        <f t="shared" si="2"/>
        <v>7069.9489999999996</v>
      </c>
    </row>
    <row r="166" spans="1:7" x14ac:dyDescent="0.2">
      <c r="A166" s="26">
        <v>16</v>
      </c>
      <c r="B166" s="26">
        <v>11</v>
      </c>
      <c r="C166" s="26">
        <v>27</v>
      </c>
      <c r="D166" s="26" t="s">
        <v>1751</v>
      </c>
      <c r="E166" s="26">
        <v>-5517.4359999999997</v>
      </c>
      <c r="F166" s="26">
        <v>3.5030000000000001</v>
      </c>
      <c r="G166" s="26">
        <f t="shared" si="2"/>
        <v>-5517.4359999999997</v>
      </c>
    </row>
    <row r="167" spans="1:7" x14ac:dyDescent="0.2">
      <c r="A167" s="26">
        <v>15</v>
      </c>
      <c r="B167" s="26">
        <v>12</v>
      </c>
      <c r="C167" s="26">
        <v>27</v>
      </c>
      <c r="D167" s="26" t="s">
        <v>1384</v>
      </c>
      <c r="E167" s="26">
        <v>-14586.651</v>
      </c>
      <c r="F167" s="26">
        <v>4.9000000000000002E-2</v>
      </c>
      <c r="G167" s="26">
        <f t="shared" si="2"/>
        <v>-14586.651</v>
      </c>
    </row>
    <row r="168" spans="1:7" x14ac:dyDescent="0.2">
      <c r="A168" s="26">
        <v>14</v>
      </c>
      <c r="B168" s="26">
        <v>13</v>
      </c>
      <c r="C168" s="26">
        <v>27</v>
      </c>
      <c r="D168" s="26" t="s">
        <v>1385</v>
      </c>
      <c r="E168" s="26">
        <v>-17196.657999999999</v>
      </c>
      <c r="F168" s="26">
        <v>0.11600000000000001</v>
      </c>
      <c r="G168" s="26">
        <f t="shared" si="2"/>
        <v>-17196.657999999999</v>
      </c>
    </row>
    <row r="169" spans="1:7" x14ac:dyDescent="0.2">
      <c r="A169" s="26">
        <v>13</v>
      </c>
      <c r="B169" s="26">
        <v>14</v>
      </c>
      <c r="C169" s="26">
        <v>27</v>
      </c>
      <c r="D169" s="26" t="s">
        <v>1386</v>
      </c>
      <c r="E169" s="26">
        <v>-12384.300999999999</v>
      </c>
      <c r="F169" s="26">
        <v>0.151</v>
      </c>
      <c r="G169" s="26">
        <f t="shared" si="2"/>
        <v>-12384.300999999999</v>
      </c>
    </row>
    <row r="170" spans="1:7" x14ac:dyDescent="0.2">
      <c r="A170" s="26">
        <v>12</v>
      </c>
      <c r="B170" s="26">
        <v>15</v>
      </c>
      <c r="C170" s="26">
        <v>27</v>
      </c>
      <c r="D170" s="26" t="s">
        <v>1387</v>
      </c>
      <c r="E170" s="26">
        <v>-717.03</v>
      </c>
      <c r="F170" s="26">
        <v>26.341000000000001</v>
      </c>
      <c r="G170" s="26">
        <f t="shared" si="2"/>
        <v>-717.03</v>
      </c>
    </row>
    <row r="171" spans="1:7" x14ac:dyDescent="0.2">
      <c r="A171" s="26">
        <v>11</v>
      </c>
      <c r="B171" s="26">
        <v>16</v>
      </c>
      <c r="C171" s="26">
        <v>27</v>
      </c>
      <c r="D171" s="26" t="s">
        <v>1388</v>
      </c>
      <c r="E171" s="26" t="s">
        <v>1181</v>
      </c>
      <c r="F171" s="26" t="s">
        <v>1252</v>
      </c>
      <c r="G171" s="26">
        <f t="shared" si="2"/>
        <v>17543.009999999998</v>
      </c>
    </row>
    <row r="172" spans="1:7" x14ac:dyDescent="0.2">
      <c r="A172" s="26">
        <v>20</v>
      </c>
      <c r="B172" s="26">
        <v>8</v>
      </c>
      <c r="C172" s="26">
        <v>28</v>
      </c>
      <c r="D172" s="26" t="s">
        <v>1381</v>
      </c>
      <c r="E172" s="26" t="s">
        <v>1182</v>
      </c>
      <c r="F172" s="26" t="s">
        <v>1505</v>
      </c>
      <c r="G172" s="26">
        <f t="shared" si="2"/>
        <v>53850.01</v>
      </c>
    </row>
    <row r="173" spans="1:7" x14ac:dyDescent="0.2">
      <c r="A173" s="26">
        <v>19</v>
      </c>
      <c r="B173" s="26">
        <v>9</v>
      </c>
      <c r="C173" s="26">
        <v>28</v>
      </c>
      <c r="D173" s="26" t="s">
        <v>1382</v>
      </c>
      <c r="E173" s="26" t="s">
        <v>1486</v>
      </c>
      <c r="F173" s="26" t="s">
        <v>1487</v>
      </c>
      <c r="G173" s="26">
        <f t="shared" si="2"/>
        <v>33226.01</v>
      </c>
    </row>
    <row r="174" spans="1:7" x14ac:dyDescent="0.2">
      <c r="A174" s="26">
        <v>18</v>
      </c>
      <c r="B174" s="26">
        <v>10</v>
      </c>
      <c r="C174" s="26">
        <v>28</v>
      </c>
      <c r="D174" s="26" t="s">
        <v>1383</v>
      </c>
      <c r="E174" s="26">
        <v>11244.601000000001</v>
      </c>
      <c r="F174" s="26">
        <v>146.679</v>
      </c>
      <c r="G174" s="26">
        <f t="shared" si="2"/>
        <v>11244.601000000001</v>
      </c>
    </row>
    <row r="175" spans="1:7" x14ac:dyDescent="0.2">
      <c r="A175" s="26">
        <v>17</v>
      </c>
      <c r="B175" s="26">
        <v>11</v>
      </c>
      <c r="C175" s="26">
        <v>28</v>
      </c>
      <c r="D175" s="26" t="s">
        <v>1751</v>
      </c>
      <c r="E175" s="26">
        <v>-989.24699999999996</v>
      </c>
      <c r="F175" s="26">
        <v>13.041</v>
      </c>
      <c r="G175" s="26">
        <f t="shared" si="2"/>
        <v>-989.24699999999996</v>
      </c>
    </row>
    <row r="176" spans="1:7" x14ac:dyDescent="0.2">
      <c r="A176" s="26">
        <v>16</v>
      </c>
      <c r="B176" s="26">
        <v>12</v>
      </c>
      <c r="C176" s="26">
        <v>28</v>
      </c>
      <c r="D176" s="26" t="s">
        <v>1384</v>
      </c>
      <c r="E176" s="26">
        <v>-15018.641</v>
      </c>
      <c r="F176" s="26">
        <v>2.004</v>
      </c>
      <c r="G176" s="26">
        <f t="shared" si="2"/>
        <v>-15018.641</v>
      </c>
    </row>
    <row r="177" spans="1:7" x14ac:dyDescent="0.2">
      <c r="A177" s="26">
        <v>15</v>
      </c>
      <c r="B177" s="26">
        <v>13</v>
      </c>
      <c r="C177" s="26">
        <v>28</v>
      </c>
      <c r="D177" s="26" t="s">
        <v>1385</v>
      </c>
      <c r="E177" s="26">
        <v>-16850.440999999999</v>
      </c>
      <c r="F177" s="26">
        <v>0.13100000000000001</v>
      </c>
      <c r="G177" s="26">
        <f t="shared" si="2"/>
        <v>-16850.440999999999</v>
      </c>
    </row>
    <row r="178" spans="1:7" x14ac:dyDescent="0.2">
      <c r="A178" s="26">
        <v>14</v>
      </c>
      <c r="B178" s="26">
        <v>14</v>
      </c>
      <c r="C178" s="26">
        <v>28</v>
      </c>
      <c r="D178" s="26" t="s">
        <v>1386</v>
      </c>
      <c r="E178" s="26">
        <v>-21492.796780000001</v>
      </c>
      <c r="F178" s="26">
        <v>1.81E-3</v>
      </c>
      <c r="G178" s="26">
        <f t="shared" si="2"/>
        <v>-21492.796780000001</v>
      </c>
    </row>
    <row r="179" spans="1:7" x14ac:dyDescent="0.2">
      <c r="A179" s="26">
        <v>13</v>
      </c>
      <c r="B179" s="26">
        <v>15</v>
      </c>
      <c r="C179" s="26">
        <v>28</v>
      </c>
      <c r="D179" s="26" t="s">
        <v>1387</v>
      </c>
      <c r="E179" s="26">
        <v>-7158.7529999999997</v>
      </c>
      <c r="F179" s="26">
        <v>3.32</v>
      </c>
      <c r="G179" s="26">
        <f t="shared" si="2"/>
        <v>-7158.7529999999997</v>
      </c>
    </row>
    <row r="180" spans="1:7" x14ac:dyDescent="0.2">
      <c r="A180" s="26">
        <v>12</v>
      </c>
      <c r="B180" s="26">
        <v>16</v>
      </c>
      <c r="C180" s="26">
        <v>28</v>
      </c>
      <c r="D180" s="26" t="s">
        <v>1388</v>
      </c>
      <c r="E180" s="26">
        <v>4073.203</v>
      </c>
      <c r="F180" s="26">
        <v>160</v>
      </c>
      <c r="G180" s="26">
        <f t="shared" si="2"/>
        <v>4073.203</v>
      </c>
    </row>
    <row r="181" spans="1:7" x14ac:dyDescent="0.2">
      <c r="A181" s="26">
        <v>11</v>
      </c>
      <c r="B181" s="26">
        <v>17</v>
      </c>
      <c r="C181" s="26">
        <v>28</v>
      </c>
      <c r="D181" s="26" t="s">
        <v>1389</v>
      </c>
      <c r="E181" s="26" t="s">
        <v>1488</v>
      </c>
      <c r="F181" s="26" t="s">
        <v>1728</v>
      </c>
      <c r="G181" s="26">
        <f t="shared" si="2"/>
        <v>26557.01</v>
      </c>
    </row>
    <row r="182" spans="1:7" x14ac:dyDescent="0.2">
      <c r="A182" s="26">
        <v>20</v>
      </c>
      <c r="B182" s="26">
        <v>9</v>
      </c>
      <c r="C182" s="26">
        <v>29</v>
      </c>
      <c r="D182" s="26" t="s">
        <v>1382</v>
      </c>
      <c r="E182" s="26" t="s">
        <v>1489</v>
      </c>
      <c r="F182" s="26" t="s">
        <v>1490</v>
      </c>
      <c r="G182" s="26">
        <f t="shared" si="2"/>
        <v>40296.01</v>
      </c>
    </row>
    <row r="183" spans="1:7" x14ac:dyDescent="0.2">
      <c r="A183" s="26">
        <v>19</v>
      </c>
      <c r="B183" s="26">
        <v>10</v>
      </c>
      <c r="C183" s="26">
        <v>29</v>
      </c>
      <c r="D183" s="26" t="s">
        <v>1383</v>
      </c>
      <c r="E183" s="26">
        <v>18057.881000000001</v>
      </c>
      <c r="F183" s="26">
        <v>268.67099999999999</v>
      </c>
      <c r="G183" s="26">
        <f t="shared" si="2"/>
        <v>18057.881000000001</v>
      </c>
    </row>
    <row r="184" spans="1:7" x14ac:dyDescent="0.2">
      <c r="A184" s="26">
        <v>18</v>
      </c>
      <c r="B184" s="26">
        <v>11</v>
      </c>
      <c r="C184" s="26">
        <v>29</v>
      </c>
      <c r="D184" s="26" t="s">
        <v>1751</v>
      </c>
      <c r="E184" s="26">
        <v>2665.0039999999999</v>
      </c>
      <c r="F184" s="26">
        <v>13.041</v>
      </c>
      <c r="G184" s="26">
        <f t="shared" si="2"/>
        <v>2665.0039999999999</v>
      </c>
    </row>
    <row r="185" spans="1:7" x14ac:dyDescent="0.2">
      <c r="A185" s="26">
        <v>17</v>
      </c>
      <c r="B185" s="26">
        <v>12</v>
      </c>
      <c r="C185" s="26">
        <v>29</v>
      </c>
      <c r="D185" s="26" t="s">
        <v>1384</v>
      </c>
      <c r="E185" s="26">
        <v>-10619.031999999999</v>
      </c>
      <c r="F185" s="26">
        <v>13.972</v>
      </c>
      <c r="G185" s="26">
        <f t="shared" si="2"/>
        <v>-10619.031999999999</v>
      </c>
    </row>
    <row r="186" spans="1:7" x14ac:dyDescent="0.2">
      <c r="A186" s="26">
        <v>16</v>
      </c>
      <c r="B186" s="26">
        <v>13</v>
      </c>
      <c r="C186" s="26">
        <v>29</v>
      </c>
      <c r="D186" s="26" t="s">
        <v>1385</v>
      </c>
      <c r="E186" s="26">
        <v>-18215.322</v>
      </c>
      <c r="F186" s="26">
        <v>1.206</v>
      </c>
      <c r="G186" s="26">
        <f t="shared" si="2"/>
        <v>-18215.322</v>
      </c>
    </row>
    <row r="187" spans="1:7" x14ac:dyDescent="0.2">
      <c r="A187" s="26">
        <v>15</v>
      </c>
      <c r="B187" s="26">
        <v>14</v>
      </c>
      <c r="C187" s="26">
        <v>29</v>
      </c>
      <c r="D187" s="26" t="s">
        <v>1386</v>
      </c>
      <c r="E187" s="26">
        <v>-21895.045999999998</v>
      </c>
      <c r="F187" s="26">
        <v>2.1000000000000001E-2</v>
      </c>
      <c r="G187" s="26">
        <f t="shared" si="2"/>
        <v>-21895.045999999998</v>
      </c>
    </row>
    <row r="188" spans="1:7" x14ac:dyDescent="0.2">
      <c r="A188" s="26">
        <v>14</v>
      </c>
      <c r="B188" s="26">
        <v>15</v>
      </c>
      <c r="C188" s="26">
        <v>29</v>
      </c>
      <c r="D188" s="26" t="s">
        <v>1387</v>
      </c>
      <c r="E188" s="26">
        <v>-16952.626</v>
      </c>
      <c r="F188" s="26">
        <v>0.6</v>
      </c>
      <c r="G188" s="26">
        <f t="shared" si="2"/>
        <v>-16952.626</v>
      </c>
    </row>
    <row r="189" spans="1:7" x14ac:dyDescent="0.2">
      <c r="A189" s="26">
        <v>13</v>
      </c>
      <c r="B189" s="26">
        <v>16</v>
      </c>
      <c r="C189" s="26">
        <v>29</v>
      </c>
      <c r="D189" s="26" t="s">
        <v>1388</v>
      </c>
      <c r="E189" s="26">
        <v>-3159.5819999999999</v>
      </c>
      <c r="F189" s="26">
        <v>50</v>
      </c>
      <c r="G189" s="26">
        <f t="shared" si="2"/>
        <v>-3159.5819999999999</v>
      </c>
    </row>
    <row r="190" spans="1:7" x14ac:dyDescent="0.2">
      <c r="A190" s="26">
        <v>12</v>
      </c>
      <c r="B190" s="26">
        <v>17</v>
      </c>
      <c r="C190" s="26">
        <v>29</v>
      </c>
      <c r="D190" s="26" t="s">
        <v>1389</v>
      </c>
      <c r="E190" s="26" t="s">
        <v>1491</v>
      </c>
      <c r="F190" s="26" t="s">
        <v>1480</v>
      </c>
      <c r="G190" s="26">
        <f t="shared" si="2"/>
        <v>13143.01</v>
      </c>
    </row>
    <row r="191" spans="1:7" x14ac:dyDescent="0.2">
      <c r="A191" s="26">
        <v>21</v>
      </c>
      <c r="B191" s="26">
        <v>9</v>
      </c>
      <c r="C191" s="26">
        <v>30</v>
      </c>
      <c r="D191" s="26" t="s">
        <v>1382</v>
      </c>
      <c r="E191" s="26" t="s">
        <v>1183</v>
      </c>
      <c r="F191" s="26" t="s">
        <v>1505</v>
      </c>
      <c r="G191" s="26">
        <f t="shared" si="2"/>
        <v>48903.01</v>
      </c>
    </row>
    <row r="192" spans="1:7" x14ac:dyDescent="0.2">
      <c r="A192" s="26">
        <v>20</v>
      </c>
      <c r="B192" s="26">
        <v>10</v>
      </c>
      <c r="C192" s="26">
        <v>30</v>
      </c>
      <c r="D192" s="26" t="s">
        <v>1383</v>
      </c>
      <c r="E192" s="26">
        <v>23102.025000000001</v>
      </c>
      <c r="F192" s="26">
        <v>570.73400000000004</v>
      </c>
      <c r="G192" s="26">
        <f t="shared" si="2"/>
        <v>23102.025000000001</v>
      </c>
    </row>
    <row r="193" spans="1:7" x14ac:dyDescent="0.2">
      <c r="A193" s="26">
        <v>19</v>
      </c>
      <c r="B193" s="26">
        <v>11</v>
      </c>
      <c r="C193" s="26">
        <v>30</v>
      </c>
      <c r="D193" s="26" t="s">
        <v>1751</v>
      </c>
      <c r="E193" s="26">
        <v>8361.09</v>
      </c>
      <c r="F193" s="26">
        <v>25.15</v>
      </c>
      <c r="G193" s="26">
        <f t="shared" si="2"/>
        <v>8361.09</v>
      </c>
    </row>
    <row r="194" spans="1:7" x14ac:dyDescent="0.2">
      <c r="A194" s="26">
        <v>18</v>
      </c>
      <c r="B194" s="26">
        <v>12</v>
      </c>
      <c r="C194" s="26">
        <v>30</v>
      </c>
      <c r="D194" s="26" t="s">
        <v>1384</v>
      </c>
      <c r="E194" s="26">
        <v>-8910.6720000000005</v>
      </c>
      <c r="F194" s="26">
        <v>8.3829999999999991</v>
      </c>
      <c r="G194" s="26">
        <f t="shared" si="2"/>
        <v>-8910.6720000000005</v>
      </c>
    </row>
    <row r="195" spans="1:7" x14ac:dyDescent="0.2">
      <c r="A195" s="26">
        <v>17</v>
      </c>
      <c r="B195" s="26">
        <v>13</v>
      </c>
      <c r="C195" s="26">
        <v>30</v>
      </c>
      <c r="D195" s="26" t="s">
        <v>1385</v>
      </c>
      <c r="E195" s="26">
        <v>-15872.419</v>
      </c>
      <c r="F195" s="26">
        <v>14.045</v>
      </c>
      <c r="G195" s="26">
        <f t="shared" si="2"/>
        <v>-15872.419</v>
      </c>
    </row>
    <row r="196" spans="1:7" x14ac:dyDescent="0.2">
      <c r="A196" s="26">
        <v>16</v>
      </c>
      <c r="B196" s="26">
        <v>14</v>
      </c>
      <c r="C196" s="26">
        <v>30</v>
      </c>
      <c r="D196" s="26" t="s">
        <v>1386</v>
      </c>
      <c r="E196" s="26">
        <v>-24432.928</v>
      </c>
      <c r="F196" s="26">
        <v>0.03</v>
      </c>
      <c r="G196" s="26">
        <f t="shared" si="2"/>
        <v>-24432.928</v>
      </c>
    </row>
    <row r="197" spans="1:7" x14ac:dyDescent="0.2">
      <c r="A197" s="26">
        <v>15</v>
      </c>
      <c r="B197" s="26">
        <v>15</v>
      </c>
      <c r="C197" s="26">
        <v>30</v>
      </c>
      <c r="D197" s="26" t="s">
        <v>1387</v>
      </c>
      <c r="E197" s="26">
        <v>-20200.575000000001</v>
      </c>
      <c r="F197" s="26">
        <v>0.313</v>
      </c>
      <c r="G197" s="26">
        <f t="shared" si="2"/>
        <v>-20200.575000000001</v>
      </c>
    </row>
    <row r="198" spans="1:7" x14ac:dyDescent="0.2">
      <c r="A198" s="26">
        <v>14</v>
      </c>
      <c r="B198" s="26">
        <v>16</v>
      </c>
      <c r="C198" s="26">
        <v>30</v>
      </c>
      <c r="D198" s="26" t="s">
        <v>1388</v>
      </c>
      <c r="E198" s="26">
        <v>-14062.531999999999</v>
      </c>
      <c r="F198" s="26">
        <v>3.0030000000000001</v>
      </c>
      <c r="G198" s="26">
        <f t="shared" si="2"/>
        <v>-14062.531999999999</v>
      </c>
    </row>
    <row r="199" spans="1:7" x14ac:dyDescent="0.2">
      <c r="A199" s="26">
        <v>13</v>
      </c>
      <c r="B199" s="26">
        <v>17</v>
      </c>
      <c r="C199" s="26">
        <v>30</v>
      </c>
      <c r="D199" s="26" t="s">
        <v>1389</v>
      </c>
      <c r="E199" s="26" t="s">
        <v>1492</v>
      </c>
      <c r="F199" s="26" t="s">
        <v>1480</v>
      </c>
      <c r="G199" s="26">
        <f t="shared" si="2"/>
        <v>4443.01</v>
      </c>
    </row>
    <row r="200" spans="1:7" x14ac:dyDescent="0.2">
      <c r="A200" s="26">
        <v>12</v>
      </c>
      <c r="B200" s="26">
        <v>18</v>
      </c>
      <c r="C200" s="26">
        <v>30</v>
      </c>
      <c r="D200" s="26" t="s">
        <v>1390</v>
      </c>
      <c r="E200" s="26" t="s">
        <v>1493</v>
      </c>
      <c r="F200" s="26" t="s">
        <v>1730</v>
      </c>
      <c r="G200" s="26">
        <f t="shared" si="2"/>
        <v>20083.009999999998</v>
      </c>
    </row>
    <row r="201" spans="1:7" x14ac:dyDescent="0.2">
      <c r="A201" s="26">
        <v>22</v>
      </c>
      <c r="B201" s="26">
        <v>9</v>
      </c>
      <c r="C201" s="26">
        <v>31</v>
      </c>
      <c r="D201" s="26" t="s">
        <v>1382</v>
      </c>
      <c r="E201" s="26" t="s">
        <v>1184</v>
      </c>
      <c r="F201" s="26" t="s">
        <v>1185</v>
      </c>
      <c r="G201" s="26">
        <f t="shared" si="2"/>
        <v>56289.01</v>
      </c>
    </row>
    <row r="202" spans="1:7" x14ac:dyDescent="0.2">
      <c r="A202" s="26">
        <v>21</v>
      </c>
      <c r="B202" s="26">
        <v>10</v>
      </c>
      <c r="C202" s="26">
        <v>31</v>
      </c>
      <c r="D202" s="26" t="s">
        <v>1383</v>
      </c>
      <c r="E202" s="26" t="s">
        <v>1494</v>
      </c>
      <c r="F202" s="26" t="s">
        <v>1731</v>
      </c>
      <c r="G202" s="26">
        <f t="shared" ref="G202:G265" si="3">IF(ISNUMBER(E202),E202,VALUE(SUBSTITUTE(E202,"#",".01")))</f>
        <v>30842.01</v>
      </c>
    </row>
    <row r="203" spans="1:7" x14ac:dyDescent="0.2">
      <c r="A203" s="26">
        <v>20</v>
      </c>
      <c r="B203" s="26">
        <v>11</v>
      </c>
      <c r="C203" s="26">
        <v>31</v>
      </c>
      <c r="D203" s="26" t="s">
        <v>1751</v>
      </c>
      <c r="E203" s="26">
        <v>12654.768</v>
      </c>
      <c r="F203" s="26">
        <v>211.321</v>
      </c>
      <c r="G203" s="26">
        <f t="shared" si="3"/>
        <v>12654.768</v>
      </c>
    </row>
    <row r="204" spans="1:7" x14ac:dyDescent="0.2">
      <c r="A204" s="26">
        <v>19</v>
      </c>
      <c r="B204" s="26">
        <v>12</v>
      </c>
      <c r="C204" s="26">
        <v>31</v>
      </c>
      <c r="D204" s="26" t="s">
        <v>1384</v>
      </c>
      <c r="E204" s="26">
        <v>-3217.38</v>
      </c>
      <c r="F204" s="26">
        <v>12.109</v>
      </c>
      <c r="G204" s="26">
        <f t="shared" si="3"/>
        <v>-3217.38</v>
      </c>
    </row>
    <row r="205" spans="1:7" x14ac:dyDescent="0.2">
      <c r="A205" s="26">
        <v>18</v>
      </c>
      <c r="B205" s="26">
        <v>13</v>
      </c>
      <c r="C205" s="26">
        <v>31</v>
      </c>
      <c r="D205" s="26" t="s">
        <v>1385</v>
      </c>
      <c r="E205" s="26">
        <v>-14953.628000000001</v>
      </c>
      <c r="F205" s="26">
        <v>20.343</v>
      </c>
      <c r="G205" s="26">
        <f t="shared" si="3"/>
        <v>-14953.628000000001</v>
      </c>
    </row>
    <row r="206" spans="1:7" x14ac:dyDescent="0.2">
      <c r="A206" s="26">
        <v>17</v>
      </c>
      <c r="B206" s="26">
        <v>14</v>
      </c>
      <c r="C206" s="26">
        <v>31</v>
      </c>
      <c r="D206" s="26" t="s">
        <v>1386</v>
      </c>
      <c r="E206" s="26">
        <v>-22949.006000000001</v>
      </c>
      <c r="F206" s="26">
        <v>3.9E-2</v>
      </c>
      <c r="G206" s="26">
        <f t="shared" si="3"/>
        <v>-22949.006000000001</v>
      </c>
    </row>
    <row r="207" spans="1:7" x14ac:dyDescent="0.2">
      <c r="A207" s="26">
        <v>16</v>
      </c>
      <c r="B207" s="26">
        <v>15</v>
      </c>
      <c r="C207" s="26">
        <v>31</v>
      </c>
      <c r="D207" s="26" t="s">
        <v>1387</v>
      </c>
      <c r="E207" s="26">
        <v>-24440.884999999998</v>
      </c>
      <c r="F207" s="26">
        <v>0.183</v>
      </c>
      <c r="G207" s="26">
        <f t="shared" si="3"/>
        <v>-24440.884999999998</v>
      </c>
    </row>
    <row r="208" spans="1:7" x14ac:dyDescent="0.2">
      <c r="A208" s="26">
        <v>15</v>
      </c>
      <c r="B208" s="26">
        <v>16</v>
      </c>
      <c r="C208" s="26">
        <v>31</v>
      </c>
      <c r="D208" s="26" t="s">
        <v>1388</v>
      </c>
      <c r="E208" s="26">
        <v>-19044.648000000001</v>
      </c>
      <c r="F208" s="26">
        <v>1.506</v>
      </c>
      <c r="G208" s="26">
        <f t="shared" si="3"/>
        <v>-19044.648000000001</v>
      </c>
    </row>
    <row r="209" spans="1:7" x14ac:dyDescent="0.2">
      <c r="A209" s="26">
        <v>14</v>
      </c>
      <c r="B209" s="26">
        <v>17</v>
      </c>
      <c r="C209" s="26">
        <v>31</v>
      </c>
      <c r="D209" s="26" t="s">
        <v>1389</v>
      </c>
      <c r="E209" s="26">
        <v>-7067.165</v>
      </c>
      <c r="F209" s="26">
        <v>50</v>
      </c>
      <c r="G209" s="26">
        <f t="shared" si="3"/>
        <v>-7067.165</v>
      </c>
    </row>
    <row r="210" spans="1:7" x14ac:dyDescent="0.2">
      <c r="A210" s="26">
        <v>13</v>
      </c>
      <c r="B210" s="26">
        <v>18</v>
      </c>
      <c r="C210" s="26">
        <v>31</v>
      </c>
      <c r="D210" s="26" t="s">
        <v>1390</v>
      </c>
      <c r="E210" s="26" t="s">
        <v>1186</v>
      </c>
      <c r="F210" s="26" t="s">
        <v>1495</v>
      </c>
      <c r="G210" s="26">
        <f t="shared" si="3"/>
        <v>11293.01</v>
      </c>
    </row>
    <row r="211" spans="1:7" x14ac:dyDescent="0.2">
      <c r="A211" s="26">
        <v>22</v>
      </c>
      <c r="B211" s="26">
        <v>10</v>
      </c>
      <c r="C211" s="26">
        <v>32</v>
      </c>
      <c r="D211" s="26" t="s">
        <v>1383</v>
      </c>
      <c r="E211" s="26" t="s">
        <v>1187</v>
      </c>
      <c r="F211" s="26" t="s">
        <v>1725</v>
      </c>
      <c r="G211" s="26">
        <f t="shared" si="3"/>
        <v>37278.01</v>
      </c>
    </row>
    <row r="212" spans="1:7" x14ac:dyDescent="0.2">
      <c r="A212" s="26">
        <v>21</v>
      </c>
      <c r="B212" s="26">
        <v>11</v>
      </c>
      <c r="C212" s="26">
        <v>32</v>
      </c>
      <c r="D212" s="26" t="s">
        <v>1751</v>
      </c>
      <c r="E212" s="26">
        <v>19064.477999999999</v>
      </c>
      <c r="F212" s="26">
        <v>356.178</v>
      </c>
      <c r="G212" s="26">
        <f t="shared" si="3"/>
        <v>19064.477999999999</v>
      </c>
    </row>
    <row r="213" spans="1:7" x14ac:dyDescent="0.2">
      <c r="A213" s="26">
        <v>20</v>
      </c>
      <c r="B213" s="26">
        <v>12</v>
      </c>
      <c r="C213" s="26">
        <v>32</v>
      </c>
      <c r="D213" s="26" t="s">
        <v>1384</v>
      </c>
      <c r="E213" s="26">
        <v>-954.78099999999995</v>
      </c>
      <c r="F213" s="26">
        <v>17.698</v>
      </c>
      <c r="G213" s="26">
        <f t="shared" si="3"/>
        <v>-954.78099999999995</v>
      </c>
    </row>
    <row r="214" spans="1:7" x14ac:dyDescent="0.2">
      <c r="A214" s="26">
        <v>19</v>
      </c>
      <c r="B214" s="26">
        <v>13</v>
      </c>
      <c r="C214" s="26">
        <v>32</v>
      </c>
      <c r="D214" s="26" t="s">
        <v>1385</v>
      </c>
      <c r="E214" s="26">
        <v>-11061.966</v>
      </c>
      <c r="F214" s="26">
        <v>85.948999999999998</v>
      </c>
      <c r="G214" s="26">
        <f t="shared" si="3"/>
        <v>-11061.966</v>
      </c>
    </row>
    <row r="215" spans="1:7" x14ac:dyDescent="0.2">
      <c r="A215" s="26">
        <v>18</v>
      </c>
      <c r="B215" s="26">
        <v>14</v>
      </c>
      <c r="C215" s="26">
        <v>32</v>
      </c>
      <c r="D215" s="26" t="s">
        <v>1386</v>
      </c>
      <c r="E215" s="26">
        <v>-24080.906999999999</v>
      </c>
      <c r="F215" s="26">
        <v>0.05</v>
      </c>
      <c r="G215" s="26">
        <f t="shared" si="3"/>
        <v>-24080.906999999999</v>
      </c>
    </row>
    <row r="216" spans="1:7" x14ac:dyDescent="0.2">
      <c r="A216" s="26">
        <v>17</v>
      </c>
      <c r="B216" s="26">
        <v>15</v>
      </c>
      <c r="C216" s="26">
        <v>32</v>
      </c>
      <c r="D216" s="26" t="s">
        <v>1387</v>
      </c>
      <c r="E216" s="26">
        <v>-24305.218000000001</v>
      </c>
      <c r="F216" s="26">
        <v>0.187</v>
      </c>
      <c r="G216" s="26">
        <f t="shared" si="3"/>
        <v>-24305.218000000001</v>
      </c>
    </row>
    <row r="217" spans="1:7" x14ac:dyDescent="0.2">
      <c r="A217" s="26">
        <v>16</v>
      </c>
      <c r="B217" s="26">
        <v>16</v>
      </c>
      <c r="C217" s="26">
        <v>32</v>
      </c>
      <c r="D217" s="26" t="s">
        <v>1388</v>
      </c>
      <c r="E217" s="26">
        <v>-26015.697</v>
      </c>
      <c r="F217" s="26">
        <v>0.13800000000000001</v>
      </c>
      <c r="G217" s="26">
        <f t="shared" si="3"/>
        <v>-26015.697</v>
      </c>
    </row>
    <row r="218" spans="1:7" x14ac:dyDescent="0.2">
      <c r="A218" s="26">
        <v>15</v>
      </c>
      <c r="B218" s="26">
        <v>17</v>
      </c>
      <c r="C218" s="26">
        <v>32</v>
      </c>
      <c r="D218" s="26" t="s">
        <v>1389</v>
      </c>
      <c r="E218" s="26">
        <v>-13329.771000000001</v>
      </c>
      <c r="F218" s="26">
        <v>6.593</v>
      </c>
      <c r="G218" s="26">
        <f t="shared" si="3"/>
        <v>-13329.771000000001</v>
      </c>
    </row>
    <row r="219" spans="1:7" x14ac:dyDescent="0.2">
      <c r="A219" s="26">
        <v>14</v>
      </c>
      <c r="B219" s="26">
        <v>18</v>
      </c>
      <c r="C219" s="26">
        <v>32</v>
      </c>
      <c r="D219" s="26" t="s">
        <v>1390</v>
      </c>
      <c r="E219" s="26">
        <v>-2200.2040000000002</v>
      </c>
      <c r="F219" s="26">
        <v>1.78</v>
      </c>
      <c r="G219" s="26">
        <f t="shared" si="3"/>
        <v>-2200.2040000000002</v>
      </c>
    </row>
    <row r="220" spans="1:7" x14ac:dyDescent="0.2">
      <c r="A220" s="26">
        <v>13</v>
      </c>
      <c r="B220" s="26">
        <v>19</v>
      </c>
      <c r="C220" s="26">
        <v>32</v>
      </c>
      <c r="D220" s="26" t="s">
        <v>1391</v>
      </c>
      <c r="E220" s="26" t="s">
        <v>1496</v>
      </c>
      <c r="F220" s="26" t="s">
        <v>1728</v>
      </c>
      <c r="G220" s="26">
        <f t="shared" si="3"/>
        <v>20418.009999999998</v>
      </c>
    </row>
    <row r="221" spans="1:7" x14ac:dyDescent="0.2">
      <c r="A221" s="26">
        <v>23</v>
      </c>
      <c r="B221" s="26">
        <v>10</v>
      </c>
      <c r="C221" s="26">
        <v>33</v>
      </c>
      <c r="D221" s="26" t="s">
        <v>1383</v>
      </c>
      <c r="E221" s="26" t="s">
        <v>1188</v>
      </c>
      <c r="F221" s="26" t="s">
        <v>1725</v>
      </c>
      <c r="G221" s="26">
        <f t="shared" si="3"/>
        <v>45997.01</v>
      </c>
    </row>
    <row r="222" spans="1:7" x14ac:dyDescent="0.2">
      <c r="A222" s="26">
        <v>22</v>
      </c>
      <c r="B222" s="26">
        <v>11</v>
      </c>
      <c r="C222" s="26">
        <v>33</v>
      </c>
      <c r="D222" s="26" t="s">
        <v>1751</v>
      </c>
      <c r="E222" s="26">
        <v>24889.293000000001</v>
      </c>
      <c r="F222" s="26">
        <v>874.99900000000002</v>
      </c>
      <c r="G222" s="26">
        <f t="shared" si="3"/>
        <v>24889.293000000001</v>
      </c>
    </row>
    <row r="223" spans="1:7" x14ac:dyDescent="0.2">
      <c r="A223" s="26">
        <v>21</v>
      </c>
      <c r="B223" s="26">
        <v>12</v>
      </c>
      <c r="C223" s="26">
        <v>33</v>
      </c>
      <c r="D223" s="26" t="s">
        <v>1384</v>
      </c>
      <c r="E223" s="26">
        <v>4894.07</v>
      </c>
      <c r="F223" s="26">
        <v>19.561</v>
      </c>
      <c r="G223" s="26">
        <f t="shared" si="3"/>
        <v>4894.07</v>
      </c>
    </row>
    <row r="224" spans="1:7" x14ac:dyDescent="0.2">
      <c r="A224" s="26">
        <v>20</v>
      </c>
      <c r="B224" s="26">
        <v>13</v>
      </c>
      <c r="C224" s="26">
        <v>33</v>
      </c>
      <c r="D224" s="26" t="s">
        <v>1385</v>
      </c>
      <c r="E224" s="26">
        <v>-8529.3770000000004</v>
      </c>
      <c r="F224" s="26">
        <v>72.745000000000005</v>
      </c>
      <c r="G224" s="26">
        <f t="shared" si="3"/>
        <v>-8529.3770000000004</v>
      </c>
    </row>
    <row r="225" spans="1:7" x14ac:dyDescent="0.2">
      <c r="A225" s="26">
        <v>19</v>
      </c>
      <c r="B225" s="26">
        <v>14</v>
      </c>
      <c r="C225" s="26">
        <v>33</v>
      </c>
      <c r="D225" s="26" t="s">
        <v>1386</v>
      </c>
      <c r="E225" s="26">
        <v>-20492.662</v>
      </c>
      <c r="F225" s="26">
        <v>15.791</v>
      </c>
      <c r="G225" s="26">
        <f t="shared" si="3"/>
        <v>-20492.662</v>
      </c>
    </row>
    <row r="226" spans="1:7" x14ac:dyDescent="0.2">
      <c r="A226" s="26">
        <v>18</v>
      </c>
      <c r="B226" s="26">
        <v>15</v>
      </c>
      <c r="C226" s="26">
        <v>33</v>
      </c>
      <c r="D226" s="26" t="s">
        <v>1387</v>
      </c>
      <c r="E226" s="26">
        <v>-26337.486000000001</v>
      </c>
      <c r="F226" s="26">
        <v>1.0980000000000001</v>
      </c>
      <c r="G226" s="26">
        <f t="shared" si="3"/>
        <v>-26337.486000000001</v>
      </c>
    </row>
    <row r="227" spans="1:7" x14ac:dyDescent="0.2">
      <c r="A227" s="26">
        <v>17</v>
      </c>
      <c r="B227" s="26">
        <v>16</v>
      </c>
      <c r="C227" s="26">
        <v>33</v>
      </c>
      <c r="D227" s="26" t="s">
        <v>1388</v>
      </c>
      <c r="E227" s="26">
        <v>-26585.993999999999</v>
      </c>
      <c r="F227" s="26">
        <v>0.13600000000000001</v>
      </c>
      <c r="G227" s="26">
        <f t="shared" si="3"/>
        <v>-26585.993999999999</v>
      </c>
    </row>
    <row r="228" spans="1:7" x14ac:dyDescent="0.2">
      <c r="A228" s="26">
        <v>16</v>
      </c>
      <c r="B228" s="26">
        <v>17</v>
      </c>
      <c r="C228" s="26">
        <v>33</v>
      </c>
      <c r="D228" s="26" t="s">
        <v>1389</v>
      </c>
      <c r="E228" s="26">
        <v>-21003.432000000001</v>
      </c>
      <c r="F228" s="26">
        <v>0.45800000000000002</v>
      </c>
      <c r="G228" s="26">
        <f t="shared" si="3"/>
        <v>-21003.432000000001</v>
      </c>
    </row>
    <row r="229" spans="1:7" x14ac:dyDescent="0.2">
      <c r="A229" s="26">
        <v>15</v>
      </c>
      <c r="B229" s="26">
        <v>18</v>
      </c>
      <c r="C229" s="26">
        <v>33</v>
      </c>
      <c r="D229" s="26" t="s">
        <v>1390</v>
      </c>
      <c r="E229" s="26">
        <v>-9384.1409999999996</v>
      </c>
      <c r="F229" s="26">
        <v>0.443</v>
      </c>
      <c r="G229" s="26">
        <f t="shared" si="3"/>
        <v>-9384.1409999999996</v>
      </c>
    </row>
    <row r="230" spans="1:7" x14ac:dyDescent="0.2">
      <c r="A230" s="26">
        <v>14</v>
      </c>
      <c r="B230" s="26">
        <v>19</v>
      </c>
      <c r="C230" s="26">
        <v>33</v>
      </c>
      <c r="D230" s="26" t="s">
        <v>1391</v>
      </c>
      <c r="E230" s="26" t="s">
        <v>1497</v>
      </c>
      <c r="F230" s="26" t="s">
        <v>1480</v>
      </c>
      <c r="G230" s="26">
        <f t="shared" si="3"/>
        <v>6763.01</v>
      </c>
    </row>
    <row r="231" spans="1:7" x14ac:dyDescent="0.2">
      <c r="A231" s="26">
        <v>24</v>
      </c>
      <c r="B231" s="26">
        <v>10</v>
      </c>
      <c r="C231" s="26">
        <v>34</v>
      </c>
      <c r="D231" s="26" t="s">
        <v>1383</v>
      </c>
      <c r="E231" s="26" t="s">
        <v>1189</v>
      </c>
      <c r="F231" s="26" t="s">
        <v>1190</v>
      </c>
      <c r="G231" s="26">
        <f t="shared" si="3"/>
        <v>53121.01</v>
      </c>
    </row>
    <row r="232" spans="1:7" x14ac:dyDescent="0.2">
      <c r="A232" s="26">
        <v>23</v>
      </c>
      <c r="B232" s="26">
        <v>11</v>
      </c>
      <c r="C232" s="26">
        <v>34</v>
      </c>
      <c r="D232" s="26" t="s">
        <v>1751</v>
      </c>
      <c r="E232" s="26" t="s">
        <v>1191</v>
      </c>
      <c r="F232" s="26" t="s">
        <v>1192</v>
      </c>
      <c r="G232" s="26">
        <f t="shared" si="3"/>
        <v>32761.01</v>
      </c>
    </row>
    <row r="233" spans="1:7" x14ac:dyDescent="0.2">
      <c r="A233" s="26">
        <v>22</v>
      </c>
      <c r="B233" s="26">
        <v>12</v>
      </c>
      <c r="C233" s="26">
        <v>34</v>
      </c>
      <c r="D233" s="26" t="s">
        <v>1384</v>
      </c>
      <c r="E233" s="26">
        <v>8808.6029999999992</v>
      </c>
      <c r="F233" s="26">
        <v>231.39599999999999</v>
      </c>
      <c r="G233" s="26">
        <f t="shared" si="3"/>
        <v>8808.6029999999992</v>
      </c>
    </row>
    <row r="234" spans="1:7" x14ac:dyDescent="0.2">
      <c r="A234" s="26">
        <v>21</v>
      </c>
      <c r="B234" s="26">
        <v>13</v>
      </c>
      <c r="C234" s="26">
        <v>34</v>
      </c>
      <c r="D234" s="26" t="s">
        <v>1385</v>
      </c>
      <c r="E234" s="26">
        <v>-2932.4949999999999</v>
      </c>
      <c r="F234" s="26">
        <v>113.038</v>
      </c>
      <c r="G234" s="26">
        <f t="shared" si="3"/>
        <v>-2932.4949999999999</v>
      </c>
    </row>
    <row r="235" spans="1:7" x14ac:dyDescent="0.2">
      <c r="A235" s="26">
        <v>20</v>
      </c>
      <c r="B235" s="26">
        <v>14</v>
      </c>
      <c r="C235" s="26">
        <v>34</v>
      </c>
      <c r="D235" s="26" t="s">
        <v>1386</v>
      </c>
      <c r="E235" s="26">
        <v>-19956.77</v>
      </c>
      <c r="F235" s="26">
        <v>14.118</v>
      </c>
      <c r="G235" s="26">
        <f t="shared" si="3"/>
        <v>-19956.77</v>
      </c>
    </row>
    <row r="236" spans="1:7" x14ac:dyDescent="0.2">
      <c r="A236" s="26">
        <v>19</v>
      </c>
      <c r="B236" s="26">
        <v>15</v>
      </c>
      <c r="C236" s="26">
        <v>34</v>
      </c>
      <c r="D236" s="26" t="s">
        <v>1387</v>
      </c>
      <c r="E236" s="26">
        <v>-24557.669000000002</v>
      </c>
      <c r="F236" s="26">
        <v>5.0039999999999996</v>
      </c>
      <c r="G236" s="26">
        <f t="shared" si="3"/>
        <v>-24557.669000000002</v>
      </c>
    </row>
    <row r="237" spans="1:7" x14ac:dyDescent="0.2">
      <c r="A237" s="26">
        <v>18</v>
      </c>
      <c r="B237" s="26">
        <v>16</v>
      </c>
      <c r="C237" s="26">
        <v>34</v>
      </c>
      <c r="D237" s="26" t="s">
        <v>1388</v>
      </c>
      <c r="E237" s="26">
        <v>-29931.788</v>
      </c>
      <c r="F237" s="26">
        <v>0.108</v>
      </c>
      <c r="G237" s="26">
        <f t="shared" si="3"/>
        <v>-29931.788</v>
      </c>
    </row>
    <row r="238" spans="1:7" x14ac:dyDescent="0.2">
      <c r="A238" s="26">
        <v>17</v>
      </c>
      <c r="B238" s="26">
        <v>17</v>
      </c>
      <c r="C238" s="26">
        <v>34</v>
      </c>
      <c r="D238" s="26" t="s">
        <v>1389</v>
      </c>
      <c r="E238" s="26">
        <v>-24439.776000000002</v>
      </c>
      <c r="F238" s="26">
        <v>0.17899999999999999</v>
      </c>
      <c r="G238" s="26">
        <f t="shared" si="3"/>
        <v>-24439.776000000002</v>
      </c>
    </row>
    <row r="239" spans="1:7" x14ac:dyDescent="0.2">
      <c r="A239" s="26">
        <v>16</v>
      </c>
      <c r="B239" s="26">
        <v>18</v>
      </c>
      <c r="C239" s="26">
        <v>34</v>
      </c>
      <c r="D239" s="26" t="s">
        <v>1390</v>
      </c>
      <c r="E239" s="26">
        <v>-18377.217000000001</v>
      </c>
      <c r="F239" s="26">
        <v>0.38600000000000001</v>
      </c>
      <c r="G239" s="26">
        <f t="shared" si="3"/>
        <v>-18377.217000000001</v>
      </c>
    </row>
    <row r="240" spans="1:7" x14ac:dyDescent="0.2">
      <c r="A240" s="26">
        <v>15</v>
      </c>
      <c r="B240" s="26">
        <v>19</v>
      </c>
      <c r="C240" s="26">
        <v>34</v>
      </c>
      <c r="D240" s="26" t="s">
        <v>1391</v>
      </c>
      <c r="E240" s="26" t="s">
        <v>1498</v>
      </c>
      <c r="F240" s="26" t="s">
        <v>1730</v>
      </c>
      <c r="G240" s="26">
        <f t="shared" si="3"/>
        <v>-1481.01</v>
      </c>
    </row>
    <row r="241" spans="1:7" x14ac:dyDescent="0.2">
      <c r="A241" s="26">
        <v>14</v>
      </c>
      <c r="B241" s="26">
        <v>20</v>
      </c>
      <c r="C241" s="26">
        <v>34</v>
      </c>
      <c r="D241" s="26" t="s">
        <v>1392</v>
      </c>
      <c r="E241" s="26" t="s">
        <v>1499</v>
      </c>
      <c r="F241" s="26" t="s">
        <v>1730</v>
      </c>
      <c r="G241" s="26">
        <f t="shared" si="3"/>
        <v>13153.01</v>
      </c>
    </row>
    <row r="242" spans="1:7" x14ac:dyDescent="0.2">
      <c r="A242" s="26">
        <v>24</v>
      </c>
      <c r="B242" s="26">
        <v>11</v>
      </c>
      <c r="C242" s="26">
        <v>35</v>
      </c>
      <c r="D242" s="26" t="s">
        <v>1751</v>
      </c>
      <c r="E242" s="26" t="s">
        <v>1193</v>
      </c>
      <c r="F242" s="26" t="s">
        <v>1194</v>
      </c>
      <c r="G242" s="26">
        <f t="shared" si="3"/>
        <v>39582.01</v>
      </c>
    </row>
    <row r="243" spans="1:7" x14ac:dyDescent="0.2">
      <c r="A243" s="26">
        <v>23</v>
      </c>
      <c r="B243" s="26">
        <v>12</v>
      </c>
      <c r="C243" s="26">
        <v>35</v>
      </c>
      <c r="D243" s="26" t="s">
        <v>1384</v>
      </c>
      <c r="E243" s="26" t="s">
        <v>1195</v>
      </c>
      <c r="F243" s="26" t="s">
        <v>1723</v>
      </c>
      <c r="G243" s="26">
        <f t="shared" si="3"/>
        <v>16152.01</v>
      </c>
    </row>
    <row r="244" spans="1:7" x14ac:dyDescent="0.2">
      <c r="A244" s="26">
        <v>22</v>
      </c>
      <c r="B244" s="26">
        <v>13</v>
      </c>
      <c r="C244" s="26">
        <v>35</v>
      </c>
      <c r="D244" s="26" t="s">
        <v>1385</v>
      </c>
      <c r="E244" s="26">
        <v>-130.19</v>
      </c>
      <c r="F244" s="26">
        <v>175.10599999999999</v>
      </c>
      <c r="G244" s="26">
        <f t="shared" si="3"/>
        <v>-130.19</v>
      </c>
    </row>
    <row r="245" spans="1:7" x14ac:dyDescent="0.2">
      <c r="A245" s="26">
        <v>21</v>
      </c>
      <c r="B245" s="26">
        <v>14</v>
      </c>
      <c r="C245" s="26">
        <v>35</v>
      </c>
      <c r="D245" s="26" t="s">
        <v>1386</v>
      </c>
      <c r="E245" s="26">
        <v>-14360.307000000001</v>
      </c>
      <c r="F245" s="26">
        <v>38.411999999999999</v>
      </c>
      <c r="G245" s="26">
        <f t="shared" si="3"/>
        <v>-14360.307000000001</v>
      </c>
    </row>
    <row r="246" spans="1:7" x14ac:dyDescent="0.2">
      <c r="A246" s="26">
        <v>20</v>
      </c>
      <c r="B246" s="26">
        <v>15</v>
      </c>
      <c r="C246" s="26">
        <v>35</v>
      </c>
      <c r="D246" s="26" t="s">
        <v>1387</v>
      </c>
      <c r="E246" s="26">
        <v>-24857.74</v>
      </c>
      <c r="F246" s="26">
        <v>1.867</v>
      </c>
      <c r="G246" s="26">
        <f t="shared" si="3"/>
        <v>-24857.74</v>
      </c>
    </row>
    <row r="247" spans="1:7" x14ac:dyDescent="0.2">
      <c r="A247" s="26">
        <v>19</v>
      </c>
      <c r="B247" s="26">
        <v>16</v>
      </c>
      <c r="C247" s="26">
        <v>35</v>
      </c>
      <c r="D247" s="26" t="s">
        <v>1388</v>
      </c>
      <c r="E247" s="26">
        <v>-28846.356</v>
      </c>
      <c r="F247" s="26">
        <v>0.1</v>
      </c>
      <c r="G247" s="26">
        <f t="shared" si="3"/>
        <v>-28846.356</v>
      </c>
    </row>
    <row r="248" spans="1:7" x14ac:dyDescent="0.2">
      <c r="A248" s="26">
        <v>18</v>
      </c>
      <c r="B248" s="26">
        <v>17</v>
      </c>
      <c r="C248" s="26">
        <v>35</v>
      </c>
      <c r="D248" s="26" t="s">
        <v>1389</v>
      </c>
      <c r="E248" s="26">
        <v>-29013.54</v>
      </c>
      <c r="F248" s="26">
        <v>3.7999999999999999E-2</v>
      </c>
      <c r="G248" s="26">
        <f t="shared" si="3"/>
        <v>-29013.54</v>
      </c>
    </row>
    <row r="249" spans="1:7" x14ac:dyDescent="0.2">
      <c r="A249" s="26">
        <v>17</v>
      </c>
      <c r="B249" s="26">
        <v>18</v>
      </c>
      <c r="C249" s="26">
        <v>35</v>
      </c>
      <c r="D249" s="26" t="s">
        <v>1390</v>
      </c>
      <c r="E249" s="26">
        <v>-23047.411</v>
      </c>
      <c r="F249" s="26">
        <v>0.747</v>
      </c>
      <c r="G249" s="26">
        <f t="shared" si="3"/>
        <v>-23047.411</v>
      </c>
    </row>
    <row r="250" spans="1:7" x14ac:dyDescent="0.2">
      <c r="A250" s="26">
        <v>16</v>
      </c>
      <c r="B250" s="26">
        <v>19</v>
      </c>
      <c r="C250" s="26">
        <v>35</v>
      </c>
      <c r="D250" s="26" t="s">
        <v>1391</v>
      </c>
      <c r="E250" s="26">
        <v>-11168.9</v>
      </c>
      <c r="F250" s="26">
        <v>20.001000000000001</v>
      </c>
      <c r="G250" s="26">
        <f t="shared" si="3"/>
        <v>-11168.9</v>
      </c>
    </row>
    <row r="251" spans="1:7" x14ac:dyDescent="0.2">
      <c r="A251" s="26">
        <v>15</v>
      </c>
      <c r="B251" s="26">
        <v>20</v>
      </c>
      <c r="C251" s="26">
        <v>35</v>
      </c>
      <c r="D251" s="26" t="s">
        <v>1392</v>
      </c>
      <c r="E251" s="26" t="s">
        <v>1523</v>
      </c>
      <c r="F251" s="26" t="s">
        <v>1480</v>
      </c>
      <c r="G251" s="26">
        <f t="shared" si="3"/>
        <v>4602.01</v>
      </c>
    </row>
    <row r="252" spans="1:7" x14ac:dyDescent="0.2">
      <c r="A252" s="26">
        <v>25</v>
      </c>
      <c r="B252" s="26">
        <v>11</v>
      </c>
      <c r="C252" s="26">
        <v>36</v>
      </c>
      <c r="D252" s="26" t="s">
        <v>1751</v>
      </c>
      <c r="E252" s="26" t="s">
        <v>1524</v>
      </c>
      <c r="F252" s="26" t="s">
        <v>1525</v>
      </c>
      <c r="G252" s="26">
        <f t="shared" si="3"/>
        <v>47953.01</v>
      </c>
    </row>
    <row r="253" spans="1:7" x14ac:dyDescent="0.2">
      <c r="A253" s="26">
        <v>24</v>
      </c>
      <c r="B253" s="26">
        <v>12</v>
      </c>
      <c r="C253" s="26">
        <v>36</v>
      </c>
      <c r="D253" s="26" t="s">
        <v>1384</v>
      </c>
      <c r="E253" s="26" t="s">
        <v>1526</v>
      </c>
      <c r="F253" s="26" t="s">
        <v>1728</v>
      </c>
      <c r="G253" s="26">
        <f t="shared" si="3"/>
        <v>21424.01</v>
      </c>
    </row>
    <row r="254" spans="1:7" x14ac:dyDescent="0.2">
      <c r="A254" s="26">
        <v>23</v>
      </c>
      <c r="B254" s="26">
        <v>13</v>
      </c>
      <c r="C254" s="26">
        <v>36</v>
      </c>
      <c r="D254" s="26" t="s">
        <v>1385</v>
      </c>
      <c r="E254" s="26">
        <v>5781.9740000000002</v>
      </c>
      <c r="F254" s="26">
        <v>214.68700000000001</v>
      </c>
      <c r="G254" s="26">
        <f t="shared" si="3"/>
        <v>5781.9740000000002</v>
      </c>
    </row>
    <row r="255" spans="1:7" x14ac:dyDescent="0.2">
      <c r="A255" s="26">
        <v>22</v>
      </c>
      <c r="B255" s="26">
        <v>14</v>
      </c>
      <c r="C255" s="26">
        <v>36</v>
      </c>
      <c r="D255" s="26" t="s">
        <v>1386</v>
      </c>
      <c r="E255" s="26">
        <v>-12482.507</v>
      </c>
      <c r="F255" s="26">
        <v>123.455</v>
      </c>
      <c r="G255" s="26">
        <f t="shared" si="3"/>
        <v>-12482.507</v>
      </c>
    </row>
    <row r="256" spans="1:7" x14ac:dyDescent="0.2">
      <c r="A256" s="26">
        <v>21</v>
      </c>
      <c r="B256" s="26">
        <v>15</v>
      </c>
      <c r="C256" s="26">
        <v>36</v>
      </c>
      <c r="D256" s="26" t="s">
        <v>1387</v>
      </c>
      <c r="E256" s="26">
        <v>-20250.976999999999</v>
      </c>
      <c r="F256" s="26">
        <v>13.114000000000001</v>
      </c>
      <c r="G256" s="26">
        <f t="shared" si="3"/>
        <v>-20250.976999999999</v>
      </c>
    </row>
    <row r="257" spans="1:7" x14ac:dyDescent="0.2">
      <c r="A257" s="26">
        <v>20</v>
      </c>
      <c r="B257" s="26">
        <v>16</v>
      </c>
      <c r="C257" s="26">
        <v>36</v>
      </c>
      <c r="D257" s="26" t="s">
        <v>1388</v>
      </c>
      <c r="E257" s="26">
        <v>-30664.075000000001</v>
      </c>
      <c r="F257" s="26">
        <v>0.189</v>
      </c>
      <c r="G257" s="26">
        <f t="shared" si="3"/>
        <v>-30664.075000000001</v>
      </c>
    </row>
    <row r="258" spans="1:7" x14ac:dyDescent="0.2">
      <c r="A258" s="26">
        <v>19</v>
      </c>
      <c r="B258" s="26">
        <v>17</v>
      </c>
      <c r="C258" s="26">
        <v>36</v>
      </c>
      <c r="D258" s="26" t="s">
        <v>1389</v>
      </c>
      <c r="E258" s="26">
        <v>-29521.857</v>
      </c>
      <c r="F258" s="26">
        <v>7.1999999999999995E-2</v>
      </c>
      <c r="G258" s="26">
        <f t="shared" si="3"/>
        <v>-29521.857</v>
      </c>
    </row>
    <row r="259" spans="1:7" x14ac:dyDescent="0.2">
      <c r="A259" s="26">
        <v>18</v>
      </c>
      <c r="B259" s="26">
        <v>18</v>
      </c>
      <c r="C259" s="26">
        <v>36</v>
      </c>
      <c r="D259" s="26" t="s">
        <v>1390</v>
      </c>
      <c r="E259" s="26">
        <v>-30231.54</v>
      </c>
      <c r="F259" s="26">
        <v>2.7E-2</v>
      </c>
      <c r="G259" s="26">
        <f t="shared" si="3"/>
        <v>-30231.54</v>
      </c>
    </row>
    <row r="260" spans="1:7" x14ac:dyDescent="0.2">
      <c r="A260" s="26">
        <v>17</v>
      </c>
      <c r="B260" s="26">
        <v>19</v>
      </c>
      <c r="C260" s="26">
        <v>36</v>
      </c>
      <c r="D260" s="26" t="s">
        <v>1391</v>
      </c>
      <c r="E260" s="26">
        <v>-17426.170999999998</v>
      </c>
      <c r="F260" s="26">
        <v>7.7809999999999997</v>
      </c>
      <c r="G260" s="26">
        <f t="shared" si="3"/>
        <v>-17426.170999999998</v>
      </c>
    </row>
    <row r="261" spans="1:7" x14ac:dyDescent="0.2">
      <c r="A261" s="26">
        <v>16</v>
      </c>
      <c r="B261" s="26">
        <v>20</v>
      </c>
      <c r="C261" s="26">
        <v>36</v>
      </c>
      <c r="D261" s="26" t="s">
        <v>1392</v>
      </c>
      <c r="E261" s="26">
        <v>-6439.3590000000004</v>
      </c>
      <c r="F261" s="26">
        <v>40.000999999999998</v>
      </c>
      <c r="G261" s="26">
        <f t="shared" si="3"/>
        <v>-6439.3590000000004</v>
      </c>
    </row>
    <row r="262" spans="1:7" x14ac:dyDescent="0.2">
      <c r="A262" s="26">
        <v>15</v>
      </c>
      <c r="B262" s="26">
        <v>21</v>
      </c>
      <c r="C262" s="26">
        <v>36</v>
      </c>
      <c r="D262" s="26" t="s">
        <v>1393</v>
      </c>
      <c r="E262" s="26" t="s">
        <v>1500</v>
      </c>
      <c r="F262" s="26" t="s">
        <v>1728</v>
      </c>
      <c r="G262" s="26">
        <f t="shared" si="3"/>
        <v>13898.01</v>
      </c>
    </row>
    <row r="263" spans="1:7" x14ac:dyDescent="0.2">
      <c r="A263" s="26">
        <v>26</v>
      </c>
      <c r="B263" s="26">
        <v>11</v>
      </c>
      <c r="C263" s="26">
        <v>37</v>
      </c>
      <c r="D263" s="26" t="s">
        <v>1751</v>
      </c>
      <c r="E263" s="26" t="s">
        <v>1527</v>
      </c>
      <c r="F263" s="26" t="s">
        <v>1528</v>
      </c>
      <c r="G263" s="26">
        <f t="shared" si="3"/>
        <v>55275.01</v>
      </c>
    </row>
    <row r="264" spans="1:7" x14ac:dyDescent="0.2">
      <c r="A264" s="26">
        <v>25</v>
      </c>
      <c r="B264" s="26">
        <v>12</v>
      </c>
      <c r="C264" s="26">
        <v>37</v>
      </c>
      <c r="D264" s="26" t="s">
        <v>1384</v>
      </c>
      <c r="E264" s="26" t="s">
        <v>1529</v>
      </c>
      <c r="F264" s="26" t="s">
        <v>1731</v>
      </c>
      <c r="G264" s="26">
        <f t="shared" si="3"/>
        <v>29249.01</v>
      </c>
    </row>
    <row r="265" spans="1:7" x14ac:dyDescent="0.2">
      <c r="A265" s="26">
        <v>24</v>
      </c>
      <c r="B265" s="26">
        <v>13</v>
      </c>
      <c r="C265" s="26">
        <v>37</v>
      </c>
      <c r="D265" s="26" t="s">
        <v>1385</v>
      </c>
      <c r="E265" s="26">
        <v>9946.3259999999991</v>
      </c>
      <c r="F265" s="26">
        <v>330.96699999999998</v>
      </c>
      <c r="G265" s="26">
        <f t="shared" si="3"/>
        <v>9946.3259999999991</v>
      </c>
    </row>
    <row r="266" spans="1:7" x14ac:dyDescent="0.2">
      <c r="A266" s="26">
        <v>23</v>
      </c>
      <c r="B266" s="26">
        <v>14</v>
      </c>
      <c r="C266" s="26">
        <v>37</v>
      </c>
      <c r="D266" s="26" t="s">
        <v>1386</v>
      </c>
      <c r="E266" s="26">
        <v>-6579.9979999999996</v>
      </c>
      <c r="F266" s="26">
        <v>168.65899999999999</v>
      </c>
      <c r="G266" s="26">
        <f t="shared" ref="G266:G329" si="4">IF(ISNUMBER(E266),E266,VALUE(SUBSTITUTE(E266,"#",".01")))</f>
        <v>-6579.9979999999996</v>
      </c>
    </row>
    <row r="267" spans="1:7" x14ac:dyDescent="0.2">
      <c r="A267" s="26">
        <v>22</v>
      </c>
      <c r="B267" s="26">
        <v>15</v>
      </c>
      <c r="C267" s="26">
        <v>37</v>
      </c>
      <c r="D267" s="26" t="s">
        <v>1387</v>
      </c>
      <c r="E267" s="26">
        <v>-18994.145</v>
      </c>
      <c r="F267" s="26">
        <v>37.948</v>
      </c>
      <c r="G267" s="26">
        <f t="shared" si="4"/>
        <v>-18994.145</v>
      </c>
    </row>
    <row r="268" spans="1:7" x14ac:dyDescent="0.2">
      <c r="A268" s="26">
        <v>21</v>
      </c>
      <c r="B268" s="26">
        <v>16</v>
      </c>
      <c r="C268" s="26">
        <v>37</v>
      </c>
      <c r="D268" s="26" t="s">
        <v>1388</v>
      </c>
      <c r="E268" s="26">
        <v>-26896.36</v>
      </c>
      <c r="F268" s="26">
        <v>0.19900000000000001</v>
      </c>
      <c r="G268" s="26">
        <f t="shared" si="4"/>
        <v>-26896.36</v>
      </c>
    </row>
    <row r="269" spans="1:7" x14ac:dyDescent="0.2">
      <c r="A269" s="26">
        <v>20</v>
      </c>
      <c r="B269" s="26">
        <v>17</v>
      </c>
      <c r="C269" s="26">
        <v>37</v>
      </c>
      <c r="D269" s="26" t="s">
        <v>1389</v>
      </c>
      <c r="E269" s="26">
        <v>-31761.531999999999</v>
      </c>
      <c r="F269" s="26">
        <v>4.7E-2</v>
      </c>
      <c r="G269" s="26">
        <f t="shared" si="4"/>
        <v>-31761.531999999999</v>
      </c>
    </row>
    <row r="270" spans="1:7" x14ac:dyDescent="0.2">
      <c r="A270" s="26">
        <v>19</v>
      </c>
      <c r="B270" s="26">
        <v>18</v>
      </c>
      <c r="C270" s="26">
        <v>37</v>
      </c>
      <c r="D270" s="26" t="s">
        <v>1390</v>
      </c>
      <c r="E270" s="26">
        <v>-30947.659</v>
      </c>
      <c r="F270" s="26">
        <v>0.20499999999999999</v>
      </c>
      <c r="G270" s="26">
        <f t="shared" si="4"/>
        <v>-30947.659</v>
      </c>
    </row>
    <row r="271" spans="1:7" x14ac:dyDescent="0.2">
      <c r="A271" s="26">
        <v>18</v>
      </c>
      <c r="B271" s="26">
        <v>19</v>
      </c>
      <c r="C271" s="26">
        <v>37</v>
      </c>
      <c r="D271" s="26" t="s">
        <v>1391</v>
      </c>
      <c r="E271" s="26">
        <v>-24800.199000000001</v>
      </c>
      <c r="F271" s="26">
        <v>9.4E-2</v>
      </c>
      <c r="G271" s="26">
        <f t="shared" si="4"/>
        <v>-24800.199000000001</v>
      </c>
    </row>
    <row r="272" spans="1:7" x14ac:dyDescent="0.2">
      <c r="A272" s="26">
        <v>17</v>
      </c>
      <c r="B272" s="26">
        <v>20</v>
      </c>
      <c r="C272" s="26">
        <v>37</v>
      </c>
      <c r="D272" s="26" t="s">
        <v>1392</v>
      </c>
      <c r="E272" s="26">
        <v>-13161.76</v>
      </c>
      <c r="F272" s="26">
        <v>22.361999999999998</v>
      </c>
      <c r="G272" s="26">
        <f t="shared" si="4"/>
        <v>-13161.76</v>
      </c>
    </row>
    <row r="273" spans="1:7" x14ac:dyDescent="0.2">
      <c r="A273" s="26">
        <v>16</v>
      </c>
      <c r="B273" s="26">
        <v>21</v>
      </c>
      <c r="C273" s="26">
        <v>37</v>
      </c>
      <c r="D273" s="26" t="s">
        <v>1393</v>
      </c>
      <c r="E273" s="26" t="s">
        <v>1501</v>
      </c>
      <c r="F273" s="26" t="s">
        <v>1730</v>
      </c>
      <c r="G273" s="26">
        <f t="shared" si="4"/>
        <v>2841.01</v>
      </c>
    </row>
    <row r="274" spans="1:7" x14ac:dyDescent="0.2">
      <c r="A274" s="26">
        <v>26</v>
      </c>
      <c r="B274" s="26">
        <v>12</v>
      </c>
      <c r="C274" s="26">
        <v>38</v>
      </c>
      <c r="D274" s="26" t="s">
        <v>1384</v>
      </c>
      <c r="E274" s="26" t="s">
        <v>1530</v>
      </c>
      <c r="F274" s="26" t="s">
        <v>1728</v>
      </c>
      <c r="G274" s="26">
        <f t="shared" si="4"/>
        <v>34996.01</v>
      </c>
    </row>
    <row r="275" spans="1:7" x14ac:dyDescent="0.2">
      <c r="A275" s="26">
        <v>25</v>
      </c>
      <c r="B275" s="26">
        <v>13</v>
      </c>
      <c r="C275" s="26">
        <v>38</v>
      </c>
      <c r="D275" s="26" t="s">
        <v>1385</v>
      </c>
      <c r="E275" s="26">
        <v>16050.593999999999</v>
      </c>
      <c r="F275" s="26">
        <v>730.51700000000005</v>
      </c>
      <c r="G275" s="26">
        <f t="shared" si="4"/>
        <v>16050.593999999999</v>
      </c>
    </row>
    <row r="276" spans="1:7" x14ac:dyDescent="0.2">
      <c r="A276" s="26">
        <v>24</v>
      </c>
      <c r="B276" s="26">
        <v>14</v>
      </c>
      <c r="C276" s="26">
        <v>38</v>
      </c>
      <c r="D276" s="26" t="s">
        <v>1386</v>
      </c>
      <c r="E276" s="26">
        <v>-4067.2739999999999</v>
      </c>
      <c r="F276" s="26">
        <v>137.46899999999999</v>
      </c>
      <c r="G276" s="26">
        <f t="shared" si="4"/>
        <v>-4067.2739999999999</v>
      </c>
    </row>
    <row r="277" spans="1:7" x14ac:dyDescent="0.2">
      <c r="A277" s="26">
        <v>23</v>
      </c>
      <c r="B277" s="26">
        <v>15</v>
      </c>
      <c r="C277" s="26">
        <v>38</v>
      </c>
      <c r="D277" s="26" t="s">
        <v>1387</v>
      </c>
      <c r="E277" s="26">
        <v>-14757.82</v>
      </c>
      <c r="F277" s="26">
        <v>103.38500000000001</v>
      </c>
      <c r="G277" s="26">
        <f t="shared" si="4"/>
        <v>-14757.82</v>
      </c>
    </row>
    <row r="278" spans="1:7" x14ac:dyDescent="0.2">
      <c r="A278" s="26">
        <v>22</v>
      </c>
      <c r="B278" s="26">
        <v>16</v>
      </c>
      <c r="C278" s="26">
        <v>38</v>
      </c>
      <c r="D278" s="26" t="s">
        <v>1388</v>
      </c>
      <c r="E278" s="26">
        <v>-26861.197</v>
      </c>
      <c r="F278" s="26">
        <v>7.1719999999999997</v>
      </c>
      <c r="G278" s="26">
        <f t="shared" si="4"/>
        <v>-26861.197</v>
      </c>
    </row>
    <row r="279" spans="1:7" x14ac:dyDescent="0.2">
      <c r="A279" s="26">
        <v>21</v>
      </c>
      <c r="B279" s="26">
        <v>17</v>
      </c>
      <c r="C279" s="26">
        <v>38</v>
      </c>
      <c r="D279" s="26" t="s">
        <v>1389</v>
      </c>
      <c r="E279" s="26">
        <v>-29798.097000000002</v>
      </c>
      <c r="F279" s="26">
        <v>9.6000000000000002E-2</v>
      </c>
      <c r="G279" s="26">
        <f t="shared" si="4"/>
        <v>-29798.097000000002</v>
      </c>
    </row>
    <row r="280" spans="1:7" x14ac:dyDescent="0.2">
      <c r="A280" s="26">
        <v>20</v>
      </c>
      <c r="B280" s="26">
        <v>18</v>
      </c>
      <c r="C280" s="26">
        <v>38</v>
      </c>
      <c r="D280" s="26" t="s">
        <v>1390</v>
      </c>
      <c r="E280" s="26">
        <v>-34714.550999999999</v>
      </c>
      <c r="F280" s="26">
        <v>0.33700000000000002</v>
      </c>
      <c r="G280" s="26">
        <f t="shared" si="4"/>
        <v>-34714.550999999999</v>
      </c>
    </row>
    <row r="281" spans="1:7" x14ac:dyDescent="0.2">
      <c r="A281" s="26">
        <v>19</v>
      </c>
      <c r="B281" s="26">
        <v>19</v>
      </c>
      <c r="C281" s="26">
        <v>38</v>
      </c>
      <c r="D281" s="26" t="s">
        <v>1391</v>
      </c>
      <c r="E281" s="26">
        <v>-28800.690999999999</v>
      </c>
      <c r="F281" s="26">
        <v>0.44700000000000001</v>
      </c>
      <c r="G281" s="26">
        <f t="shared" si="4"/>
        <v>-28800.690999999999</v>
      </c>
    </row>
    <row r="282" spans="1:7" x14ac:dyDescent="0.2">
      <c r="A282" s="26">
        <v>18</v>
      </c>
      <c r="B282" s="26">
        <v>20</v>
      </c>
      <c r="C282" s="26">
        <v>38</v>
      </c>
      <c r="D282" s="26" t="s">
        <v>1392</v>
      </c>
      <c r="E282" s="26">
        <v>-22059.22</v>
      </c>
      <c r="F282" s="26">
        <v>4.5570000000000004</v>
      </c>
      <c r="G282" s="26">
        <f t="shared" si="4"/>
        <v>-22059.22</v>
      </c>
    </row>
    <row r="283" spans="1:7" x14ac:dyDescent="0.2">
      <c r="A283" s="26">
        <v>17</v>
      </c>
      <c r="B283" s="26">
        <v>21</v>
      </c>
      <c r="C283" s="26">
        <v>38</v>
      </c>
      <c r="D283" s="26" t="s">
        <v>1393</v>
      </c>
      <c r="E283" s="26" t="s">
        <v>1502</v>
      </c>
      <c r="F283" s="26" t="s">
        <v>1730</v>
      </c>
      <c r="G283" s="26">
        <f t="shared" si="4"/>
        <v>-4937.01</v>
      </c>
    </row>
    <row r="284" spans="1:7" x14ac:dyDescent="0.2">
      <c r="A284" s="26">
        <v>16</v>
      </c>
      <c r="B284" s="26">
        <v>22</v>
      </c>
      <c r="C284" s="26">
        <v>38</v>
      </c>
      <c r="D284" s="26" t="s">
        <v>1394</v>
      </c>
      <c r="E284" s="26" t="s">
        <v>1503</v>
      </c>
      <c r="F284" s="26" t="s">
        <v>1504</v>
      </c>
      <c r="G284" s="26">
        <f t="shared" si="4"/>
        <v>9101.01</v>
      </c>
    </row>
    <row r="285" spans="1:7" x14ac:dyDescent="0.2">
      <c r="A285" s="26">
        <v>27</v>
      </c>
      <c r="B285" s="26">
        <v>12</v>
      </c>
      <c r="C285" s="26">
        <v>39</v>
      </c>
      <c r="D285" s="26" t="s">
        <v>1384</v>
      </c>
      <c r="E285" s="26" t="s">
        <v>1531</v>
      </c>
      <c r="F285" s="26" t="s">
        <v>1532</v>
      </c>
      <c r="G285" s="26">
        <f t="shared" si="4"/>
        <v>43568.01</v>
      </c>
    </row>
    <row r="286" spans="1:7" x14ac:dyDescent="0.2">
      <c r="A286" s="26">
        <v>26</v>
      </c>
      <c r="B286" s="26">
        <v>13</v>
      </c>
      <c r="C286" s="26">
        <v>39</v>
      </c>
      <c r="D286" s="26" t="s">
        <v>1385</v>
      </c>
      <c r="E286" s="26">
        <v>21396.417000000001</v>
      </c>
      <c r="F286" s="26">
        <v>1471.761</v>
      </c>
      <c r="G286" s="26">
        <f t="shared" si="4"/>
        <v>21396.417000000001</v>
      </c>
    </row>
    <row r="287" spans="1:7" x14ac:dyDescent="0.2">
      <c r="A287" s="26">
        <v>25</v>
      </c>
      <c r="B287" s="26">
        <v>14</v>
      </c>
      <c r="C287" s="26">
        <v>39</v>
      </c>
      <c r="D287" s="26" t="s">
        <v>1386</v>
      </c>
      <c r="E287" s="26">
        <v>1928.2049999999999</v>
      </c>
      <c r="F287" s="26">
        <v>338.01499999999999</v>
      </c>
      <c r="G287" s="26">
        <f t="shared" si="4"/>
        <v>1928.2049999999999</v>
      </c>
    </row>
    <row r="288" spans="1:7" x14ac:dyDescent="0.2">
      <c r="A288" s="26">
        <v>24</v>
      </c>
      <c r="B288" s="26">
        <v>15</v>
      </c>
      <c r="C288" s="26">
        <v>39</v>
      </c>
      <c r="D288" s="26" t="s">
        <v>1387</v>
      </c>
      <c r="E288" s="26">
        <v>-12873.735000000001</v>
      </c>
      <c r="F288" s="26">
        <v>103.41200000000001</v>
      </c>
      <c r="G288" s="26">
        <f t="shared" si="4"/>
        <v>-12873.735000000001</v>
      </c>
    </row>
    <row r="289" spans="1:7" x14ac:dyDescent="0.2">
      <c r="A289" s="26">
        <v>23</v>
      </c>
      <c r="B289" s="26">
        <v>16</v>
      </c>
      <c r="C289" s="26">
        <v>39</v>
      </c>
      <c r="D289" s="26" t="s">
        <v>1388</v>
      </c>
      <c r="E289" s="26">
        <v>-23162.244999999999</v>
      </c>
      <c r="F289" s="26">
        <v>50</v>
      </c>
      <c r="G289" s="26">
        <f t="shared" si="4"/>
        <v>-23162.244999999999</v>
      </c>
    </row>
    <row r="290" spans="1:7" x14ac:dyDescent="0.2">
      <c r="A290" s="26">
        <v>22</v>
      </c>
      <c r="B290" s="26">
        <v>17</v>
      </c>
      <c r="C290" s="26">
        <v>39</v>
      </c>
      <c r="D290" s="26" t="s">
        <v>1389</v>
      </c>
      <c r="E290" s="26">
        <v>-29800.203000000001</v>
      </c>
      <c r="F290" s="26">
        <v>1.732</v>
      </c>
      <c r="G290" s="26">
        <f t="shared" si="4"/>
        <v>-29800.203000000001</v>
      </c>
    </row>
    <row r="291" spans="1:7" x14ac:dyDescent="0.2">
      <c r="A291" s="26">
        <v>21</v>
      </c>
      <c r="B291" s="26">
        <v>18</v>
      </c>
      <c r="C291" s="26">
        <v>39</v>
      </c>
      <c r="D291" s="26" t="s">
        <v>1390</v>
      </c>
      <c r="E291" s="26">
        <v>-33242.010999999999</v>
      </c>
      <c r="F291" s="26">
        <v>5.0039999999999996</v>
      </c>
      <c r="G291" s="26">
        <f t="shared" si="4"/>
        <v>-33242.010999999999</v>
      </c>
    </row>
    <row r="292" spans="1:7" x14ac:dyDescent="0.2">
      <c r="A292" s="26">
        <v>20</v>
      </c>
      <c r="B292" s="26">
        <v>19</v>
      </c>
      <c r="C292" s="26">
        <v>39</v>
      </c>
      <c r="D292" s="26" t="s">
        <v>1391</v>
      </c>
      <c r="E292" s="26">
        <v>-33807.010999999999</v>
      </c>
      <c r="F292" s="26">
        <v>0.19</v>
      </c>
      <c r="G292" s="26">
        <f t="shared" si="4"/>
        <v>-33807.010999999999</v>
      </c>
    </row>
    <row r="293" spans="1:7" x14ac:dyDescent="0.2">
      <c r="A293" s="26">
        <v>19</v>
      </c>
      <c r="B293" s="26">
        <v>20</v>
      </c>
      <c r="C293" s="26">
        <v>39</v>
      </c>
      <c r="D293" s="26" t="s">
        <v>1392</v>
      </c>
      <c r="E293" s="26">
        <v>-27274.400000000001</v>
      </c>
      <c r="F293" s="26">
        <v>1.8620000000000001</v>
      </c>
      <c r="G293" s="26">
        <f t="shared" si="4"/>
        <v>-27274.400000000001</v>
      </c>
    </row>
    <row r="294" spans="1:7" x14ac:dyDescent="0.2">
      <c r="A294" s="26">
        <v>18</v>
      </c>
      <c r="B294" s="26">
        <v>21</v>
      </c>
      <c r="C294" s="26">
        <v>39</v>
      </c>
      <c r="D294" s="26" t="s">
        <v>1393</v>
      </c>
      <c r="E294" s="26">
        <v>-14168.021000000001</v>
      </c>
      <c r="F294" s="26">
        <v>24.001000000000001</v>
      </c>
      <c r="G294" s="26">
        <f t="shared" si="4"/>
        <v>-14168.021000000001</v>
      </c>
    </row>
    <row r="295" spans="1:7" x14ac:dyDescent="0.2">
      <c r="A295" s="26">
        <v>17</v>
      </c>
      <c r="B295" s="26">
        <v>22</v>
      </c>
      <c r="C295" s="26">
        <v>39</v>
      </c>
      <c r="D295" s="26" t="s">
        <v>1394</v>
      </c>
      <c r="E295" s="26" t="s">
        <v>1533</v>
      </c>
      <c r="F295" s="26" t="s">
        <v>1306</v>
      </c>
      <c r="G295" s="26">
        <f t="shared" si="4"/>
        <v>1500.01</v>
      </c>
    </row>
    <row r="296" spans="1:7" x14ac:dyDescent="0.2">
      <c r="A296" s="26">
        <v>28</v>
      </c>
      <c r="B296" s="26">
        <v>12</v>
      </c>
      <c r="C296" s="26">
        <v>40</v>
      </c>
      <c r="D296" s="26" t="s">
        <v>1384</v>
      </c>
      <c r="E296" s="26" t="s">
        <v>1534</v>
      </c>
      <c r="F296" s="26" t="s">
        <v>1731</v>
      </c>
      <c r="G296" s="26">
        <f t="shared" si="4"/>
        <v>50235.01</v>
      </c>
    </row>
    <row r="297" spans="1:7" x14ac:dyDescent="0.2">
      <c r="A297" s="26">
        <v>27</v>
      </c>
      <c r="B297" s="26">
        <v>13</v>
      </c>
      <c r="C297" s="26">
        <v>40</v>
      </c>
      <c r="D297" s="26" t="s">
        <v>1385</v>
      </c>
      <c r="E297" s="26" t="s">
        <v>1535</v>
      </c>
      <c r="F297" s="26" t="s">
        <v>1508</v>
      </c>
      <c r="G297" s="26">
        <f t="shared" si="4"/>
        <v>29295.01</v>
      </c>
    </row>
    <row r="298" spans="1:7" x14ac:dyDescent="0.2">
      <c r="A298" s="26">
        <v>26</v>
      </c>
      <c r="B298" s="26">
        <v>14</v>
      </c>
      <c r="C298" s="26">
        <v>40</v>
      </c>
      <c r="D298" s="26" t="s">
        <v>1386</v>
      </c>
      <c r="E298" s="26">
        <v>5467.0519999999997</v>
      </c>
      <c r="F298" s="26">
        <v>556.03399999999999</v>
      </c>
      <c r="G298" s="26">
        <f t="shared" si="4"/>
        <v>5467.0519999999997</v>
      </c>
    </row>
    <row r="299" spans="1:7" x14ac:dyDescent="0.2">
      <c r="A299" s="26">
        <v>25</v>
      </c>
      <c r="B299" s="26">
        <v>15</v>
      </c>
      <c r="C299" s="26">
        <v>40</v>
      </c>
      <c r="D299" s="26" t="s">
        <v>1387</v>
      </c>
      <c r="E299" s="26">
        <v>-8106.8379999999997</v>
      </c>
      <c r="F299" s="26">
        <v>139.101</v>
      </c>
      <c r="G299" s="26">
        <f t="shared" si="4"/>
        <v>-8106.8379999999997</v>
      </c>
    </row>
    <row r="300" spans="1:7" x14ac:dyDescent="0.2">
      <c r="A300" s="26">
        <v>24</v>
      </c>
      <c r="B300" s="26">
        <v>16</v>
      </c>
      <c r="C300" s="26">
        <v>40</v>
      </c>
      <c r="D300" s="26" t="s">
        <v>1388</v>
      </c>
      <c r="E300" s="26">
        <v>-22866.567999999999</v>
      </c>
      <c r="F300" s="26">
        <v>141.29400000000001</v>
      </c>
      <c r="G300" s="26">
        <f t="shared" si="4"/>
        <v>-22866.567999999999</v>
      </c>
    </row>
    <row r="301" spans="1:7" x14ac:dyDescent="0.2">
      <c r="A301" s="26">
        <v>23</v>
      </c>
      <c r="B301" s="26">
        <v>17</v>
      </c>
      <c r="C301" s="26">
        <v>40</v>
      </c>
      <c r="D301" s="26" t="s">
        <v>1389</v>
      </c>
      <c r="E301" s="26">
        <v>-27557.81</v>
      </c>
      <c r="F301" s="26">
        <v>32.066000000000003</v>
      </c>
      <c r="G301" s="26">
        <f t="shared" si="4"/>
        <v>-27557.81</v>
      </c>
    </row>
    <row r="302" spans="1:7" x14ac:dyDescent="0.2">
      <c r="A302" s="26">
        <v>22</v>
      </c>
      <c r="B302" s="26">
        <v>18</v>
      </c>
      <c r="C302" s="26">
        <v>40</v>
      </c>
      <c r="D302" s="26" t="s">
        <v>1390</v>
      </c>
      <c r="E302" s="26">
        <v>-35039.89602</v>
      </c>
      <c r="F302" s="26">
        <v>2.6800000000000001E-3</v>
      </c>
      <c r="G302" s="26">
        <f t="shared" si="4"/>
        <v>-35039.89602</v>
      </c>
    </row>
    <row r="303" spans="1:7" x14ac:dyDescent="0.2">
      <c r="A303" s="26">
        <v>21</v>
      </c>
      <c r="B303" s="26">
        <v>19</v>
      </c>
      <c r="C303" s="26">
        <v>40</v>
      </c>
      <c r="D303" s="26" t="s">
        <v>1391</v>
      </c>
      <c r="E303" s="26">
        <v>-33535.205000000002</v>
      </c>
      <c r="F303" s="26">
        <v>0.192</v>
      </c>
      <c r="G303" s="26">
        <f t="shared" si="4"/>
        <v>-33535.205000000002</v>
      </c>
    </row>
    <row r="304" spans="1:7" x14ac:dyDescent="0.2">
      <c r="A304" s="26">
        <v>20</v>
      </c>
      <c r="B304" s="26">
        <v>20</v>
      </c>
      <c r="C304" s="26">
        <v>40</v>
      </c>
      <c r="D304" s="26" t="s">
        <v>1392</v>
      </c>
      <c r="E304" s="26">
        <v>-34846.275000000001</v>
      </c>
      <c r="F304" s="26">
        <v>0.20899999999999999</v>
      </c>
      <c r="G304" s="26">
        <f t="shared" si="4"/>
        <v>-34846.275000000001</v>
      </c>
    </row>
    <row r="305" spans="1:7" x14ac:dyDescent="0.2">
      <c r="A305" s="26">
        <v>19</v>
      </c>
      <c r="B305" s="26">
        <v>21</v>
      </c>
      <c r="C305" s="26">
        <v>40</v>
      </c>
      <c r="D305" s="26" t="s">
        <v>1393</v>
      </c>
      <c r="E305" s="26">
        <v>-20523.227999999999</v>
      </c>
      <c r="F305" s="26">
        <v>2.8359999999999999</v>
      </c>
      <c r="G305" s="26">
        <f t="shared" si="4"/>
        <v>-20523.227999999999</v>
      </c>
    </row>
    <row r="306" spans="1:7" x14ac:dyDescent="0.2">
      <c r="A306" s="26">
        <v>18</v>
      </c>
      <c r="B306" s="26">
        <v>22</v>
      </c>
      <c r="C306" s="26">
        <v>40</v>
      </c>
      <c r="D306" s="26" t="s">
        <v>1394</v>
      </c>
      <c r="E306" s="26">
        <v>-8850.2749999999996</v>
      </c>
      <c r="F306" s="26">
        <v>160</v>
      </c>
      <c r="G306" s="26">
        <f t="shared" si="4"/>
        <v>-8850.2749999999996</v>
      </c>
    </row>
    <row r="307" spans="1:7" x14ac:dyDescent="0.2">
      <c r="A307" s="26">
        <v>17</v>
      </c>
      <c r="B307" s="26">
        <v>23</v>
      </c>
      <c r="C307" s="26">
        <v>40</v>
      </c>
      <c r="D307" s="26" t="s">
        <v>1395</v>
      </c>
      <c r="E307" s="26" t="s">
        <v>1507</v>
      </c>
      <c r="F307" s="26" t="s">
        <v>1728</v>
      </c>
      <c r="G307" s="26">
        <f t="shared" si="4"/>
        <v>10330.01</v>
      </c>
    </row>
    <row r="308" spans="1:7" x14ac:dyDescent="0.2">
      <c r="A308" s="26">
        <v>28</v>
      </c>
      <c r="B308" s="26">
        <v>13</v>
      </c>
      <c r="C308" s="26">
        <v>41</v>
      </c>
      <c r="D308" s="26" t="s">
        <v>1385</v>
      </c>
      <c r="E308" s="26" t="s">
        <v>1536</v>
      </c>
      <c r="F308" s="26" t="s">
        <v>1725</v>
      </c>
      <c r="G308" s="26">
        <f t="shared" si="4"/>
        <v>35704.01</v>
      </c>
    </row>
    <row r="309" spans="1:7" x14ac:dyDescent="0.2">
      <c r="A309" s="26">
        <v>27</v>
      </c>
      <c r="B309" s="26">
        <v>14</v>
      </c>
      <c r="C309" s="26">
        <v>41</v>
      </c>
      <c r="D309" s="26" t="s">
        <v>1386</v>
      </c>
      <c r="E309" s="26">
        <v>13562.553</v>
      </c>
      <c r="F309" s="26">
        <v>1844.3579999999999</v>
      </c>
      <c r="G309" s="26">
        <f t="shared" si="4"/>
        <v>13562.553</v>
      </c>
    </row>
    <row r="310" spans="1:7" x14ac:dyDescent="0.2">
      <c r="A310" s="26">
        <v>26</v>
      </c>
      <c r="B310" s="26">
        <v>15</v>
      </c>
      <c r="C310" s="26">
        <v>41</v>
      </c>
      <c r="D310" s="26" t="s">
        <v>1387</v>
      </c>
      <c r="E310" s="26">
        <v>-5276.5079999999998</v>
      </c>
      <c r="F310" s="26">
        <v>216.23</v>
      </c>
      <c r="G310" s="26">
        <f t="shared" si="4"/>
        <v>-5276.5079999999998</v>
      </c>
    </row>
    <row r="311" spans="1:7" x14ac:dyDescent="0.2">
      <c r="A311" s="26">
        <v>25</v>
      </c>
      <c r="B311" s="26">
        <v>16</v>
      </c>
      <c r="C311" s="26">
        <v>41</v>
      </c>
      <c r="D311" s="26" t="s">
        <v>1388</v>
      </c>
      <c r="E311" s="26">
        <v>-19019.105</v>
      </c>
      <c r="F311" s="26">
        <v>118.27200000000001</v>
      </c>
      <c r="G311" s="26">
        <f t="shared" si="4"/>
        <v>-19019.105</v>
      </c>
    </row>
    <row r="312" spans="1:7" x14ac:dyDescent="0.2">
      <c r="A312" s="26">
        <v>24</v>
      </c>
      <c r="B312" s="26">
        <v>17</v>
      </c>
      <c r="C312" s="26">
        <v>41</v>
      </c>
      <c r="D312" s="26" t="s">
        <v>1389</v>
      </c>
      <c r="E312" s="26">
        <v>-27307.188999999998</v>
      </c>
      <c r="F312" s="26">
        <v>68.722999999999999</v>
      </c>
      <c r="G312" s="26">
        <f t="shared" si="4"/>
        <v>-27307.188999999998</v>
      </c>
    </row>
    <row r="313" spans="1:7" x14ac:dyDescent="0.2">
      <c r="A313" s="26">
        <v>23</v>
      </c>
      <c r="B313" s="26">
        <v>18</v>
      </c>
      <c r="C313" s="26">
        <v>41</v>
      </c>
      <c r="D313" s="26" t="s">
        <v>1390</v>
      </c>
      <c r="E313" s="26">
        <v>-33067.466999999997</v>
      </c>
      <c r="F313" s="26">
        <v>0.33200000000000002</v>
      </c>
      <c r="G313" s="26">
        <f t="shared" si="4"/>
        <v>-33067.466999999997</v>
      </c>
    </row>
    <row r="314" spans="1:7" x14ac:dyDescent="0.2">
      <c r="A314" s="26">
        <v>22</v>
      </c>
      <c r="B314" s="26">
        <v>19</v>
      </c>
      <c r="C314" s="26">
        <v>41</v>
      </c>
      <c r="D314" s="26" t="s">
        <v>1391</v>
      </c>
      <c r="E314" s="26">
        <v>-35559.074000000001</v>
      </c>
      <c r="F314" s="26">
        <v>0.19400000000000001</v>
      </c>
      <c r="G314" s="26">
        <f t="shared" si="4"/>
        <v>-35559.074000000001</v>
      </c>
    </row>
    <row r="315" spans="1:7" x14ac:dyDescent="0.2">
      <c r="A315" s="26">
        <v>21</v>
      </c>
      <c r="B315" s="26">
        <v>20</v>
      </c>
      <c r="C315" s="26">
        <v>41</v>
      </c>
      <c r="D315" s="26" t="s">
        <v>1392</v>
      </c>
      <c r="E315" s="26">
        <v>-35137.758999999998</v>
      </c>
      <c r="F315" s="26">
        <v>0.24199999999999999</v>
      </c>
      <c r="G315" s="26">
        <f t="shared" si="4"/>
        <v>-35137.758999999998</v>
      </c>
    </row>
    <row r="316" spans="1:7" x14ac:dyDescent="0.2">
      <c r="A316" s="26">
        <v>20</v>
      </c>
      <c r="B316" s="26">
        <v>21</v>
      </c>
      <c r="C316" s="26">
        <v>41</v>
      </c>
      <c r="D316" s="26" t="s">
        <v>1393</v>
      </c>
      <c r="E316" s="26">
        <v>-28642.392</v>
      </c>
      <c r="F316" s="26">
        <v>0.22500000000000001</v>
      </c>
      <c r="G316" s="26">
        <f t="shared" si="4"/>
        <v>-28642.392</v>
      </c>
    </row>
    <row r="317" spans="1:7" x14ac:dyDescent="0.2">
      <c r="A317" s="26">
        <v>19</v>
      </c>
      <c r="B317" s="26">
        <v>22</v>
      </c>
      <c r="C317" s="26">
        <v>41</v>
      </c>
      <c r="D317" s="26" t="s">
        <v>1394</v>
      </c>
      <c r="E317" s="26" t="s">
        <v>1537</v>
      </c>
      <c r="F317" s="26" t="s">
        <v>1538</v>
      </c>
      <c r="G317" s="26">
        <f t="shared" si="4"/>
        <v>-15700.01</v>
      </c>
    </row>
    <row r="318" spans="1:7" x14ac:dyDescent="0.2">
      <c r="A318" s="26">
        <v>18</v>
      </c>
      <c r="B318" s="26">
        <v>23</v>
      </c>
      <c r="C318" s="26">
        <v>41</v>
      </c>
      <c r="D318" s="26" t="s">
        <v>1395</v>
      </c>
      <c r="E318" s="26" t="s">
        <v>1539</v>
      </c>
      <c r="F318" s="26" t="s">
        <v>1306</v>
      </c>
      <c r="G318" s="26">
        <f t="shared" si="4"/>
        <v>-205.01</v>
      </c>
    </row>
    <row r="319" spans="1:7" x14ac:dyDescent="0.2">
      <c r="A319" s="26">
        <v>29</v>
      </c>
      <c r="B319" s="26">
        <v>13</v>
      </c>
      <c r="C319" s="26">
        <v>42</v>
      </c>
      <c r="D319" s="26" t="s">
        <v>1385</v>
      </c>
      <c r="E319" s="26" t="s">
        <v>1540</v>
      </c>
      <c r="F319" s="26" t="s">
        <v>1731</v>
      </c>
      <c r="G319" s="26">
        <f t="shared" si="4"/>
        <v>43678.01</v>
      </c>
    </row>
    <row r="320" spans="1:7" x14ac:dyDescent="0.2">
      <c r="A320" s="26">
        <v>28</v>
      </c>
      <c r="B320" s="26">
        <v>14</v>
      </c>
      <c r="C320" s="26">
        <v>42</v>
      </c>
      <c r="D320" s="26" t="s">
        <v>1386</v>
      </c>
      <c r="E320" s="26" t="s">
        <v>1541</v>
      </c>
      <c r="F320" s="26" t="s">
        <v>1728</v>
      </c>
      <c r="G320" s="26">
        <f t="shared" si="4"/>
        <v>18434.009999999998</v>
      </c>
    </row>
    <row r="321" spans="1:7" x14ac:dyDescent="0.2">
      <c r="A321" s="26">
        <v>27</v>
      </c>
      <c r="B321" s="26">
        <v>15</v>
      </c>
      <c r="C321" s="26">
        <v>42</v>
      </c>
      <c r="D321" s="26" t="s">
        <v>1387</v>
      </c>
      <c r="E321" s="26">
        <v>938.86500000000001</v>
      </c>
      <c r="F321" s="26">
        <v>446.839</v>
      </c>
      <c r="G321" s="26">
        <f t="shared" si="4"/>
        <v>938.86500000000001</v>
      </c>
    </row>
    <row r="322" spans="1:7" x14ac:dyDescent="0.2">
      <c r="A322" s="26">
        <v>26</v>
      </c>
      <c r="B322" s="26">
        <v>16</v>
      </c>
      <c r="C322" s="26">
        <v>42</v>
      </c>
      <c r="D322" s="26" t="s">
        <v>1388</v>
      </c>
      <c r="E322" s="26">
        <v>-17677.503000000001</v>
      </c>
      <c r="F322" s="26">
        <v>124.215</v>
      </c>
      <c r="G322" s="26">
        <f t="shared" si="4"/>
        <v>-17677.503000000001</v>
      </c>
    </row>
    <row r="323" spans="1:7" x14ac:dyDescent="0.2">
      <c r="A323" s="26">
        <v>25</v>
      </c>
      <c r="B323" s="26">
        <v>17</v>
      </c>
      <c r="C323" s="26">
        <v>42</v>
      </c>
      <c r="D323" s="26" t="s">
        <v>1389</v>
      </c>
      <c r="E323" s="26">
        <v>-24912.99</v>
      </c>
      <c r="F323" s="26">
        <v>143.76</v>
      </c>
      <c r="G323" s="26">
        <f t="shared" si="4"/>
        <v>-24912.99</v>
      </c>
    </row>
    <row r="324" spans="1:7" x14ac:dyDescent="0.2">
      <c r="A324" s="26">
        <v>24</v>
      </c>
      <c r="B324" s="26">
        <v>18</v>
      </c>
      <c r="C324" s="26">
        <v>42</v>
      </c>
      <c r="D324" s="26" t="s">
        <v>1390</v>
      </c>
      <c r="E324" s="26">
        <v>-34422.675000000003</v>
      </c>
      <c r="F324" s="26">
        <v>5.7750000000000004</v>
      </c>
      <c r="G324" s="26">
        <f t="shared" si="4"/>
        <v>-34422.675000000003</v>
      </c>
    </row>
    <row r="325" spans="1:7" x14ac:dyDescent="0.2">
      <c r="A325" s="26">
        <v>23</v>
      </c>
      <c r="B325" s="26">
        <v>19</v>
      </c>
      <c r="C325" s="26">
        <v>42</v>
      </c>
      <c r="D325" s="26" t="s">
        <v>1391</v>
      </c>
      <c r="E325" s="26">
        <v>-35021.555999999997</v>
      </c>
      <c r="F325" s="26">
        <v>0.221</v>
      </c>
      <c r="G325" s="26">
        <f t="shared" si="4"/>
        <v>-35021.555999999997</v>
      </c>
    </row>
    <row r="326" spans="1:7" x14ac:dyDescent="0.2">
      <c r="A326" s="26">
        <v>22</v>
      </c>
      <c r="B326" s="26">
        <v>20</v>
      </c>
      <c r="C326" s="26">
        <v>42</v>
      </c>
      <c r="D326" s="26" t="s">
        <v>1392</v>
      </c>
      <c r="E326" s="26">
        <v>-38547.072</v>
      </c>
      <c r="F326" s="26">
        <v>0.249</v>
      </c>
      <c r="G326" s="26">
        <f t="shared" si="4"/>
        <v>-38547.072</v>
      </c>
    </row>
    <row r="327" spans="1:7" x14ac:dyDescent="0.2">
      <c r="A327" s="26">
        <v>21</v>
      </c>
      <c r="B327" s="26">
        <v>21</v>
      </c>
      <c r="C327" s="26">
        <v>42</v>
      </c>
      <c r="D327" s="26" t="s">
        <v>1393</v>
      </c>
      <c r="E327" s="26">
        <v>-32121.239000000001</v>
      </c>
      <c r="F327" s="26">
        <v>0.27</v>
      </c>
      <c r="G327" s="26">
        <f t="shared" si="4"/>
        <v>-32121.239000000001</v>
      </c>
    </row>
    <row r="328" spans="1:7" x14ac:dyDescent="0.2">
      <c r="A328" s="26">
        <v>20</v>
      </c>
      <c r="B328" s="26">
        <v>22</v>
      </c>
      <c r="C328" s="26">
        <v>42</v>
      </c>
      <c r="D328" s="26" t="s">
        <v>1394</v>
      </c>
      <c r="E328" s="26">
        <v>-25121.552</v>
      </c>
      <c r="F328" s="26">
        <v>5.452</v>
      </c>
      <c r="G328" s="26">
        <f t="shared" si="4"/>
        <v>-25121.552</v>
      </c>
    </row>
    <row r="329" spans="1:7" x14ac:dyDescent="0.2">
      <c r="A329" s="26">
        <v>19</v>
      </c>
      <c r="B329" s="26">
        <v>23</v>
      </c>
      <c r="C329" s="26">
        <v>42</v>
      </c>
      <c r="D329" s="26" t="s">
        <v>1395</v>
      </c>
      <c r="E329" s="26" t="s">
        <v>1510</v>
      </c>
      <c r="F329" s="26" t="s">
        <v>1480</v>
      </c>
      <c r="G329" s="26">
        <f t="shared" si="4"/>
        <v>-8169.01</v>
      </c>
    </row>
    <row r="330" spans="1:7" x14ac:dyDescent="0.2">
      <c r="A330" s="26">
        <v>18</v>
      </c>
      <c r="B330" s="26">
        <v>24</v>
      </c>
      <c r="C330" s="26">
        <v>42</v>
      </c>
      <c r="D330" s="26" t="s">
        <v>1396</v>
      </c>
      <c r="E330" s="26" t="s">
        <v>1511</v>
      </c>
      <c r="F330" s="26" t="s">
        <v>1730</v>
      </c>
      <c r="G330" s="26">
        <f t="shared" ref="G330:G393" si="5">IF(ISNUMBER(E330),E330,VALUE(SUBSTITUTE(E330,"#",".01")))</f>
        <v>5990.01</v>
      </c>
    </row>
    <row r="331" spans="1:7" x14ac:dyDescent="0.2">
      <c r="A331" s="26">
        <v>29</v>
      </c>
      <c r="B331" s="26">
        <v>14</v>
      </c>
      <c r="C331" s="26">
        <v>43</v>
      </c>
      <c r="D331" s="26" t="s">
        <v>1386</v>
      </c>
      <c r="E331" s="26" t="s">
        <v>1542</v>
      </c>
      <c r="F331" s="26" t="s">
        <v>1508</v>
      </c>
      <c r="G331" s="26">
        <f t="shared" si="5"/>
        <v>26697.01</v>
      </c>
    </row>
    <row r="332" spans="1:7" x14ac:dyDescent="0.2">
      <c r="A332" s="26">
        <v>28</v>
      </c>
      <c r="B332" s="26">
        <v>15</v>
      </c>
      <c r="C332" s="26">
        <v>43</v>
      </c>
      <c r="D332" s="26" t="s">
        <v>1387</v>
      </c>
      <c r="E332" s="26">
        <v>5765.9480000000003</v>
      </c>
      <c r="F332" s="26">
        <v>968.75400000000002</v>
      </c>
      <c r="G332" s="26">
        <f t="shared" si="5"/>
        <v>5765.9480000000003</v>
      </c>
    </row>
    <row r="333" spans="1:7" x14ac:dyDescent="0.2">
      <c r="A333" s="26">
        <v>27</v>
      </c>
      <c r="B333" s="26">
        <v>16</v>
      </c>
      <c r="C333" s="26">
        <v>43</v>
      </c>
      <c r="D333" s="26" t="s">
        <v>1388</v>
      </c>
      <c r="E333" s="26">
        <v>-11965.235000000001</v>
      </c>
      <c r="F333" s="26">
        <v>201.953</v>
      </c>
      <c r="G333" s="26">
        <f t="shared" si="5"/>
        <v>-11965.235000000001</v>
      </c>
    </row>
    <row r="334" spans="1:7" x14ac:dyDescent="0.2">
      <c r="A334" s="26">
        <v>26</v>
      </c>
      <c r="B334" s="26">
        <v>17</v>
      </c>
      <c r="C334" s="26">
        <v>43</v>
      </c>
      <c r="D334" s="26" t="s">
        <v>1389</v>
      </c>
      <c r="E334" s="26">
        <v>-24168.168000000001</v>
      </c>
      <c r="F334" s="26">
        <v>157.37700000000001</v>
      </c>
      <c r="G334" s="26">
        <f t="shared" si="5"/>
        <v>-24168.168000000001</v>
      </c>
    </row>
    <row r="335" spans="1:7" x14ac:dyDescent="0.2">
      <c r="A335" s="26">
        <v>25</v>
      </c>
      <c r="B335" s="26">
        <v>18</v>
      </c>
      <c r="C335" s="26">
        <v>43</v>
      </c>
      <c r="D335" s="26" t="s">
        <v>1390</v>
      </c>
      <c r="E335" s="26">
        <v>-32009.808000000001</v>
      </c>
      <c r="F335" s="26">
        <v>5.31</v>
      </c>
      <c r="G335" s="26">
        <f t="shared" si="5"/>
        <v>-32009.808000000001</v>
      </c>
    </row>
    <row r="336" spans="1:7" x14ac:dyDescent="0.2">
      <c r="A336" s="26">
        <v>24</v>
      </c>
      <c r="B336" s="26">
        <v>19</v>
      </c>
      <c r="C336" s="26">
        <v>43</v>
      </c>
      <c r="D336" s="26" t="s">
        <v>1391</v>
      </c>
      <c r="E336" s="26">
        <v>-36593.239000000001</v>
      </c>
      <c r="F336" s="26">
        <v>8.9489999999999998</v>
      </c>
      <c r="G336" s="26">
        <f t="shared" si="5"/>
        <v>-36593.239000000001</v>
      </c>
    </row>
    <row r="337" spans="1:7" x14ac:dyDescent="0.2">
      <c r="A337" s="26">
        <v>23</v>
      </c>
      <c r="B337" s="26">
        <v>20</v>
      </c>
      <c r="C337" s="26">
        <v>43</v>
      </c>
      <c r="D337" s="26" t="s">
        <v>1392</v>
      </c>
      <c r="E337" s="26">
        <v>-38408.639000000003</v>
      </c>
      <c r="F337" s="26">
        <v>0.30099999999999999</v>
      </c>
      <c r="G337" s="26">
        <f t="shared" si="5"/>
        <v>-38408.639000000003</v>
      </c>
    </row>
    <row r="338" spans="1:7" x14ac:dyDescent="0.2">
      <c r="A338" s="26">
        <v>22</v>
      </c>
      <c r="B338" s="26">
        <v>21</v>
      </c>
      <c r="C338" s="26">
        <v>43</v>
      </c>
      <c r="D338" s="26" t="s">
        <v>1393</v>
      </c>
      <c r="E338" s="26">
        <v>-36187.928999999996</v>
      </c>
      <c r="F338" s="26">
        <v>1.8740000000000001</v>
      </c>
      <c r="G338" s="26">
        <f t="shared" si="5"/>
        <v>-36187.928999999996</v>
      </c>
    </row>
    <row r="339" spans="1:7" x14ac:dyDescent="0.2">
      <c r="A339" s="26">
        <v>21</v>
      </c>
      <c r="B339" s="26">
        <v>22</v>
      </c>
      <c r="C339" s="26">
        <v>43</v>
      </c>
      <c r="D339" s="26" t="s">
        <v>1394</v>
      </c>
      <c r="E339" s="26">
        <v>-29321.102999999999</v>
      </c>
      <c r="F339" s="26">
        <v>6.9029999999999996</v>
      </c>
      <c r="G339" s="26">
        <f t="shared" si="5"/>
        <v>-29321.102999999999</v>
      </c>
    </row>
    <row r="340" spans="1:7" x14ac:dyDescent="0.2">
      <c r="A340" s="26">
        <v>20</v>
      </c>
      <c r="B340" s="26">
        <v>23</v>
      </c>
      <c r="C340" s="26">
        <v>43</v>
      </c>
      <c r="D340" s="26" t="s">
        <v>1395</v>
      </c>
      <c r="E340" s="26" t="s">
        <v>1512</v>
      </c>
      <c r="F340" s="26" t="s">
        <v>1513</v>
      </c>
      <c r="G340" s="26">
        <f t="shared" si="5"/>
        <v>-18024.009999999998</v>
      </c>
    </row>
    <row r="341" spans="1:7" x14ac:dyDescent="0.2">
      <c r="A341" s="26">
        <v>19</v>
      </c>
      <c r="B341" s="26">
        <v>24</v>
      </c>
      <c r="C341" s="26">
        <v>43</v>
      </c>
      <c r="D341" s="26" t="s">
        <v>1396</v>
      </c>
      <c r="E341" s="26" t="s">
        <v>1543</v>
      </c>
      <c r="F341" s="26" t="s">
        <v>1544</v>
      </c>
      <c r="G341" s="26">
        <f t="shared" si="5"/>
        <v>-2133.0100000000002</v>
      </c>
    </row>
    <row r="342" spans="1:7" x14ac:dyDescent="0.2">
      <c r="A342" s="26">
        <v>30</v>
      </c>
      <c r="B342" s="26">
        <v>14</v>
      </c>
      <c r="C342" s="26">
        <v>44</v>
      </c>
      <c r="D342" s="26" t="s">
        <v>1386</v>
      </c>
      <c r="E342" s="26" t="s">
        <v>1545</v>
      </c>
      <c r="F342" s="26" t="s">
        <v>1725</v>
      </c>
      <c r="G342" s="26">
        <f t="shared" si="5"/>
        <v>32844.01</v>
      </c>
    </row>
    <row r="343" spans="1:7" x14ac:dyDescent="0.2">
      <c r="A343" s="26">
        <v>29</v>
      </c>
      <c r="B343" s="26">
        <v>15</v>
      </c>
      <c r="C343" s="26">
        <v>44</v>
      </c>
      <c r="D343" s="26" t="s">
        <v>1387</v>
      </c>
      <c r="E343" s="26" t="s">
        <v>1762</v>
      </c>
      <c r="F343" s="26" t="s">
        <v>1508</v>
      </c>
      <c r="G343" s="26">
        <f t="shared" si="5"/>
        <v>12100.01</v>
      </c>
    </row>
    <row r="344" spans="1:7" x14ac:dyDescent="0.2">
      <c r="A344" s="26">
        <v>28</v>
      </c>
      <c r="B344" s="26">
        <v>16</v>
      </c>
      <c r="C344" s="26">
        <v>44</v>
      </c>
      <c r="D344" s="26" t="s">
        <v>1388</v>
      </c>
      <c r="E344" s="26">
        <v>-9116.1679999999997</v>
      </c>
      <c r="F344" s="26">
        <v>394.541</v>
      </c>
      <c r="G344" s="26">
        <f t="shared" si="5"/>
        <v>-9116.1679999999997</v>
      </c>
    </row>
    <row r="345" spans="1:7" x14ac:dyDescent="0.2">
      <c r="A345" s="26">
        <v>27</v>
      </c>
      <c r="B345" s="26">
        <v>17</v>
      </c>
      <c r="C345" s="26">
        <v>44</v>
      </c>
      <c r="D345" s="26" t="s">
        <v>1389</v>
      </c>
      <c r="E345" s="26">
        <v>-20231.052</v>
      </c>
      <c r="F345" s="26">
        <v>108.02800000000001</v>
      </c>
      <c r="G345" s="26">
        <f t="shared" si="5"/>
        <v>-20231.052</v>
      </c>
    </row>
    <row r="346" spans="1:7" x14ac:dyDescent="0.2">
      <c r="A346" s="26">
        <v>26</v>
      </c>
      <c r="B346" s="26">
        <v>18</v>
      </c>
      <c r="C346" s="26">
        <v>44</v>
      </c>
      <c r="D346" s="26" t="s">
        <v>1390</v>
      </c>
      <c r="E346" s="26">
        <v>-32673.053</v>
      </c>
      <c r="F346" s="26">
        <v>1.595</v>
      </c>
      <c r="G346" s="26">
        <f t="shared" si="5"/>
        <v>-32673.053</v>
      </c>
    </row>
    <row r="347" spans="1:7" x14ac:dyDescent="0.2">
      <c r="A347" s="26">
        <v>25</v>
      </c>
      <c r="B347" s="26">
        <v>19</v>
      </c>
      <c r="C347" s="26">
        <v>44</v>
      </c>
      <c r="D347" s="26" t="s">
        <v>1391</v>
      </c>
      <c r="E347" s="26">
        <v>-35809.606</v>
      </c>
      <c r="F347" s="26">
        <v>35.779000000000003</v>
      </c>
      <c r="G347" s="26">
        <f t="shared" si="5"/>
        <v>-35809.606</v>
      </c>
    </row>
    <row r="348" spans="1:7" x14ac:dyDescent="0.2">
      <c r="A348" s="26">
        <v>24</v>
      </c>
      <c r="B348" s="26">
        <v>20</v>
      </c>
      <c r="C348" s="26">
        <v>44</v>
      </c>
      <c r="D348" s="26" t="s">
        <v>1392</v>
      </c>
      <c r="E348" s="26">
        <v>-41468.478999999999</v>
      </c>
      <c r="F348" s="26">
        <v>0.376</v>
      </c>
      <c r="G348" s="26">
        <f t="shared" si="5"/>
        <v>-41468.478999999999</v>
      </c>
    </row>
    <row r="349" spans="1:7" x14ac:dyDescent="0.2">
      <c r="A349" s="26">
        <v>23</v>
      </c>
      <c r="B349" s="26">
        <v>21</v>
      </c>
      <c r="C349" s="26">
        <v>44</v>
      </c>
      <c r="D349" s="26" t="s">
        <v>1393</v>
      </c>
      <c r="E349" s="26">
        <v>-37816.093000000001</v>
      </c>
      <c r="F349" s="26">
        <v>1.7669999999999999</v>
      </c>
      <c r="G349" s="26">
        <f t="shared" si="5"/>
        <v>-37816.093000000001</v>
      </c>
    </row>
    <row r="350" spans="1:7" x14ac:dyDescent="0.2">
      <c r="A350" s="26">
        <v>22</v>
      </c>
      <c r="B350" s="26">
        <v>22</v>
      </c>
      <c r="C350" s="26">
        <v>44</v>
      </c>
      <c r="D350" s="26" t="s">
        <v>1394</v>
      </c>
      <c r="E350" s="26">
        <v>-37548.459000000003</v>
      </c>
      <c r="F350" s="26">
        <v>0.73099999999999998</v>
      </c>
      <c r="G350" s="26">
        <f t="shared" si="5"/>
        <v>-37548.459000000003</v>
      </c>
    </row>
    <row r="351" spans="1:7" x14ac:dyDescent="0.2">
      <c r="A351" s="26">
        <v>21</v>
      </c>
      <c r="B351" s="26">
        <v>23</v>
      </c>
      <c r="C351" s="26">
        <v>44</v>
      </c>
      <c r="D351" s="26" t="s">
        <v>1395</v>
      </c>
      <c r="E351" s="26">
        <v>-24116.38</v>
      </c>
      <c r="F351" s="26">
        <v>121.09399999999999</v>
      </c>
      <c r="G351" s="26">
        <f t="shared" si="5"/>
        <v>-24116.38</v>
      </c>
    </row>
    <row r="352" spans="1:7" x14ac:dyDescent="0.2">
      <c r="A352" s="26">
        <v>20</v>
      </c>
      <c r="B352" s="26">
        <v>24</v>
      </c>
      <c r="C352" s="26">
        <v>44</v>
      </c>
      <c r="D352" s="26" t="s">
        <v>1396</v>
      </c>
      <c r="E352" s="26" t="s">
        <v>1216</v>
      </c>
      <c r="F352" s="26" t="s">
        <v>1217</v>
      </c>
      <c r="G352" s="26">
        <f t="shared" si="5"/>
        <v>-13461.01</v>
      </c>
    </row>
    <row r="353" spans="1:7" x14ac:dyDescent="0.2">
      <c r="A353" s="26">
        <v>19</v>
      </c>
      <c r="B353" s="26">
        <v>25</v>
      </c>
      <c r="C353" s="26">
        <v>44</v>
      </c>
      <c r="D353" s="26" t="s">
        <v>1397</v>
      </c>
      <c r="E353" s="26" t="s">
        <v>1515</v>
      </c>
      <c r="F353" s="26" t="s">
        <v>1728</v>
      </c>
      <c r="G353" s="26">
        <f t="shared" si="5"/>
        <v>6399.01</v>
      </c>
    </row>
    <row r="354" spans="1:7" x14ac:dyDescent="0.2">
      <c r="A354" s="26">
        <v>30</v>
      </c>
      <c r="B354" s="26">
        <v>15</v>
      </c>
      <c r="C354" s="26">
        <v>45</v>
      </c>
      <c r="D354" s="26" t="s">
        <v>1387</v>
      </c>
      <c r="E354" s="26" t="s">
        <v>1218</v>
      </c>
      <c r="F354" s="26" t="s">
        <v>1725</v>
      </c>
      <c r="G354" s="26">
        <f t="shared" si="5"/>
        <v>17903.009999999998</v>
      </c>
    </row>
    <row r="355" spans="1:7" x14ac:dyDescent="0.2">
      <c r="A355" s="26">
        <v>29</v>
      </c>
      <c r="B355" s="26">
        <v>16</v>
      </c>
      <c r="C355" s="26">
        <v>45</v>
      </c>
      <c r="D355" s="26" t="s">
        <v>1388</v>
      </c>
      <c r="E355" s="26">
        <v>-3252.672</v>
      </c>
      <c r="F355" s="26">
        <v>1742.377</v>
      </c>
      <c r="G355" s="26">
        <f t="shared" si="5"/>
        <v>-3252.672</v>
      </c>
    </row>
    <row r="356" spans="1:7" x14ac:dyDescent="0.2">
      <c r="A356" s="26">
        <v>28</v>
      </c>
      <c r="B356" s="26">
        <v>17</v>
      </c>
      <c r="C356" s="26">
        <v>45</v>
      </c>
      <c r="D356" s="26" t="s">
        <v>1389</v>
      </c>
      <c r="E356" s="26">
        <v>-18362.647000000001</v>
      </c>
      <c r="F356" s="26">
        <v>123.756</v>
      </c>
      <c r="G356" s="26">
        <f t="shared" si="5"/>
        <v>-18362.647000000001</v>
      </c>
    </row>
    <row r="357" spans="1:7" x14ac:dyDescent="0.2">
      <c r="A357" s="26">
        <v>27</v>
      </c>
      <c r="B357" s="26">
        <v>18</v>
      </c>
      <c r="C357" s="26">
        <v>45</v>
      </c>
      <c r="D357" s="26" t="s">
        <v>1390</v>
      </c>
      <c r="E357" s="26">
        <v>-29770.589</v>
      </c>
      <c r="F357" s="26">
        <v>0.54700000000000004</v>
      </c>
      <c r="G357" s="26">
        <f t="shared" si="5"/>
        <v>-29770.589</v>
      </c>
    </row>
    <row r="358" spans="1:7" x14ac:dyDescent="0.2">
      <c r="A358" s="26">
        <v>26</v>
      </c>
      <c r="B358" s="26">
        <v>19</v>
      </c>
      <c r="C358" s="26">
        <v>45</v>
      </c>
      <c r="D358" s="26" t="s">
        <v>1391</v>
      </c>
      <c r="E358" s="26">
        <v>-36608.186000000002</v>
      </c>
      <c r="F358" s="26">
        <v>10.256</v>
      </c>
      <c r="G358" s="26">
        <f t="shared" si="5"/>
        <v>-36608.186000000002</v>
      </c>
    </row>
    <row r="359" spans="1:7" x14ac:dyDescent="0.2">
      <c r="A359" s="26">
        <v>25</v>
      </c>
      <c r="B359" s="26">
        <v>20</v>
      </c>
      <c r="C359" s="26">
        <v>45</v>
      </c>
      <c r="D359" s="26" t="s">
        <v>1392</v>
      </c>
      <c r="E359" s="26">
        <v>-40811.949999999997</v>
      </c>
      <c r="F359" s="26">
        <v>0.41199999999999998</v>
      </c>
      <c r="G359" s="26">
        <f t="shared" si="5"/>
        <v>-40811.949999999997</v>
      </c>
    </row>
    <row r="360" spans="1:7" x14ac:dyDescent="0.2">
      <c r="A360" s="26">
        <v>24</v>
      </c>
      <c r="B360" s="26">
        <v>21</v>
      </c>
      <c r="C360" s="26">
        <v>45</v>
      </c>
      <c r="D360" s="26" t="s">
        <v>1393</v>
      </c>
      <c r="E360" s="26">
        <v>-41067.792000000001</v>
      </c>
      <c r="F360" s="26">
        <v>0.83699999999999997</v>
      </c>
      <c r="G360" s="26">
        <f t="shared" si="5"/>
        <v>-41067.792000000001</v>
      </c>
    </row>
    <row r="361" spans="1:7" x14ac:dyDescent="0.2">
      <c r="A361" s="26">
        <v>23</v>
      </c>
      <c r="B361" s="26">
        <v>22</v>
      </c>
      <c r="C361" s="26">
        <v>45</v>
      </c>
      <c r="D361" s="26" t="s">
        <v>1394</v>
      </c>
      <c r="E361" s="26">
        <v>-39005.737000000001</v>
      </c>
      <c r="F361" s="26">
        <v>0.98</v>
      </c>
      <c r="G361" s="26">
        <f t="shared" si="5"/>
        <v>-39005.737000000001</v>
      </c>
    </row>
    <row r="362" spans="1:7" x14ac:dyDescent="0.2">
      <c r="A362" s="26">
        <v>22</v>
      </c>
      <c r="B362" s="26">
        <v>23</v>
      </c>
      <c r="C362" s="26">
        <v>45</v>
      </c>
      <c r="D362" s="26" t="s">
        <v>1395</v>
      </c>
      <c r="E362" s="26">
        <v>-31879.629000000001</v>
      </c>
      <c r="F362" s="26">
        <v>17.029</v>
      </c>
      <c r="G362" s="26">
        <f t="shared" si="5"/>
        <v>-31879.629000000001</v>
      </c>
    </row>
    <row r="363" spans="1:7" x14ac:dyDescent="0.2">
      <c r="A363" s="26">
        <v>21</v>
      </c>
      <c r="B363" s="26">
        <v>24</v>
      </c>
      <c r="C363" s="26">
        <v>45</v>
      </c>
      <c r="D363" s="26" t="s">
        <v>1396</v>
      </c>
      <c r="E363" s="26">
        <v>-18965.218000000001</v>
      </c>
      <c r="F363" s="26">
        <v>503.00700000000001</v>
      </c>
      <c r="G363" s="26">
        <f t="shared" si="5"/>
        <v>-18965.218000000001</v>
      </c>
    </row>
    <row r="364" spans="1:7" x14ac:dyDescent="0.2">
      <c r="A364" s="26">
        <v>20</v>
      </c>
      <c r="B364" s="26">
        <v>25</v>
      </c>
      <c r="C364" s="26">
        <v>45</v>
      </c>
      <c r="D364" s="26" t="s">
        <v>1397</v>
      </c>
      <c r="E364" s="26" t="s">
        <v>1517</v>
      </c>
      <c r="F364" s="26" t="s">
        <v>1730</v>
      </c>
      <c r="G364" s="26">
        <f t="shared" si="5"/>
        <v>-5114.01</v>
      </c>
    </row>
    <row r="365" spans="1:7" x14ac:dyDescent="0.2">
      <c r="A365" s="26">
        <v>19</v>
      </c>
      <c r="B365" s="26">
        <v>26</v>
      </c>
      <c r="C365" s="26">
        <v>45</v>
      </c>
      <c r="D365" s="26" t="s">
        <v>1398</v>
      </c>
      <c r="E365" s="26" t="s">
        <v>1219</v>
      </c>
      <c r="F365" s="26" t="s">
        <v>1220</v>
      </c>
      <c r="G365" s="26">
        <f t="shared" si="5"/>
        <v>13579.01</v>
      </c>
    </row>
    <row r="366" spans="1:7" x14ac:dyDescent="0.2">
      <c r="A366" s="26">
        <v>31</v>
      </c>
      <c r="B366" s="26">
        <v>15</v>
      </c>
      <c r="C366" s="26">
        <v>46</v>
      </c>
      <c r="D366" s="26" t="s">
        <v>1387</v>
      </c>
      <c r="E366" s="26" t="s">
        <v>1221</v>
      </c>
      <c r="F366" s="26" t="s">
        <v>1731</v>
      </c>
      <c r="G366" s="26">
        <f t="shared" si="5"/>
        <v>25504.01</v>
      </c>
    </row>
    <row r="367" spans="1:7" x14ac:dyDescent="0.2">
      <c r="A367" s="26">
        <v>30</v>
      </c>
      <c r="B367" s="26">
        <v>16</v>
      </c>
      <c r="C367" s="26">
        <v>46</v>
      </c>
      <c r="D367" s="26" t="s">
        <v>1388</v>
      </c>
      <c r="E367" s="26" t="s">
        <v>1508</v>
      </c>
      <c r="F367" s="26" t="s">
        <v>1508</v>
      </c>
      <c r="G367" s="26">
        <f t="shared" si="5"/>
        <v>699.01</v>
      </c>
    </row>
    <row r="368" spans="1:7" x14ac:dyDescent="0.2">
      <c r="A368" s="26">
        <v>29</v>
      </c>
      <c r="B368" s="26">
        <v>17</v>
      </c>
      <c r="C368" s="26">
        <v>46</v>
      </c>
      <c r="D368" s="26" t="s">
        <v>1389</v>
      </c>
      <c r="E368" s="26">
        <v>-14708.253000000001</v>
      </c>
      <c r="F368" s="26">
        <v>717.33900000000006</v>
      </c>
      <c r="G368" s="26">
        <f t="shared" si="5"/>
        <v>-14708.253000000001</v>
      </c>
    </row>
    <row r="369" spans="1:7" x14ac:dyDescent="0.2">
      <c r="A369" s="26">
        <v>28</v>
      </c>
      <c r="B369" s="26">
        <v>18</v>
      </c>
      <c r="C369" s="26">
        <v>46</v>
      </c>
      <c r="D369" s="26" t="s">
        <v>1390</v>
      </c>
      <c r="E369" s="26">
        <v>-29720.127</v>
      </c>
      <c r="F369" s="26">
        <v>40.890999999999998</v>
      </c>
      <c r="G369" s="26">
        <f t="shared" si="5"/>
        <v>-29720.127</v>
      </c>
    </row>
    <row r="370" spans="1:7" x14ac:dyDescent="0.2">
      <c r="A370" s="26">
        <v>27</v>
      </c>
      <c r="B370" s="26">
        <v>19</v>
      </c>
      <c r="C370" s="26">
        <v>46</v>
      </c>
      <c r="D370" s="26" t="s">
        <v>1391</v>
      </c>
      <c r="E370" s="26">
        <v>-35418.322999999997</v>
      </c>
      <c r="F370" s="26">
        <v>15.545999999999999</v>
      </c>
      <c r="G370" s="26">
        <f t="shared" si="5"/>
        <v>-35418.322999999997</v>
      </c>
    </row>
    <row r="371" spans="1:7" x14ac:dyDescent="0.2">
      <c r="A371" s="26">
        <v>26</v>
      </c>
      <c r="B371" s="26">
        <v>20</v>
      </c>
      <c r="C371" s="26">
        <v>46</v>
      </c>
      <c r="D371" s="26" t="s">
        <v>1392</v>
      </c>
      <c r="E371" s="26">
        <v>-43135.076999999997</v>
      </c>
      <c r="F371" s="26">
        <v>2.2759999999999998</v>
      </c>
      <c r="G371" s="26">
        <f t="shared" si="5"/>
        <v>-43135.076999999997</v>
      </c>
    </row>
    <row r="372" spans="1:7" x14ac:dyDescent="0.2">
      <c r="A372" s="26">
        <v>25</v>
      </c>
      <c r="B372" s="26">
        <v>21</v>
      </c>
      <c r="C372" s="26">
        <v>46</v>
      </c>
      <c r="D372" s="26" t="s">
        <v>1393</v>
      </c>
      <c r="E372" s="26">
        <v>-41757.114999999998</v>
      </c>
      <c r="F372" s="26">
        <v>0.84399999999999997</v>
      </c>
      <c r="G372" s="26">
        <f t="shared" si="5"/>
        <v>-41757.114999999998</v>
      </c>
    </row>
    <row r="373" spans="1:7" x14ac:dyDescent="0.2">
      <c r="A373" s="26">
        <v>24</v>
      </c>
      <c r="B373" s="26">
        <v>22</v>
      </c>
      <c r="C373" s="26">
        <v>46</v>
      </c>
      <c r="D373" s="26" t="s">
        <v>1394</v>
      </c>
      <c r="E373" s="26">
        <v>-44123.421999999999</v>
      </c>
      <c r="F373" s="26">
        <v>0.83299999999999996</v>
      </c>
      <c r="G373" s="26">
        <f t="shared" si="5"/>
        <v>-44123.421999999999</v>
      </c>
    </row>
    <row r="374" spans="1:7" x14ac:dyDescent="0.2">
      <c r="A374" s="26">
        <v>23</v>
      </c>
      <c r="B374" s="26">
        <v>23</v>
      </c>
      <c r="C374" s="26">
        <v>46</v>
      </c>
      <c r="D374" s="26" t="s">
        <v>1395</v>
      </c>
      <c r="E374" s="26">
        <v>-37073.012999999999</v>
      </c>
      <c r="F374" s="26">
        <v>1.0269999999999999</v>
      </c>
      <c r="G374" s="26">
        <f t="shared" si="5"/>
        <v>-37073.012999999999</v>
      </c>
    </row>
    <row r="375" spans="1:7" x14ac:dyDescent="0.2">
      <c r="A375" s="26">
        <v>22</v>
      </c>
      <c r="B375" s="26">
        <v>24</v>
      </c>
      <c r="C375" s="26">
        <v>46</v>
      </c>
      <c r="D375" s="26" t="s">
        <v>1396</v>
      </c>
      <c r="E375" s="26">
        <v>-29473.741999999998</v>
      </c>
      <c r="F375" s="26">
        <v>19.995000000000001</v>
      </c>
      <c r="G375" s="26">
        <f t="shared" si="5"/>
        <v>-29473.741999999998</v>
      </c>
    </row>
    <row r="376" spans="1:7" x14ac:dyDescent="0.2">
      <c r="A376" s="26">
        <v>21</v>
      </c>
      <c r="B376" s="26">
        <v>25</v>
      </c>
      <c r="C376" s="26">
        <v>46</v>
      </c>
      <c r="D376" s="26" t="s">
        <v>1397</v>
      </c>
      <c r="E376" s="26" t="s">
        <v>1518</v>
      </c>
      <c r="F376" s="26" t="s">
        <v>1519</v>
      </c>
      <c r="G376" s="26">
        <f t="shared" si="5"/>
        <v>-12370.01</v>
      </c>
    </row>
    <row r="377" spans="1:7" x14ac:dyDescent="0.2">
      <c r="A377" s="26">
        <v>20</v>
      </c>
      <c r="B377" s="26">
        <v>26</v>
      </c>
      <c r="C377" s="26">
        <v>46</v>
      </c>
      <c r="D377" s="26" t="s">
        <v>1398</v>
      </c>
      <c r="E377" s="26" t="s">
        <v>1520</v>
      </c>
      <c r="F377" s="26" t="s">
        <v>1521</v>
      </c>
      <c r="G377" s="26">
        <f t="shared" si="5"/>
        <v>755.01</v>
      </c>
    </row>
    <row r="378" spans="1:7" x14ac:dyDescent="0.2">
      <c r="A378" s="26">
        <v>31</v>
      </c>
      <c r="B378" s="26">
        <v>16</v>
      </c>
      <c r="C378" s="26">
        <v>47</v>
      </c>
      <c r="D378" s="26" t="s">
        <v>1388</v>
      </c>
      <c r="E378" s="26" t="s">
        <v>1222</v>
      </c>
      <c r="F378" s="26" t="s">
        <v>1725</v>
      </c>
      <c r="G378" s="26">
        <f t="shared" si="5"/>
        <v>8002.01</v>
      </c>
    </row>
    <row r="379" spans="1:7" x14ac:dyDescent="0.2">
      <c r="A379" s="26">
        <v>30</v>
      </c>
      <c r="B379" s="26">
        <v>17</v>
      </c>
      <c r="C379" s="26">
        <v>47</v>
      </c>
      <c r="D379" s="26" t="s">
        <v>1389</v>
      </c>
      <c r="E379" s="26" t="s">
        <v>1223</v>
      </c>
      <c r="F379" s="26" t="s">
        <v>1505</v>
      </c>
      <c r="G379" s="26">
        <f t="shared" si="5"/>
        <v>-10517.01</v>
      </c>
    </row>
    <row r="380" spans="1:7" x14ac:dyDescent="0.2">
      <c r="A380" s="26">
        <v>29</v>
      </c>
      <c r="B380" s="26">
        <v>18</v>
      </c>
      <c r="C380" s="26">
        <v>47</v>
      </c>
      <c r="D380" s="26" t="s">
        <v>1390</v>
      </c>
      <c r="E380" s="26">
        <v>-25907.835999999999</v>
      </c>
      <c r="F380" s="26">
        <v>100.083</v>
      </c>
      <c r="G380" s="26">
        <f t="shared" si="5"/>
        <v>-25907.835999999999</v>
      </c>
    </row>
    <row r="381" spans="1:7" x14ac:dyDescent="0.2">
      <c r="A381" s="26">
        <v>28</v>
      </c>
      <c r="B381" s="26">
        <v>19</v>
      </c>
      <c r="C381" s="26">
        <v>47</v>
      </c>
      <c r="D381" s="26" t="s">
        <v>1391</v>
      </c>
      <c r="E381" s="26">
        <v>-35696.271999999997</v>
      </c>
      <c r="F381" s="26">
        <v>7.9630000000000001</v>
      </c>
      <c r="G381" s="26">
        <f t="shared" si="5"/>
        <v>-35696.271999999997</v>
      </c>
    </row>
    <row r="382" spans="1:7" x14ac:dyDescent="0.2">
      <c r="A382" s="26">
        <v>27</v>
      </c>
      <c r="B382" s="26">
        <v>20</v>
      </c>
      <c r="C382" s="26">
        <v>47</v>
      </c>
      <c r="D382" s="26" t="s">
        <v>1392</v>
      </c>
      <c r="E382" s="26">
        <v>-42340.123</v>
      </c>
      <c r="F382" s="26">
        <v>2.2629999999999999</v>
      </c>
      <c r="G382" s="26">
        <f t="shared" si="5"/>
        <v>-42340.123</v>
      </c>
    </row>
    <row r="383" spans="1:7" x14ac:dyDescent="0.2">
      <c r="A383" s="26">
        <v>26</v>
      </c>
      <c r="B383" s="26">
        <v>21</v>
      </c>
      <c r="C383" s="26">
        <v>47</v>
      </c>
      <c r="D383" s="26" t="s">
        <v>1393</v>
      </c>
      <c r="E383" s="26">
        <v>-44332.120999999999</v>
      </c>
      <c r="F383" s="26">
        <v>2.0289999999999999</v>
      </c>
      <c r="G383" s="26">
        <f t="shared" si="5"/>
        <v>-44332.120999999999</v>
      </c>
    </row>
    <row r="384" spans="1:7" x14ac:dyDescent="0.2">
      <c r="A384" s="26">
        <v>25</v>
      </c>
      <c r="B384" s="26">
        <v>22</v>
      </c>
      <c r="C384" s="26">
        <v>47</v>
      </c>
      <c r="D384" s="26" t="s">
        <v>1394</v>
      </c>
      <c r="E384" s="26">
        <v>-44932.394</v>
      </c>
      <c r="F384" s="26">
        <v>0.82199999999999995</v>
      </c>
      <c r="G384" s="26">
        <f t="shared" si="5"/>
        <v>-44932.394</v>
      </c>
    </row>
    <row r="385" spans="1:7" x14ac:dyDescent="0.2">
      <c r="A385" s="26">
        <v>24</v>
      </c>
      <c r="B385" s="26">
        <v>23</v>
      </c>
      <c r="C385" s="26">
        <v>47</v>
      </c>
      <c r="D385" s="26" t="s">
        <v>1395</v>
      </c>
      <c r="E385" s="26">
        <v>-42002.050999999999</v>
      </c>
      <c r="F385" s="26">
        <v>0.83599999999999997</v>
      </c>
      <c r="G385" s="26">
        <f t="shared" si="5"/>
        <v>-42002.050999999999</v>
      </c>
    </row>
    <row r="386" spans="1:7" x14ac:dyDescent="0.2">
      <c r="A386" s="26">
        <v>23</v>
      </c>
      <c r="B386" s="26">
        <v>24</v>
      </c>
      <c r="C386" s="26">
        <v>47</v>
      </c>
      <c r="D386" s="26" t="s">
        <v>1396</v>
      </c>
      <c r="E386" s="26">
        <v>-34558.385000000002</v>
      </c>
      <c r="F386" s="26">
        <v>14.036</v>
      </c>
      <c r="G386" s="26">
        <f t="shared" si="5"/>
        <v>-34558.385000000002</v>
      </c>
    </row>
    <row r="387" spans="1:7" x14ac:dyDescent="0.2">
      <c r="A387" s="26">
        <v>22</v>
      </c>
      <c r="B387" s="26">
        <v>25</v>
      </c>
      <c r="C387" s="26">
        <v>47</v>
      </c>
      <c r="D387" s="26" t="s">
        <v>1397</v>
      </c>
      <c r="E387" s="26" t="s">
        <v>1522</v>
      </c>
      <c r="F387" s="26" t="s">
        <v>1759</v>
      </c>
      <c r="G387" s="26">
        <f t="shared" si="5"/>
        <v>-22263.01</v>
      </c>
    </row>
    <row r="388" spans="1:7" x14ac:dyDescent="0.2">
      <c r="A388" s="26">
        <v>21</v>
      </c>
      <c r="B388" s="26">
        <v>26</v>
      </c>
      <c r="C388" s="26">
        <v>47</v>
      </c>
      <c r="D388" s="26" t="s">
        <v>1398</v>
      </c>
      <c r="E388" s="26" t="s">
        <v>1760</v>
      </c>
      <c r="F388" s="26" t="s">
        <v>1761</v>
      </c>
      <c r="G388" s="26">
        <f t="shared" si="5"/>
        <v>-6623.01</v>
      </c>
    </row>
    <row r="389" spans="1:7" x14ac:dyDescent="0.2">
      <c r="A389" s="26">
        <v>20</v>
      </c>
      <c r="B389" s="26">
        <v>27</v>
      </c>
      <c r="C389" s="26">
        <v>47</v>
      </c>
      <c r="D389" s="26" t="s">
        <v>1399</v>
      </c>
      <c r="E389" s="26" t="s">
        <v>1224</v>
      </c>
      <c r="F389" s="26" t="s">
        <v>1728</v>
      </c>
      <c r="G389" s="26">
        <f t="shared" si="5"/>
        <v>10703.01</v>
      </c>
    </row>
    <row r="390" spans="1:7" x14ac:dyDescent="0.2">
      <c r="A390" s="26">
        <v>32</v>
      </c>
      <c r="B390" s="26">
        <v>16</v>
      </c>
      <c r="C390" s="26">
        <v>48</v>
      </c>
      <c r="D390" s="26" t="s">
        <v>1388</v>
      </c>
      <c r="E390" s="26" t="s">
        <v>1225</v>
      </c>
      <c r="F390" s="26" t="s">
        <v>1731</v>
      </c>
      <c r="G390" s="26">
        <f t="shared" si="5"/>
        <v>13199.01</v>
      </c>
    </row>
    <row r="391" spans="1:7" x14ac:dyDescent="0.2">
      <c r="A391" s="26">
        <v>31</v>
      </c>
      <c r="B391" s="26">
        <v>17</v>
      </c>
      <c r="C391" s="26">
        <v>48</v>
      </c>
      <c r="D391" s="26" t="s">
        <v>1389</v>
      </c>
      <c r="E391" s="26" t="s">
        <v>1226</v>
      </c>
      <c r="F391" s="26" t="s">
        <v>1508</v>
      </c>
      <c r="G391" s="26">
        <f t="shared" si="5"/>
        <v>-4704.01</v>
      </c>
    </row>
    <row r="392" spans="1:7" x14ac:dyDescent="0.2">
      <c r="A392" s="26">
        <v>30</v>
      </c>
      <c r="B392" s="26">
        <v>18</v>
      </c>
      <c r="C392" s="26">
        <v>48</v>
      </c>
      <c r="D392" s="26" t="s">
        <v>1390</v>
      </c>
      <c r="E392" s="26" t="s">
        <v>1227</v>
      </c>
      <c r="F392" s="26" t="s">
        <v>1730</v>
      </c>
      <c r="G392" s="26">
        <f t="shared" si="5"/>
        <v>-23716.01</v>
      </c>
    </row>
    <row r="393" spans="1:7" x14ac:dyDescent="0.2">
      <c r="A393" s="26">
        <v>29</v>
      </c>
      <c r="B393" s="26">
        <v>19</v>
      </c>
      <c r="C393" s="26">
        <v>48</v>
      </c>
      <c r="D393" s="26" t="s">
        <v>1391</v>
      </c>
      <c r="E393" s="26">
        <v>-32123.935000000001</v>
      </c>
      <c r="F393" s="26">
        <v>24.106000000000002</v>
      </c>
      <c r="G393" s="26">
        <f t="shared" si="5"/>
        <v>-32123.935000000001</v>
      </c>
    </row>
    <row r="394" spans="1:7" x14ac:dyDescent="0.2">
      <c r="A394" s="26">
        <v>28</v>
      </c>
      <c r="B394" s="26">
        <v>20</v>
      </c>
      <c r="C394" s="26">
        <v>48</v>
      </c>
      <c r="D394" s="26" t="s">
        <v>1392</v>
      </c>
      <c r="E394" s="26">
        <v>-44214.129000000001</v>
      </c>
      <c r="F394" s="26">
        <v>4.0819999999999999</v>
      </c>
      <c r="G394" s="26">
        <f t="shared" ref="G394:G457" si="6">IF(ISNUMBER(E394),E394,VALUE(SUBSTITUTE(E394,"#",".01")))</f>
        <v>-44214.129000000001</v>
      </c>
    </row>
    <row r="395" spans="1:7" x14ac:dyDescent="0.2">
      <c r="A395" s="26">
        <v>27</v>
      </c>
      <c r="B395" s="26">
        <v>21</v>
      </c>
      <c r="C395" s="26">
        <v>48</v>
      </c>
      <c r="D395" s="26" t="s">
        <v>1393</v>
      </c>
      <c r="E395" s="26">
        <v>-44496.101000000002</v>
      </c>
      <c r="F395" s="26">
        <v>5.4</v>
      </c>
      <c r="G395" s="26">
        <f t="shared" si="6"/>
        <v>-44496.101000000002</v>
      </c>
    </row>
    <row r="396" spans="1:7" x14ac:dyDescent="0.2">
      <c r="A396" s="26">
        <v>26</v>
      </c>
      <c r="B396" s="26">
        <v>22</v>
      </c>
      <c r="C396" s="26">
        <v>48</v>
      </c>
      <c r="D396" s="26" t="s">
        <v>1394</v>
      </c>
      <c r="E396" s="26">
        <v>-48487.726999999999</v>
      </c>
      <c r="F396" s="26">
        <v>0.82199999999999995</v>
      </c>
      <c r="G396" s="26">
        <f t="shared" si="6"/>
        <v>-48487.726999999999</v>
      </c>
    </row>
    <row r="397" spans="1:7" x14ac:dyDescent="0.2">
      <c r="A397" s="26">
        <v>25</v>
      </c>
      <c r="B397" s="26">
        <v>23</v>
      </c>
      <c r="C397" s="26">
        <v>48</v>
      </c>
      <c r="D397" s="26" t="s">
        <v>1395</v>
      </c>
      <c r="E397" s="26">
        <v>-44475.385000000002</v>
      </c>
      <c r="F397" s="26">
        <v>2.5510000000000002</v>
      </c>
      <c r="G397" s="26">
        <f t="shared" si="6"/>
        <v>-44475.385000000002</v>
      </c>
    </row>
    <row r="398" spans="1:7" x14ac:dyDescent="0.2">
      <c r="A398" s="26">
        <v>24</v>
      </c>
      <c r="B398" s="26">
        <v>24</v>
      </c>
      <c r="C398" s="26">
        <v>48</v>
      </c>
      <c r="D398" s="26" t="s">
        <v>1396</v>
      </c>
      <c r="E398" s="26">
        <v>-42819.18</v>
      </c>
      <c r="F398" s="26">
        <v>7.3789999999999996</v>
      </c>
      <c r="G398" s="26">
        <f t="shared" si="6"/>
        <v>-42819.18</v>
      </c>
    </row>
    <row r="399" spans="1:7" x14ac:dyDescent="0.2">
      <c r="A399" s="26">
        <v>23</v>
      </c>
      <c r="B399" s="26">
        <v>25</v>
      </c>
      <c r="C399" s="26">
        <v>48</v>
      </c>
      <c r="D399" s="26" t="s">
        <v>1397</v>
      </c>
      <c r="E399" s="26">
        <v>-29323.431</v>
      </c>
      <c r="F399" s="26">
        <v>111.779</v>
      </c>
      <c r="G399" s="26">
        <f t="shared" si="6"/>
        <v>-29323.431</v>
      </c>
    </row>
    <row r="400" spans="1:7" x14ac:dyDescent="0.2">
      <c r="A400" s="26">
        <v>22</v>
      </c>
      <c r="B400" s="26">
        <v>26</v>
      </c>
      <c r="C400" s="26">
        <v>48</v>
      </c>
      <c r="D400" s="26" t="s">
        <v>1398</v>
      </c>
      <c r="E400" s="26" t="s">
        <v>1228</v>
      </c>
      <c r="F400" s="26" t="s">
        <v>1229</v>
      </c>
      <c r="G400" s="26">
        <f t="shared" si="6"/>
        <v>-18160.009999999998</v>
      </c>
    </row>
    <row r="401" spans="1:7" x14ac:dyDescent="0.2">
      <c r="A401" s="26">
        <v>21</v>
      </c>
      <c r="B401" s="26">
        <v>27</v>
      </c>
      <c r="C401" s="26">
        <v>48</v>
      </c>
      <c r="D401" s="26" t="s">
        <v>1399</v>
      </c>
      <c r="E401" s="26" t="s">
        <v>1764</v>
      </c>
      <c r="F401" s="26" t="s">
        <v>1723</v>
      </c>
      <c r="G401" s="26">
        <f t="shared" si="6"/>
        <v>1639.01</v>
      </c>
    </row>
    <row r="402" spans="1:7" x14ac:dyDescent="0.2">
      <c r="A402" s="26">
        <v>20</v>
      </c>
      <c r="B402" s="26">
        <v>28</v>
      </c>
      <c r="C402" s="26">
        <v>48</v>
      </c>
      <c r="D402" s="26" t="s">
        <v>1400</v>
      </c>
      <c r="E402" s="26" t="s">
        <v>925</v>
      </c>
      <c r="F402" s="26" t="s">
        <v>1728</v>
      </c>
      <c r="G402" s="26">
        <f t="shared" si="6"/>
        <v>18397.009999999998</v>
      </c>
    </row>
    <row r="403" spans="1:7" x14ac:dyDescent="0.2">
      <c r="A403" s="26">
        <v>33</v>
      </c>
      <c r="B403" s="26">
        <v>16</v>
      </c>
      <c r="C403" s="26">
        <v>49</v>
      </c>
      <c r="D403" s="26" t="s">
        <v>1388</v>
      </c>
      <c r="E403" s="26" t="s">
        <v>926</v>
      </c>
      <c r="F403" s="26" t="s">
        <v>1525</v>
      </c>
      <c r="G403" s="26">
        <f t="shared" si="6"/>
        <v>22001.01</v>
      </c>
    </row>
    <row r="404" spans="1:7" x14ac:dyDescent="0.2">
      <c r="A404" s="26">
        <v>32</v>
      </c>
      <c r="B404" s="26">
        <v>17</v>
      </c>
      <c r="C404" s="26">
        <v>49</v>
      </c>
      <c r="D404" s="26" t="s">
        <v>1389</v>
      </c>
      <c r="E404" s="26" t="s">
        <v>1730</v>
      </c>
      <c r="F404" s="26" t="s">
        <v>1725</v>
      </c>
      <c r="G404" s="26">
        <f t="shared" si="6"/>
        <v>298.01</v>
      </c>
    </row>
    <row r="405" spans="1:7" x14ac:dyDescent="0.2">
      <c r="A405" s="26">
        <v>31</v>
      </c>
      <c r="B405" s="26">
        <v>18</v>
      </c>
      <c r="C405" s="26">
        <v>49</v>
      </c>
      <c r="D405" s="26" t="s">
        <v>1390</v>
      </c>
      <c r="E405" s="26" t="s">
        <v>927</v>
      </c>
      <c r="F405" s="26" t="s">
        <v>1728</v>
      </c>
      <c r="G405" s="26">
        <f t="shared" si="6"/>
        <v>-18146.009999999998</v>
      </c>
    </row>
    <row r="406" spans="1:7" x14ac:dyDescent="0.2">
      <c r="A406" s="26">
        <v>30</v>
      </c>
      <c r="B406" s="26">
        <v>19</v>
      </c>
      <c r="C406" s="26">
        <v>49</v>
      </c>
      <c r="D406" s="26" t="s">
        <v>1391</v>
      </c>
      <c r="E406" s="26">
        <v>-30319.264999999999</v>
      </c>
      <c r="F406" s="26">
        <v>70.119</v>
      </c>
      <c r="G406" s="26">
        <f t="shared" si="6"/>
        <v>-30319.264999999999</v>
      </c>
    </row>
    <row r="407" spans="1:7" x14ac:dyDescent="0.2">
      <c r="A407" s="26">
        <v>29</v>
      </c>
      <c r="B407" s="26">
        <v>20</v>
      </c>
      <c r="C407" s="26">
        <v>49</v>
      </c>
      <c r="D407" s="26" t="s">
        <v>1392</v>
      </c>
      <c r="E407" s="26">
        <v>-41289.264999999999</v>
      </c>
      <c r="F407" s="26">
        <v>4.0860000000000003</v>
      </c>
      <c r="G407" s="26">
        <f t="shared" si="6"/>
        <v>-41289.264999999999</v>
      </c>
    </row>
    <row r="408" spans="1:7" x14ac:dyDescent="0.2">
      <c r="A408" s="26">
        <v>28</v>
      </c>
      <c r="B408" s="26">
        <v>21</v>
      </c>
      <c r="C408" s="26">
        <v>49</v>
      </c>
      <c r="D408" s="26" t="s">
        <v>1393</v>
      </c>
      <c r="E408" s="26">
        <v>-46552.368000000002</v>
      </c>
      <c r="F408" s="26">
        <v>3.9969999999999999</v>
      </c>
      <c r="G408" s="26">
        <f t="shared" si="6"/>
        <v>-46552.368000000002</v>
      </c>
    </row>
    <row r="409" spans="1:7" x14ac:dyDescent="0.2">
      <c r="A409" s="26">
        <v>27</v>
      </c>
      <c r="B409" s="26">
        <v>22</v>
      </c>
      <c r="C409" s="26">
        <v>49</v>
      </c>
      <c r="D409" s="26" t="s">
        <v>1394</v>
      </c>
      <c r="E409" s="26">
        <v>-48558.798999999999</v>
      </c>
      <c r="F409" s="26">
        <v>0.82199999999999995</v>
      </c>
      <c r="G409" s="26">
        <f t="shared" si="6"/>
        <v>-48558.798999999999</v>
      </c>
    </row>
    <row r="410" spans="1:7" x14ac:dyDescent="0.2">
      <c r="A410" s="26">
        <v>26</v>
      </c>
      <c r="B410" s="26">
        <v>23</v>
      </c>
      <c r="C410" s="26">
        <v>49</v>
      </c>
      <c r="D410" s="26" t="s">
        <v>1395</v>
      </c>
      <c r="E410" s="26">
        <v>-47956.942999999999</v>
      </c>
      <c r="F410" s="26">
        <v>1.161</v>
      </c>
      <c r="G410" s="26">
        <f t="shared" si="6"/>
        <v>-47956.942999999999</v>
      </c>
    </row>
    <row r="411" spans="1:7" x14ac:dyDescent="0.2">
      <c r="A411" s="26">
        <v>25</v>
      </c>
      <c r="B411" s="26">
        <v>24</v>
      </c>
      <c r="C411" s="26">
        <v>49</v>
      </c>
      <c r="D411" s="26" t="s">
        <v>1396</v>
      </c>
      <c r="E411" s="26">
        <v>-45330.483999999997</v>
      </c>
      <c r="F411" s="26">
        <v>2.4169999999999998</v>
      </c>
      <c r="G411" s="26">
        <f t="shared" si="6"/>
        <v>-45330.483999999997</v>
      </c>
    </row>
    <row r="412" spans="1:7" x14ac:dyDescent="0.2">
      <c r="A412" s="26">
        <v>24</v>
      </c>
      <c r="B412" s="26">
        <v>25</v>
      </c>
      <c r="C412" s="26">
        <v>49</v>
      </c>
      <c r="D412" s="26" t="s">
        <v>1397</v>
      </c>
      <c r="E412" s="26">
        <v>-37615.586000000003</v>
      </c>
      <c r="F412" s="26">
        <v>24.01</v>
      </c>
      <c r="G412" s="26">
        <f t="shared" si="6"/>
        <v>-37615.586000000003</v>
      </c>
    </row>
    <row r="413" spans="1:7" x14ac:dyDescent="0.2">
      <c r="A413" s="26">
        <v>23</v>
      </c>
      <c r="B413" s="26">
        <v>26</v>
      </c>
      <c r="C413" s="26">
        <v>49</v>
      </c>
      <c r="D413" s="26" t="s">
        <v>1398</v>
      </c>
      <c r="E413" s="26" t="s">
        <v>1765</v>
      </c>
      <c r="F413" s="26" t="s">
        <v>1773</v>
      </c>
      <c r="G413" s="26">
        <f t="shared" si="6"/>
        <v>-24582.01</v>
      </c>
    </row>
    <row r="414" spans="1:7" x14ac:dyDescent="0.2">
      <c r="A414" s="26">
        <v>22</v>
      </c>
      <c r="B414" s="26">
        <v>27</v>
      </c>
      <c r="C414" s="26">
        <v>49</v>
      </c>
      <c r="D414" s="26" t="s">
        <v>1399</v>
      </c>
      <c r="E414" s="26" t="s">
        <v>1766</v>
      </c>
      <c r="F414" s="26" t="s">
        <v>1761</v>
      </c>
      <c r="G414" s="26">
        <f t="shared" si="6"/>
        <v>-9576.01</v>
      </c>
    </row>
    <row r="415" spans="1:7" x14ac:dyDescent="0.2">
      <c r="A415" s="26">
        <v>21</v>
      </c>
      <c r="B415" s="26">
        <v>28</v>
      </c>
      <c r="C415" s="26">
        <v>49</v>
      </c>
      <c r="D415" s="26" t="s">
        <v>1400</v>
      </c>
      <c r="E415" s="26" t="s">
        <v>928</v>
      </c>
      <c r="F415" s="26" t="s">
        <v>1723</v>
      </c>
      <c r="G415" s="26">
        <f t="shared" si="6"/>
        <v>8998.01</v>
      </c>
    </row>
    <row r="416" spans="1:7" x14ac:dyDescent="0.2">
      <c r="A416" s="26">
        <v>33</v>
      </c>
      <c r="B416" s="26">
        <v>17</v>
      </c>
      <c r="C416" s="26">
        <v>50</v>
      </c>
      <c r="D416" s="26" t="s">
        <v>1389</v>
      </c>
      <c r="E416" s="26" t="s">
        <v>929</v>
      </c>
      <c r="F416" s="26" t="s">
        <v>1731</v>
      </c>
      <c r="G416" s="26">
        <f t="shared" si="6"/>
        <v>7303.01</v>
      </c>
    </row>
    <row r="417" spans="1:7" x14ac:dyDescent="0.2">
      <c r="A417" s="26">
        <v>32</v>
      </c>
      <c r="B417" s="26">
        <v>18</v>
      </c>
      <c r="C417" s="26">
        <v>50</v>
      </c>
      <c r="D417" s="26" t="s">
        <v>1390</v>
      </c>
      <c r="E417" s="26" t="s">
        <v>930</v>
      </c>
      <c r="F417" s="26" t="s">
        <v>1508</v>
      </c>
      <c r="G417" s="26">
        <f t="shared" si="6"/>
        <v>-14503.01</v>
      </c>
    </row>
    <row r="418" spans="1:7" x14ac:dyDescent="0.2">
      <c r="A418" s="26">
        <v>31</v>
      </c>
      <c r="B418" s="26">
        <v>19</v>
      </c>
      <c r="C418" s="26">
        <v>50</v>
      </c>
      <c r="D418" s="26" t="s">
        <v>1391</v>
      </c>
      <c r="E418" s="26">
        <v>-25352.141</v>
      </c>
      <c r="F418" s="26">
        <v>278.43900000000002</v>
      </c>
      <c r="G418" s="26">
        <f t="shared" si="6"/>
        <v>-25352.141</v>
      </c>
    </row>
    <row r="419" spans="1:7" x14ac:dyDescent="0.2">
      <c r="A419" s="26">
        <v>30</v>
      </c>
      <c r="B419" s="26">
        <v>20</v>
      </c>
      <c r="C419" s="26">
        <v>50</v>
      </c>
      <c r="D419" s="26" t="s">
        <v>1392</v>
      </c>
      <c r="E419" s="26">
        <v>-39570.832000000002</v>
      </c>
      <c r="F419" s="26">
        <v>9.2680000000000007</v>
      </c>
      <c r="G419" s="26">
        <f t="shared" si="6"/>
        <v>-39570.832000000002</v>
      </c>
    </row>
    <row r="420" spans="1:7" x14ac:dyDescent="0.2">
      <c r="A420" s="26">
        <v>29</v>
      </c>
      <c r="B420" s="26">
        <v>21</v>
      </c>
      <c r="C420" s="26">
        <v>50</v>
      </c>
      <c r="D420" s="26" t="s">
        <v>1393</v>
      </c>
      <c r="E420" s="26">
        <v>-44536.885000000002</v>
      </c>
      <c r="F420" s="26">
        <v>15.545999999999999</v>
      </c>
      <c r="G420" s="26">
        <f t="shared" si="6"/>
        <v>-44536.885000000002</v>
      </c>
    </row>
    <row r="421" spans="1:7" x14ac:dyDescent="0.2">
      <c r="A421" s="26">
        <v>28</v>
      </c>
      <c r="B421" s="26">
        <v>22</v>
      </c>
      <c r="C421" s="26">
        <v>50</v>
      </c>
      <c r="D421" s="26" t="s">
        <v>1394</v>
      </c>
      <c r="E421" s="26">
        <v>-51426.671999999999</v>
      </c>
      <c r="F421" s="26">
        <v>0.82299999999999995</v>
      </c>
      <c r="G421" s="26">
        <f t="shared" si="6"/>
        <v>-51426.671999999999</v>
      </c>
    </row>
    <row r="422" spans="1:7" x14ac:dyDescent="0.2">
      <c r="A422" s="26">
        <v>27</v>
      </c>
      <c r="B422" s="26">
        <v>23</v>
      </c>
      <c r="C422" s="26">
        <v>50</v>
      </c>
      <c r="D422" s="26" t="s">
        <v>1395</v>
      </c>
      <c r="E422" s="26">
        <v>-49221.553999999996</v>
      </c>
      <c r="F422" s="26">
        <v>1.0049999999999999</v>
      </c>
      <c r="G422" s="26">
        <f t="shared" si="6"/>
        <v>-49221.553999999996</v>
      </c>
    </row>
    <row r="423" spans="1:7" x14ac:dyDescent="0.2">
      <c r="A423" s="26">
        <v>26</v>
      </c>
      <c r="B423" s="26">
        <v>24</v>
      </c>
      <c r="C423" s="26">
        <v>50</v>
      </c>
      <c r="D423" s="26" t="s">
        <v>1396</v>
      </c>
      <c r="E423" s="26">
        <v>-50259.499000000003</v>
      </c>
      <c r="F423" s="26">
        <v>1.0009999999999999</v>
      </c>
      <c r="G423" s="26">
        <f t="shared" si="6"/>
        <v>-50259.499000000003</v>
      </c>
    </row>
    <row r="424" spans="1:7" x14ac:dyDescent="0.2">
      <c r="A424" s="26">
        <v>25</v>
      </c>
      <c r="B424" s="26">
        <v>25</v>
      </c>
      <c r="C424" s="26">
        <v>50</v>
      </c>
      <c r="D424" s="26" t="s">
        <v>1397</v>
      </c>
      <c r="E424" s="26">
        <v>-42626.813999999998</v>
      </c>
      <c r="F424" s="26">
        <v>1.026</v>
      </c>
      <c r="G424" s="26">
        <f t="shared" si="6"/>
        <v>-42626.813999999998</v>
      </c>
    </row>
    <row r="425" spans="1:7" x14ac:dyDescent="0.2">
      <c r="A425" s="26">
        <v>24</v>
      </c>
      <c r="B425" s="26">
        <v>26</v>
      </c>
      <c r="C425" s="26">
        <v>50</v>
      </c>
      <c r="D425" s="26" t="s">
        <v>1398</v>
      </c>
      <c r="E425" s="26">
        <v>-34475.540999999997</v>
      </c>
      <c r="F425" s="26">
        <v>60.003999999999998</v>
      </c>
      <c r="G425" s="26">
        <f t="shared" si="6"/>
        <v>-34475.540999999997</v>
      </c>
    </row>
    <row r="426" spans="1:7" x14ac:dyDescent="0.2">
      <c r="A426" s="26">
        <v>23</v>
      </c>
      <c r="B426" s="26">
        <v>27</v>
      </c>
      <c r="C426" s="26">
        <v>50</v>
      </c>
      <c r="D426" s="26" t="s">
        <v>1399</v>
      </c>
      <c r="E426" s="26" t="s">
        <v>1768</v>
      </c>
      <c r="F426" s="26" t="s">
        <v>1769</v>
      </c>
      <c r="G426" s="26">
        <f t="shared" si="6"/>
        <v>-17195.009999999998</v>
      </c>
    </row>
    <row r="427" spans="1:7" x14ac:dyDescent="0.2">
      <c r="A427" s="26">
        <v>22</v>
      </c>
      <c r="B427" s="26">
        <v>28</v>
      </c>
      <c r="C427" s="26">
        <v>50</v>
      </c>
      <c r="D427" s="26" t="s">
        <v>1400</v>
      </c>
      <c r="E427" s="26" t="s">
        <v>1770</v>
      </c>
      <c r="F427" s="26" t="s">
        <v>1761</v>
      </c>
      <c r="G427" s="26">
        <f t="shared" si="6"/>
        <v>-3791.01</v>
      </c>
    </row>
    <row r="428" spans="1:7" x14ac:dyDescent="0.2">
      <c r="A428" s="26">
        <v>34</v>
      </c>
      <c r="B428" s="26">
        <v>17</v>
      </c>
      <c r="C428" s="26">
        <v>51</v>
      </c>
      <c r="D428" s="26" t="s">
        <v>1389</v>
      </c>
      <c r="E428" s="26" t="s">
        <v>931</v>
      </c>
      <c r="F428" s="26" t="s">
        <v>1722</v>
      </c>
      <c r="G428" s="26">
        <f t="shared" si="6"/>
        <v>13497.01</v>
      </c>
    </row>
    <row r="429" spans="1:7" x14ac:dyDescent="0.2">
      <c r="A429" s="26">
        <v>33</v>
      </c>
      <c r="B429" s="26">
        <v>18</v>
      </c>
      <c r="C429" s="26">
        <v>51</v>
      </c>
      <c r="D429" s="26" t="s">
        <v>1390</v>
      </c>
      <c r="E429" s="26" t="s">
        <v>932</v>
      </c>
      <c r="F429" s="26" t="s">
        <v>1508</v>
      </c>
      <c r="G429" s="26">
        <f t="shared" si="6"/>
        <v>-7797.01</v>
      </c>
    </row>
    <row r="430" spans="1:7" x14ac:dyDescent="0.2">
      <c r="A430" s="26">
        <v>32</v>
      </c>
      <c r="B430" s="26">
        <v>19</v>
      </c>
      <c r="C430" s="26">
        <v>51</v>
      </c>
      <c r="D430" s="26" t="s">
        <v>1391</v>
      </c>
      <c r="E430" s="26" t="s">
        <v>1771</v>
      </c>
      <c r="F430" s="26" t="s">
        <v>1728</v>
      </c>
      <c r="G430" s="26">
        <f t="shared" si="6"/>
        <v>-22002.01</v>
      </c>
    </row>
    <row r="431" spans="1:7" x14ac:dyDescent="0.2">
      <c r="A431" s="26">
        <v>31</v>
      </c>
      <c r="B431" s="26">
        <v>20</v>
      </c>
      <c r="C431" s="26">
        <v>51</v>
      </c>
      <c r="D431" s="26" t="s">
        <v>1392</v>
      </c>
      <c r="E431" s="26">
        <v>-35863.250999999997</v>
      </c>
      <c r="F431" s="26">
        <v>93.793000000000006</v>
      </c>
      <c r="G431" s="26">
        <f t="shared" si="6"/>
        <v>-35863.250999999997</v>
      </c>
    </row>
    <row r="432" spans="1:7" x14ac:dyDescent="0.2">
      <c r="A432" s="26">
        <v>30</v>
      </c>
      <c r="B432" s="26">
        <v>21</v>
      </c>
      <c r="C432" s="26">
        <v>51</v>
      </c>
      <c r="D432" s="26" t="s">
        <v>1393</v>
      </c>
      <c r="E432" s="26">
        <v>-43218.184000000001</v>
      </c>
      <c r="F432" s="26">
        <v>20.411999999999999</v>
      </c>
      <c r="G432" s="26">
        <f t="shared" si="6"/>
        <v>-43218.184000000001</v>
      </c>
    </row>
    <row r="433" spans="1:7" x14ac:dyDescent="0.2">
      <c r="A433" s="26">
        <v>29</v>
      </c>
      <c r="B433" s="26">
        <v>22</v>
      </c>
      <c r="C433" s="26">
        <v>51</v>
      </c>
      <c r="D433" s="26" t="s">
        <v>1394</v>
      </c>
      <c r="E433" s="26">
        <v>-49727.849000000002</v>
      </c>
      <c r="F433" s="26">
        <v>0.95799999999999996</v>
      </c>
      <c r="G433" s="26">
        <f t="shared" si="6"/>
        <v>-49727.849000000002</v>
      </c>
    </row>
    <row r="434" spans="1:7" x14ac:dyDescent="0.2">
      <c r="A434" s="26">
        <v>28</v>
      </c>
      <c r="B434" s="26">
        <v>23</v>
      </c>
      <c r="C434" s="26">
        <v>51</v>
      </c>
      <c r="D434" s="26" t="s">
        <v>1395</v>
      </c>
      <c r="E434" s="26">
        <v>-52201.383000000002</v>
      </c>
      <c r="F434" s="26">
        <v>1.0009999999999999</v>
      </c>
      <c r="G434" s="26">
        <f t="shared" si="6"/>
        <v>-52201.383000000002</v>
      </c>
    </row>
    <row r="435" spans="1:7" x14ac:dyDescent="0.2">
      <c r="A435" s="26">
        <v>27</v>
      </c>
      <c r="B435" s="26">
        <v>24</v>
      </c>
      <c r="C435" s="26">
        <v>51</v>
      </c>
      <c r="D435" s="26" t="s">
        <v>1396</v>
      </c>
      <c r="E435" s="26">
        <v>-51448.807000000001</v>
      </c>
      <c r="F435" s="26">
        <v>1.0009999999999999</v>
      </c>
      <c r="G435" s="26">
        <f t="shared" si="6"/>
        <v>-51448.807000000001</v>
      </c>
    </row>
    <row r="436" spans="1:7" x14ac:dyDescent="0.2">
      <c r="A436" s="26">
        <v>26</v>
      </c>
      <c r="B436" s="26">
        <v>25</v>
      </c>
      <c r="C436" s="26">
        <v>51</v>
      </c>
      <c r="D436" s="26" t="s">
        <v>1397</v>
      </c>
      <c r="E436" s="26">
        <v>-48241.341</v>
      </c>
      <c r="F436" s="26">
        <v>0.998</v>
      </c>
      <c r="G436" s="26">
        <f t="shared" si="6"/>
        <v>-48241.341</v>
      </c>
    </row>
    <row r="437" spans="1:7" x14ac:dyDescent="0.2">
      <c r="A437" s="26">
        <v>25</v>
      </c>
      <c r="B437" s="26">
        <v>26</v>
      </c>
      <c r="C437" s="26">
        <v>51</v>
      </c>
      <c r="D437" s="26" t="s">
        <v>1398</v>
      </c>
      <c r="E437" s="26">
        <v>-40222.341</v>
      </c>
      <c r="F437" s="26">
        <v>15.016</v>
      </c>
      <c r="G437" s="26">
        <f t="shared" si="6"/>
        <v>-40222.341</v>
      </c>
    </row>
    <row r="438" spans="1:7" x14ac:dyDescent="0.2">
      <c r="A438" s="26">
        <v>24</v>
      </c>
      <c r="B438" s="26">
        <v>27</v>
      </c>
      <c r="C438" s="26">
        <v>51</v>
      </c>
      <c r="D438" s="26" t="s">
        <v>1399</v>
      </c>
      <c r="E438" s="26" t="s">
        <v>1772</v>
      </c>
      <c r="F438" s="26" t="s">
        <v>1773</v>
      </c>
      <c r="G438" s="26">
        <f t="shared" si="6"/>
        <v>-27274.01</v>
      </c>
    </row>
    <row r="439" spans="1:7" x14ac:dyDescent="0.2">
      <c r="A439" s="26">
        <v>23</v>
      </c>
      <c r="B439" s="26">
        <v>28</v>
      </c>
      <c r="C439" s="26">
        <v>51</v>
      </c>
      <c r="D439" s="26" t="s">
        <v>1400</v>
      </c>
      <c r="E439" s="26" t="s">
        <v>1774</v>
      </c>
      <c r="F439" s="26" t="s">
        <v>1761</v>
      </c>
      <c r="G439" s="26">
        <f t="shared" si="6"/>
        <v>-11439.01</v>
      </c>
    </row>
    <row r="440" spans="1:7" x14ac:dyDescent="0.2">
      <c r="A440" s="26">
        <v>34</v>
      </c>
      <c r="B440" s="26">
        <v>18</v>
      </c>
      <c r="C440" s="26">
        <v>52</v>
      </c>
      <c r="D440" s="26" t="s">
        <v>1390</v>
      </c>
      <c r="E440" s="26" t="s">
        <v>933</v>
      </c>
      <c r="F440" s="26" t="s">
        <v>1731</v>
      </c>
      <c r="G440" s="26">
        <f t="shared" si="6"/>
        <v>-2999.01</v>
      </c>
    </row>
    <row r="441" spans="1:7" x14ac:dyDescent="0.2">
      <c r="A441" s="26">
        <v>33</v>
      </c>
      <c r="B441" s="26">
        <v>19</v>
      </c>
      <c r="C441" s="26">
        <v>52</v>
      </c>
      <c r="D441" s="26" t="s">
        <v>1391</v>
      </c>
      <c r="E441" s="26" t="s">
        <v>1775</v>
      </c>
      <c r="F441" s="26" t="s">
        <v>1508</v>
      </c>
      <c r="G441" s="26">
        <f t="shared" si="6"/>
        <v>-16199.01</v>
      </c>
    </row>
    <row r="442" spans="1:7" x14ac:dyDescent="0.2">
      <c r="A442" s="26">
        <v>32</v>
      </c>
      <c r="B442" s="26">
        <v>20</v>
      </c>
      <c r="C442" s="26">
        <v>52</v>
      </c>
      <c r="D442" s="26" t="s">
        <v>1392</v>
      </c>
      <c r="E442" s="26">
        <v>-32509.141</v>
      </c>
      <c r="F442" s="26">
        <v>698.62099999999998</v>
      </c>
      <c r="G442" s="26">
        <f t="shared" si="6"/>
        <v>-32509.141</v>
      </c>
    </row>
    <row r="443" spans="1:7" x14ac:dyDescent="0.2">
      <c r="A443" s="26">
        <v>31</v>
      </c>
      <c r="B443" s="26">
        <v>21</v>
      </c>
      <c r="C443" s="26">
        <v>52</v>
      </c>
      <c r="D443" s="26" t="s">
        <v>1393</v>
      </c>
      <c r="E443" s="26">
        <v>-40356.540999999997</v>
      </c>
      <c r="F443" s="26">
        <v>193.27099999999999</v>
      </c>
      <c r="G443" s="26">
        <f t="shared" si="6"/>
        <v>-40356.540999999997</v>
      </c>
    </row>
    <row r="444" spans="1:7" x14ac:dyDescent="0.2">
      <c r="A444" s="26">
        <v>30</v>
      </c>
      <c r="B444" s="26">
        <v>22</v>
      </c>
      <c r="C444" s="26">
        <v>52</v>
      </c>
      <c r="D444" s="26" t="s">
        <v>1394</v>
      </c>
      <c r="E444" s="26">
        <v>-49464.837</v>
      </c>
      <c r="F444" s="26">
        <v>7.1189999999999998</v>
      </c>
      <c r="G444" s="26">
        <f t="shared" si="6"/>
        <v>-49464.837</v>
      </c>
    </row>
    <row r="445" spans="1:7" x14ac:dyDescent="0.2">
      <c r="A445" s="26">
        <v>29</v>
      </c>
      <c r="B445" s="26">
        <v>23</v>
      </c>
      <c r="C445" s="26">
        <v>52</v>
      </c>
      <c r="D445" s="26" t="s">
        <v>1395</v>
      </c>
      <c r="E445" s="26">
        <v>-51441.31</v>
      </c>
      <c r="F445" s="26">
        <v>1.0089999999999999</v>
      </c>
      <c r="G445" s="26">
        <f t="shared" si="6"/>
        <v>-51441.31</v>
      </c>
    </row>
    <row r="446" spans="1:7" x14ac:dyDescent="0.2">
      <c r="A446" s="26">
        <v>28</v>
      </c>
      <c r="B446" s="26">
        <v>24</v>
      </c>
      <c r="C446" s="26">
        <v>52</v>
      </c>
      <c r="D446" s="26" t="s">
        <v>1396</v>
      </c>
      <c r="E446" s="26">
        <v>-55416.932999999997</v>
      </c>
      <c r="F446" s="26">
        <v>0.77900000000000003</v>
      </c>
      <c r="G446" s="26">
        <f t="shared" si="6"/>
        <v>-55416.932999999997</v>
      </c>
    </row>
    <row r="447" spans="1:7" x14ac:dyDescent="0.2">
      <c r="A447" s="26">
        <v>27</v>
      </c>
      <c r="B447" s="26">
        <v>25</v>
      </c>
      <c r="C447" s="26">
        <v>52</v>
      </c>
      <c r="D447" s="26" t="s">
        <v>1397</v>
      </c>
      <c r="E447" s="26">
        <v>-50705.444000000003</v>
      </c>
      <c r="F447" s="26">
        <v>1.9610000000000001</v>
      </c>
      <c r="G447" s="26">
        <f t="shared" si="6"/>
        <v>-50705.444000000003</v>
      </c>
    </row>
    <row r="448" spans="1:7" x14ac:dyDescent="0.2">
      <c r="A448" s="26">
        <v>26</v>
      </c>
      <c r="B448" s="26">
        <v>26</v>
      </c>
      <c r="C448" s="26">
        <v>52</v>
      </c>
      <c r="D448" s="26" t="s">
        <v>1398</v>
      </c>
      <c r="E448" s="26">
        <v>-48331.614999999998</v>
      </c>
      <c r="F448" s="26">
        <v>6.5469999999999997</v>
      </c>
      <c r="G448" s="26">
        <f t="shared" si="6"/>
        <v>-48331.614999999998</v>
      </c>
    </row>
    <row r="449" spans="1:7" x14ac:dyDescent="0.2">
      <c r="A449" s="26">
        <v>25</v>
      </c>
      <c r="B449" s="26">
        <v>27</v>
      </c>
      <c r="C449" s="26">
        <v>52</v>
      </c>
      <c r="D449" s="26" t="s">
        <v>1399</v>
      </c>
      <c r="E449" s="26" t="s">
        <v>1776</v>
      </c>
      <c r="F449" s="26" t="s">
        <v>1777</v>
      </c>
      <c r="G449" s="26">
        <f t="shared" si="6"/>
        <v>-33916.01</v>
      </c>
    </row>
    <row r="450" spans="1:7" x14ac:dyDescent="0.2">
      <c r="A450" s="26">
        <v>24</v>
      </c>
      <c r="B450" s="26">
        <v>28</v>
      </c>
      <c r="C450" s="26">
        <v>52</v>
      </c>
      <c r="D450" s="26" t="s">
        <v>1400</v>
      </c>
      <c r="E450" s="26" t="s">
        <v>1778</v>
      </c>
      <c r="F450" s="26" t="s">
        <v>1509</v>
      </c>
      <c r="G450" s="26">
        <f t="shared" si="6"/>
        <v>-22654.01</v>
      </c>
    </row>
    <row r="451" spans="1:7" x14ac:dyDescent="0.2">
      <c r="A451" s="26">
        <v>23</v>
      </c>
      <c r="B451" s="26">
        <v>29</v>
      </c>
      <c r="C451" s="26">
        <v>52</v>
      </c>
      <c r="D451" s="26" t="s">
        <v>1401</v>
      </c>
      <c r="E451" s="26" t="s">
        <v>1779</v>
      </c>
      <c r="F451" s="26" t="s">
        <v>1761</v>
      </c>
      <c r="G451" s="26">
        <f t="shared" si="6"/>
        <v>-2627.01</v>
      </c>
    </row>
    <row r="452" spans="1:7" x14ac:dyDescent="0.2">
      <c r="A452" s="26">
        <v>35</v>
      </c>
      <c r="B452" s="26">
        <v>18</v>
      </c>
      <c r="C452" s="26">
        <v>53</v>
      </c>
      <c r="D452" s="26" t="s">
        <v>1390</v>
      </c>
      <c r="E452" s="26" t="s">
        <v>1523</v>
      </c>
      <c r="F452" s="26" t="s">
        <v>1722</v>
      </c>
      <c r="G452" s="26">
        <f t="shared" si="6"/>
        <v>4602.01</v>
      </c>
    </row>
    <row r="453" spans="1:7" x14ac:dyDescent="0.2">
      <c r="A453" s="26">
        <v>34</v>
      </c>
      <c r="B453" s="26">
        <v>19</v>
      </c>
      <c r="C453" s="26">
        <v>53</v>
      </c>
      <c r="D453" s="26" t="s">
        <v>1391</v>
      </c>
      <c r="E453" s="26" t="s">
        <v>1781</v>
      </c>
      <c r="F453" s="26" t="s">
        <v>1508</v>
      </c>
      <c r="G453" s="26">
        <f t="shared" si="6"/>
        <v>-11998.01</v>
      </c>
    </row>
    <row r="454" spans="1:7" x14ac:dyDescent="0.2">
      <c r="A454" s="26">
        <v>33</v>
      </c>
      <c r="B454" s="26">
        <v>20</v>
      </c>
      <c r="C454" s="26">
        <v>53</v>
      </c>
      <c r="D454" s="26" t="s">
        <v>1392</v>
      </c>
      <c r="E454" s="26" t="s">
        <v>1782</v>
      </c>
      <c r="F454" s="26" t="s">
        <v>1728</v>
      </c>
      <c r="G454" s="26">
        <f t="shared" si="6"/>
        <v>-27898.01</v>
      </c>
    </row>
    <row r="455" spans="1:7" x14ac:dyDescent="0.2">
      <c r="A455" s="26">
        <v>32</v>
      </c>
      <c r="B455" s="26">
        <v>21</v>
      </c>
      <c r="C455" s="26">
        <v>53</v>
      </c>
      <c r="D455" s="26" t="s">
        <v>1393</v>
      </c>
      <c r="E455" s="26" t="s">
        <v>1371</v>
      </c>
      <c r="F455" s="26" t="s">
        <v>1730</v>
      </c>
      <c r="G455" s="26">
        <f t="shared" si="6"/>
        <v>-37623.01</v>
      </c>
    </row>
    <row r="456" spans="1:7" x14ac:dyDescent="0.2">
      <c r="A456" s="26">
        <v>31</v>
      </c>
      <c r="B456" s="26">
        <v>22</v>
      </c>
      <c r="C456" s="26">
        <v>53</v>
      </c>
      <c r="D456" s="26" t="s">
        <v>1394</v>
      </c>
      <c r="E456" s="26">
        <v>-46828.839</v>
      </c>
      <c r="F456" s="26">
        <v>100.051</v>
      </c>
      <c r="G456" s="26">
        <f t="shared" si="6"/>
        <v>-46828.839</v>
      </c>
    </row>
    <row r="457" spans="1:7" x14ac:dyDescent="0.2">
      <c r="A457" s="26">
        <v>30</v>
      </c>
      <c r="B457" s="26">
        <v>23</v>
      </c>
      <c r="C457" s="26">
        <v>53</v>
      </c>
      <c r="D457" s="26" t="s">
        <v>1395</v>
      </c>
      <c r="E457" s="26">
        <v>-51848.839</v>
      </c>
      <c r="F457" s="26">
        <v>3.1930000000000001</v>
      </c>
      <c r="G457" s="26">
        <f t="shared" si="6"/>
        <v>-51848.839</v>
      </c>
    </row>
    <row r="458" spans="1:7" x14ac:dyDescent="0.2">
      <c r="A458" s="26">
        <v>29</v>
      </c>
      <c r="B458" s="26">
        <v>24</v>
      </c>
      <c r="C458" s="26">
        <v>53</v>
      </c>
      <c r="D458" s="26" t="s">
        <v>1396</v>
      </c>
      <c r="E458" s="26">
        <v>-55284.741000000002</v>
      </c>
      <c r="F458" s="26">
        <v>0.77100000000000002</v>
      </c>
      <c r="G458" s="26">
        <f t="shared" ref="G458:G521" si="7">IF(ISNUMBER(E458),E458,VALUE(SUBSTITUTE(E458,"#",".01")))</f>
        <v>-55284.741000000002</v>
      </c>
    </row>
    <row r="459" spans="1:7" x14ac:dyDescent="0.2">
      <c r="A459" s="26">
        <v>28</v>
      </c>
      <c r="B459" s="26">
        <v>25</v>
      </c>
      <c r="C459" s="26">
        <v>53</v>
      </c>
      <c r="D459" s="26" t="s">
        <v>1397</v>
      </c>
      <c r="E459" s="26">
        <v>-54687.904000000002</v>
      </c>
      <c r="F459" s="26">
        <v>0.81699999999999995</v>
      </c>
      <c r="G459" s="26">
        <f t="shared" si="7"/>
        <v>-54687.904000000002</v>
      </c>
    </row>
    <row r="460" spans="1:7" x14ac:dyDescent="0.2">
      <c r="A460" s="26">
        <v>27</v>
      </c>
      <c r="B460" s="26">
        <v>26</v>
      </c>
      <c r="C460" s="26">
        <v>53</v>
      </c>
      <c r="D460" s="26" t="s">
        <v>1398</v>
      </c>
      <c r="E460" s="26">
        <v>-50945.322999999997</v>
      </c>
      <c r="F460" s="26">
        <v>1.7729999999999999</v>
      </c>
      <c r="G460" s="26">
        <f t="shared" si="7"/>
        <v>-50945.322999999997</v>
      </c>
    </row>
    <row r="461" spans="1:7" x14ac:dyDescent="0.2">
      <c r="A461" s="26">
        <v>26</v>
      </c>
      <c r="B461" s="26">
        <v>27</v>
      </c>
      <c r="C461" s="26">
        <v>53</v>
      </c>
      <c r="D461" s="26" t="s">
        <v>1399</v>
      </c>
      <c r="E461" s="26">
        <v>-42644.824000000001</v>
      </c>
      <c r="F461" s="26">
        <v>18.010000000000002</v>
      </c>
      <c r="G461" s="26">
        <f t="shared" si="7"/>
        <v>-42644.824000000001</v>
      </c>
    </row>
    <row r="462" spans="1:7" x14ac:dyDescent="0.2">
      <c r="A462" s="26">
        <v>25</v>
      </c>
      <c r="B462" s="26">
        <v>28</v>
      </c>
      <c r="C462" s="26">
        <v>53</v>
      </c>
      <c r="D462" s="26" t="s">
        <v>1400</v>
      </c>
      <c r="E462" s="26" t="s">
        <v>934</v>
      </c>
      <c r="F462" s="26" t="s">
        <v>1759</v>
      </c>
      <c r="G462" s="26">
        <f t="shared" si="7"/>
        <v>-29370.01</v>
      </c>
    </row>
    <row r="463" spans="1:7" x14ac:dyDescent="0.2">
      <c r="A463" s="26">
        <v>24</v>
      </c>
      <c r="B463" s="26">
        <v>29</v>
      </c>
      <c r="C463" s="26">
        <v>53</v>
      </c>
      <c r="D463" s="26" t="s">
        <v>1401</v>
      </c>
      <c r="E463" s="26" t="s">
        <v>1546</v>
      </c>
      <c r="F463" s="26" t="s">
        <v>1761</v>
      </c>
      <c r="G463" s="26">
        <f t="shared" si="7"/>
        <v>-13460.01</v>
      </c>
    </row>
    <row r="464" spans="1:7" x14ac:dyDescent="0.2">
      <c r="A464" s="26">
        <v>35</v>
      </c>
      <c r="B464" s="26">
        <v>19</v>
      </c>
      <c r="C464" s="26">
        <v>54</v>
      </c>
      <c r="D464" s="26" t="s">
        <v>1391</v>
      </c>
      <c r="E464" s="26" t="s">
        <v>935</v>
      </c>
      <c r="F464" s="26" t="s">
        <v>1731</v>
      </c>
      <c r="G464" s="26">
        <f t="shared" si="7"/>
        <v>-5403.01</v>
      </c>
    </row>
    <row r="465" spans="1:7" x14ac:dyDescent="0.2">
      <c r="A465" s="26">
        <v>34</v>
      </c>
      <c r="B465" s="26">
        <v>20</v>
      </c>
      <c r="C465" s="26">
        <v>54</v>
      </c>
      <c r="D465" s="26" t="s">
        <v>1392</v>
      </c>
      <c r="E465" s="26" t="s">
        <v>936</v>
      </c>
      <c r="F465" s="26" t="s">
        <v>1508</v>
      </c>
      <c r="G465" s="26">
        <f t="shared" si="7"/>
        <v>-23893.01</v>
      </c>
    </row>
    <row r="466" spans="1:7" x14ac:dyDescent="0.2">
      <c r="A466" s="26">
        <v>33</v>
      </c>
      <c r="B466" s="26">
        <v>21</v>
      </c>
      <c r="C466" s="26">
        <v>54</v>
      </c>
      <c r="D466" s="26" t="s">
        <v>1393</v>
      </c>
      <c r="E466" s="26">
        <v>-34218.841</v>
      </c>
      <c r="F466" s="26">
        <v>370.13799999999998</v>
      </c>
      <c r="G466" s="26">
        <f t="shared" si="7"/>
        <v>-34218.841</v>
      </c>
    </row>
    <row r="467" spans="1:7" x14ac:dyDescent="0.2">
      <c r="A467" s="26">
        <v>32</v>
      </c>
      <c r="B467" s="26">
        <v>22</v>
      </c>
      <c r="C467" s="26">
        <v>54</v>
      </c>
      <c r="D467" s="26" t="s">
        <v>1394</v>
      </c>
      <c r="E467" s="26">
        <v>-45594.394999999997</v>
      </c>
      <c r="F467" s="26">
        <v>124.717</v>
      </c>
      <c r="G467" s="26">
        <f t="shared" si="7"/>
        <v>-45594.394999999997</v>
      </c>
    </row>
    <row r="468" spans="1:7" x14ac:dyDescent="0.2">
      <c r="A468" s="26">
        <v>31</v>
      </c>
      <c r="B468" s="26">
        <v>23</v>
      </c>
      <c r="C468" s="26">
        <v>54</v>
      </c>
      <c r="D468" s="26" t="s">
        <v>1395</v>
      </c>
      <c r="E468" s="26">
        <v>-49890.953999999998</v>
      </c>
      <c r="F468" s="26">
        <v>15.02</v>
      </c>
      <c r="G468" s="26">
        <f t="shared" si="7"/>
        <v>-49890.953999999998</v>
      </c>
    </row>
    <row r="469" spans="1:7" x14ac:dyDescent="0.2">
      <c r="A469" s="26">
        <v>30</v>
      </c>
      <c r="B469" s="26">
        <v>24</v>
      </c>
      <c r="C469" s="26">
        <v>54</v>
      </c>
      <c r="D469" s="26" t="s">
        <v>1396</v>
      </c>
      <c r="E469" s="26">
        <v>-56932.544999999998</v>
      </c>
      <c r="F469" s="26">
        <v>0.76500000000000001</v>
      </c>
      <c r="G469" s="26">
        <f t="shared" si="7"/>
        <v>-56932.544999999998</v>
      </c>
    </row>
    <row r="470" spans="1:7" x14ac:dyDescent="0.2">
      <c r="A470" s="26">
        <v>29</v>
      </c>
      <c r="B470" s="26">
        <v>25</v>
      </c>
      <c r="C470" s="26">
        <v>54</v>
      </c>
      <c r="D470" s="26" t="s">
        <v>1397</v>
      </c>
      <c r="E470" s="26">
        <v>-55555.37</v>
      </c>
      <c r="F470" s="26">
        <v>1.2629999999999999</v>
      </c>
      <c r="G470" s="26">
        <f t="shared" si="7"/>
        <v>-55555.37</v>
      </c>
    </row>
    <row r="471" spans="1:7" x14ac:dyDescent="0.2">
      <c r="A471" s="26">
        <v>28</v>
      </c>
      <c r="B471" s="26">
        <v>26</v>
      </c>
      <c r="C471" s="26">
        <v>54</v>
      </c>
      <c r="D471" s="26" t="s">
        <v>1398</v>
      </c>
      <c r="E471" s="26">
        <v>-56252.455999999998</v>
      </c>
      <c r="F471" s="26">
        <v>0.69</v>
      </c>
      <c r="G471" s="26">
        <f t="shared" si="7"/>
        <v>-56252.455999999998</v>
      </c>
    </row>
    <row r="472" spans="1:7" x14ac:dyDescent="0.2">
      <c r="A472" s="26">
        <v>27</v>
      </c>
      <c r="B472" s="26">
        <v>27</v>
      </c>
      <c r="C472" s="26">
        <v>54</v>
      </c>
      <c r="D472" s="26" t="s">
        <v>1399</v>
      </c>
      <c r="E472" s="26">
        <v>-48009.540999999997</v>
      </c>
      <c r="F472" s="26">
        <v>0.71699999999999997</v>
      </c>
      <c r="G472" s="26">
        <f t="shared" si="7"/>
        <v>-48009.540999999997</v>
      </c>
    </row>
    <row r="473" spans="1:7" x14ac:dyDescent="0.2">
      <c r="A473" s="26">
        <v>26</v>
      </c>
      <c r="B473" s="26">
        <v>28</v>
      </c>
      <c r="C473" s="26">
        <v>54</v>
      </c>
      <c r="D473" s="26" t="s">
        <v>1400</v>
      </c>
      <c r="E473" s="26">
        <v>-39210.779000000002</v>
      </c>
      <c r="F473" s="26">
        <v>50.003999999999998</v>
      </c>
      <c r="G473" s="26">
        <f t="shared" si="7"/>
        <v>-39210.779000000002</v>
      </c>
    </row>
    <row r="474" spans="1:7" x14ac:dyDescent="0.2">
      <c r="A474" s="26">
        <v>25</v>
      </c>
      <c r="B474" s="26">
        <v>29</v>
      </c>
      <c r="C474" s="26">
        <v>54</v>
      </c>
      <c r="D474" s="26" t="s">
        <v>1401</v>
      </c>
      <c r="E474" s="26" t="s">
        <v>1547</v>
      </c>
      <c r="F474" s="26" t="s">
        <v>1548</v>
      </c>
      <c r="G474" s="26">
        <f t="shared" si="7"/>
        <v>-21694.01</v>
      </c>
    </row>
    <row r="475" spans="1:7" x14ac:dyDescent="0.2">
      <c r="A475" s="26">
        <v>24</v>
      </c>
      <c r="B475" s="26">
        <v>30</v>
      </c>
      <c r="C475" s="26">
        <v>54</v>
      </c>
      <c r="D475" s="26" t="s">
        <v>1402</v>
      </c>
      <c r="E475" s="26" t="s">
        <v>1549</v>
      </c>
      <c r="F475" s="26" t="s">
        <v>1723</v>
      </c>
      <c r="G475" s="26">
        <f t="shared" si="7"/>
        <v>-6567.01</v>
      </c>
    </row>
    <row r="476" spans="1:7" x14ac:dyDescent="0.2">
      <c r="A476" s="26">
        <v>36</v>
      </c>
      <c r="B476" s="26">
        <v>19</v>
      </c>
      <c r="C476" s="26">
        <v>55</v>
      </c>
      <c r="D476" s="26" t="s">
        <v>1391</v>
      </c>
      <c r="E476" s="26" t="s">
        <v>937</v>
      </c>
      <c r="F476" s="26" t="s">
        <v>1722</v>
      </c>
      <c r="G476" s="26">
        <f t="shared" si="7"/>
        <v>-270.01</v>
      </c>
    </row>
    <row r="477" spans="1:7" x14ac:dyDescent="0.2">
      <c r="A477" s="26">
        <v>35</v>
      </c>
      <c r="B477" s="26">
        <v>20</v>
      </c>
      <c r="C477" s="26">
        <v>55</v>
      </c>
      <c r="D477" s="26" t="s">
        <v>1392</v>
      </c>
      <c r="E477" s="26" t="s">
        <v>1550</v>
      </c>
      <c r="F477" s="26" t="s">
        <v>1508</v>
      </c>
      <c r="G477" s="26">
        <f t="shared" si="7"/>
        <v>-18118.009999999998</v>
      </c>
    </row>
    <row r="478" spans="1:7" x14ac:dyDescent="0.2">
      <c r="A478" s="26">
        <v>34</v>
      </c>
      <c r="B478" s="26">
        <v>21</v>
      </c>
      <c r="C478" s="26">
        <v>55</v>
      </c>
      <c r="D478" s="26" t="s">
        <v>1393</v>
      </c>
      <c r="E478" s="26">
        <v>-29580.571</v>
      </c>
      <c r="F478" s="26">
        <v>735.97900000000004</v>
      </c>
      <c r="G478" s="26">
        <f t="shared" si="7"/>
        <v>-29580.571</v>
      </c>
    </row>
    <row r="479" spans="1:7" x14ac:dyDescent="0.2">
      <c r="A479" s="26">
        <v>33</v>
      </c>
      <c r="B479" s="26">
        <v>22</v>
      </c>
      <c r="C479" s="26">
        <v>55</v>
      </c>
      <c r="D479" s="26" t="s">
        <v>1394</v>
      </c>
      <c r="E479" s="26">
        <v>-41670.332000000002</v>
      </c>
      <c r="F479" s="26">
        <v>152.102</v>
      </c>
      <c r="G479" s="26">
        <f t="shared" si="7"/>
        <v>-41670.332000000002</v>
      </c>
    </row>
    <row r="480" spans="1:7" x14ac:dyDescent="0.2">
      <c r="A480" s="26">
        <v>32</v>
      </c>
      <c r="B480" s="26">
        <v>23</v>
      </c>
      <c r="C480" s="26">
        <v>55</v>
      </c>
      <c r="D480" s="26" t="s">
        <v>1395</v>
      </c>
      <c r="E480" s="26">
        <v>-49151.491000000002</v>
      </c>
      <c r="F480" s="26">
        <v>100.003</v>
      </c>
      <c r="G480" s="26">
        <f t="shared" si="7"/>
        <v>-49151.491000000002</v>
      </c>
    </row>
    <row r="481" spans="1:7" x14ac:dyDescent="0.2">
      <c r="A481" s="26">
        <v>31</v>
      </c>
      <c r="B481" s="26">
        <v>24</v>
      </c>
      <c r="C481" s="26">
        <v>55</v>
      </c>
      <c r="D481" s="26" t="s">
        <v>1396</v>
      </c>
      <c r="E481" s="26">
        <v>-55107.491000000002</v>
      </c>
      <c r="F481" s="26">
        <v>0.78800000000000003</v>
      </c>
      <c r="G481" s="26">
        <f t="shared" si="7"/>
        <v>-55107.491000000002</v>
      </c>
    </row>
    <row r="482" spans="1:7" x14ac:dyDescent="0.2">
      <c r="A482" s="26">
        <v>30</v>
      </c>
      <c r="B482" s="26">
        <v>25</v>
      </c>
      <c r="C482" s="26">
        <v>55</v>
      </c>
      <c r="D482" s="26" t="s">
        <v>1397</v>
      </c>
      <c r="E482" s="26">
        <v>-57710.58</v>
      </c>
      <c r="F482" s="26">
        <v>0.68</v>
      </c>
      <c r="G482" s="26">
        <f t="shared" si="7"/>
        <v>-57710.58</v>
      </c>
    </row>
    <row r="483" spans="1:7" x14ac:dyDescent="0.2">
      <c r="A483" s="26">
        <v>29</v>
      </c>
      <c r="B483" s="26">
        <v>26</v>
      </c>
      <c r="C483" s="26">
        <v>55</v>
      </c>
      <c r="D483" s="26" t="s">
        <v>1398</v>
      </c>
      <c r="E483" s="26">
        <v>-57479.368000000002</v>
      </c>
      <c r="F483" s="26">
        <v>0.68600000000000005</v>
      </c>
      <c r="G483" s="26">
        <f t="shared" si="7"/>
        <v>-57479.368000000002</v>
      </c>
    </row>
    <row r="484" spans="1:7" x14ac:dyDescent="0.2">
      <c r="A484" s="26">
        <v>28</v>
      </c>
      <c r="B484" s="26">
        <v>27</v>
      </c>
      <c r="C484" s="26">
        <v>55</v>
      </c>
      <c r="D484" s="26" t="s">
        <v>1399</v>
      </c>
      <c r="E484" s="26">
        <v>-54027.557000000001</v>
      </c>
      <c r="F484" s="26">
        <v>0.73</v>
      </c>
      <c r="G484" s="26">
        <f t="shared" si="7"/>
        <v>-54027.557000000001</v>
      </c>
    </row>
    <row r="485" spans="1:7" x14ac:dyDescent="0.2">
      <c r="A485" s="26">
        <v>27</v>
      </c>
      <c r="B485" s="26">
        <v>28</v>
      </c>
      <c r="C485" s="26">
        <v>55</v>
      </c>
      <c r="D485" s="26" t="s">
        <v>1400</v>
      </c>
      <c r="E485" s="26">
        <v>-45335.578999999998</v>
      </c>
      <c r="F485" s="26">
        <v>11.016999999999999</v>
      </c>
      <c r="G485" s="26">
        <f t="shared" si="7"/>
        <v>-45335.578999999998</v>
      </c>
    </row>
    <row r="486" spans="1:7" x14ac:dyDescent="0.2">
      <c r="A486" s="26">
        <v>26</v>
      </c>
      <c r="B486" s="26">
        <v>29</v>
      </c>
      <c r="C486" s="26">
        <v>55</v>
      </c>
      <c r="D486" s="26" t="s">
        <v>1401</v>
      </c>
      <c r="E486" s="26" t="s">
        <v>1551</v>
      </c>
      <c r="F486" s="26" t="s">
        <v>1730</v>
      </c>
      <c r="G486" s="26">
        <f t="shared" si="7"/>
        <v>-31624.01</v>
      </c>
    </row>
    <row r="487" spans="1:7" x14ac:dyDescent="0.2">
      <c r="A487" s="26">
        <v>25</v>
      </c>
      <c r="B487" s="26">
        <v>30</v>
      </c>
      <c r="C487" s="26">
        <v>55</v>
      </c>
      <c r="D487" s="26" t="s">
        <v>1402</v>
      </c>
      <c r="E487" s="26" t="s">
        <v>1552</v>
      </c>
      <c r="F487" s="26" t="s">
        <v>1504</v>
      </c>
      <c r="G487" s="26">
        <f t="shared" si="7"/>
        <v>-14923.01</v>
      </c>
    </row>
    <row r="488" spans="1:7" x14ac:dyDescent="0.2">
      <c r="A488" s="26">
        <v>36</v>
      </c>
      <c r="B488" s="26">
        <v>20</v>
      </c>
      <c r="C488" s="26">
        <v>56</v>
      </c>
      <c r="D488" s="26" t="s">
        <v>1392</v>
      </c>
      <c r="E488" s="26" t="s">
        <v>938</v>
      </c>
      <c r="F488" s="26" t="s">
        <v>1731</v>
      </c>
      <c r="G488" s="26">
        <f t="shared" si="7"/>
        <v>-13441.01</v>
      </c>
    </row>
    <row r="489" spans="1:7" x14ac:dyDescent="0.2">
      <c r="A489" s="26">
        <v>35</v>
      </c>
      <c r="B489" s="26">
        <v>21</v>
      </c>
      <c r="C489" s="26">
        <v>56</v>
      </c>
      <c r="D489" s="26" t="s">
        <v>1393</v>
      </c>
      <c r="E489" s="26" t="s">
        <v>939</v>
      </c>
      <c r="F489" s="26" t="s">
        <v>1508</v>
      </c>
      <c r="G489" s="26">
        <f t="shared" si="7"/>
        <v>-25271.01</v>
      </c>
    </row>
    <row r="490" spans="1:7" x14ac:dyDescent="0.2">
      <c r="A490" s="26">
        <v>34</v>
      </c>
      <c r="B490" s="26">
        <v>22</v>
      </c>
      <c r="C490" s="26">
        <v>56</v>
      </c>
      <c r="D490" s="26" t="s">
        <v>1394</v>
      </c>
      <c r="E490" s="26">
        <v>-38936.785000000003</v>
      </c>
      <c r="F490" s="26">
        <v>195.95</v>
      </c>
      <c r="G490" s="26">
        <f t="shared" si="7"/>
        <v>-38936.785000000003</v>
      </c>
    </row>
    <row r="491" spans="1:7" x14ac:dyDescent="0.2">
      <c r="A491" s="26">
        <v>33</v>
      </c>
      <c r="B491" s="26">
        <v>23</v>
      </c>
      <c r="C491" s="26">
        <v>56</v>
      </c>
      <c r="D491" s="26" t="s">
        <v>1395</v>
      </c>
      <c r="E491" s="26">
        <v>-46080.108999999997</v>
      </c>
      <c r="F491" s="26">
        <v>204.25899999999999</v>
      </c>
      <c r="G491" s="26">
        <f t="shared" si="7"/>
        <v>-46080.108999999997</v>
      </c>
    </row>
    <row r="492" spans="1:7" x14ac:dyDescent="0.2">
      <c r="A492" s="26">
        <v>32</v>
      </c>
      <c r="B492" s="26">
        <v>24</v>
      </c>
      <c r="C492" s="26">
        <v>56</v>
      </c>
      <c r="D492" s="26" t="s">
        <v>1396</v>
      </c>
      <c r="E492" s="26">
        <v>-55281.245000000003</v>
      </c>
      <c r="F492" s="26">
        <v>1.863</v>
      </c>
      <c r="G492" s="26">
        <f t="shared" si="7"/>
        <v>-55281.245000000003</v>
      </c>
    </row>
    <row r="493" spans="1:7" x14ac:dyDescent="0.2">
      <c r="A493" s="26">
        <v>31</v>
      </c>
      <c r="B493" s="26">
        <v>25</v>
      </c>
      <c r="C493" s="26">
        <v>56</v>
      </c>
      <c r="D493" s="26" t="s">
        <v>1397</v>
      </c>
      <c r="E493" s="26">
        <v>-56909.71</v>
      </c>
      <c r="F493" s="26">
        <v>0.68700000000000006</v>
      </c>
      <c r="G493" s="26">
        <f t="shared" si="7"/>
        <v>-56909.71</v>
      </c>
    </row>
    <row r="494" spans="1:7" x14ac:dyDescent="0.2">
      <c r="A494" s="26">
        <v>30</v>
      </c>
      <c r="B494" s="26">
        <v>26</v>
      </c>
      <c r="C494" s="26">
        <v>56</v>
      </c>
      <c r="D494" s="26" t="s">
        <v>1398</v>
      </c>
      <c r="E494" s="26">
        <v>-60605.351999999999</v>
      </c>
      <c r="F494" s="26">
        <v>0.68500000000000005</v>
      </c>
      <c r="G494" s="26">
        <f t="shared" si="7"/>
        <v>-60605.351999999999</v>
      </c>
    </row>
    <row r="495" spans="1:7" x14ac:dyDescent="0.2">
      <c r="A495" s="26">
        <v>29</v>
      </c>
      <c r="B495" s="26">
        <v>27</v>
      </c>
      <c r="C495" s="26">
        <v>56</v>
      </c>
      <c r="D495" s="26" t="s">
        <v>1399</v>
      </c>
      <c r="E495" s="26">
        <v>-56039.351999999999</v>
      </c>
      <c r="F495" s="26">
        <v>2.1139999999999999</v>
      </c>
      <c r="G495" s="26">
        <f t="shared" si="7"/>
        <v>-56039.351999999999</v>
      </c>
    </row>
    <row r="496" spans="1:7" x14ac:dyDescent="0.2">
      <c r="A496" s="26">
        <v>28</v>
      </c>
      <c r="B496" s="26">
        <v>28</v>
      </c>
      <c r="C496" s="26">
        <v>56</v>
      </c>
      <c r="D496" s="26" t="s">
        <v>1400</v>
      </c>
      <c r="E496" s="26">
        <v>-53903.673999999999</v>
      </c>
      <c r="F496" s="26">
        <v>11.071999999999999</v>
      </c>
      <c r="G496" s="26">
        <f t="shared" si="7"/>
        <v>-53903.673999999999</v>
      </c>
    </row>
    <row r="497" spans="1:7" x14ac:dyDescent="0.2">
      <c r="A497" s="26">
        <v>27</v>
      </c>
      <c r="B497" s="26">
        <v>29</v>
      </c>
      <c r="C497" s="26">
        <v>56</v>
      </c>
      <c r="D497" s="26" t="s">
        <v>1401</v>
      </c>
      <c r="E497" s="26" t="s">
        <v>1553</v>
      </c>
      <c r="F497" s="26" t="s">
        <v>1554</v>
      </c>
      <c r="G497" s="26">
        <f t="shared" si="7"/>
        <v>-38601.01</v>
      </c>
    </row>
    <row r="498" spans="1:7" x14ac:dyDescent="0.2">
      <c r="A498" s="26">
        <v>26</v>
      </c>
      <c r="B498" s="26">
        <v>30</v>
      </c>
      <c r="C498" s="26">
        <v>56</v>
      </c>
      <c r="D498" s="26" t="s">
        <v>1402</v>
      </c>
      <c r="E498" s="26" t="s">
        <v>1555</v>
      </c>
      <c r="F498" s="26" t="s">
        <v>1761</v>
      </c>
      <c r="G498" s="26">
        <f t="shared" si="7"/>
        <v>-25728.01</v>
      </c>
    </row>
    <row r="499" spans="1:7" x14ac:dyDescent="0.2">
      <c r="A499" s="26">
        <v>25</v>
      </c>
      <c r="B499" s="26">
        <v>31</v>
      </c>
      <c r="C499" s="26">
        <v>56</v>
      </c>
      <c r="D499" s="26" t="s">
        <v>1403</v>
      </c>
      <c r="E499" s="26" t="s">
        <v>1556</v>
      </c>
      <c r="F499" s="26" t="s">
        <v>1761</v>
      </c>
      <c r="G499" s="26">
        <f t="shared" si="7"/>
        <v>-4741.01</v>
      </c>
    </row>
    <row r="500" spans="1:7" x14ac:dyDescent="0.2">
      <c r="A500" s="26">
        <v>37</v>
      </c>
      <c r="B500" s="26">
        <v>20</v>
      </c>
      <c r="C500" s="26">
        <v>57</v>
      </c>
      <c r="D500" s="26" t="s">
        <v>1392</v>
      </c>
      <c r="E500" s="26" t="s">
        <v>1230</v>
      </c>
      <c r="F500" s="26" t="s">
        <v>1780</v>
      </c>
      <c r="G500" s="26">
        <f t="shared" si="7"/>
        <v>-7120.01</v>
      </c>
    </row>
    <row r="501" spans="1:7" x14ac:dyDescent="0.2">
      <c r="A501" s="26">
        <v>36</v>
      </c>
      <c r="B501" s="26">
        <v>21</v>
      </c>
      <c r="C501" s="26">
        <v>57</v>
      </c>
      <c r="D501" s="26" t="s">
        <v>1393</v>
      </c>
      <c r="E501" s="26" t="s">
        <v>940</v>
      </c>
      <c r="F501" s="26" t="s">
        <v>1508</v>
      </c>
      <c r="G501" s="26">
        <f t="shared" si="7"/>
        <v>-20688.009999999998</v>
      </c>
    </row>
    <row r="502" spans="1:7" x14ac:dyDescent="0.2">
      <c r="A502" s="26">
        <v>35</v>
      </c>
      <c r="B502" s="26">
        <v>22</v>
      </c>
      <c r="C502" s="26">
        <v>57</v>
      </c>
      <c r="D502" s="26" t="s">
        <v>1394</v>
      </c>
      <c r="E502" s="26">
        <v>-33543.902999999998</v>
      </c>
      <c r="F502" s="26">
        <v>455.42399999999998</v>
      </c>
      <c r="G502" s="26">
        <f t="shared" si="7"/>
        <v>-33543.902999999998</v>
      </c>
    </row>
    <row r="503" spans="1:7" x14ac:dyDescent="0.2">
      <c r="A503" s="26">
        <v>34</v>
      </c>
      <c r="B503" s="26">
        <v>23</v>
      </c>
      <c r="C503" s="26">
        <v>57</v>
      </c>
      <c r="D503" s="26" t="s">
        <v>1395</v>
      </c>
      <c r="E503" s="26">
        <v>-44188.741999999998</v>
      </c>
      <c r="F503" s="26">
        <v>232.97900000000001</v>
      </c>
      <c r="G503" s="26">
        <f t="shared" si="7"/>
        <v>-44188.741999999998</v>
      </c>
    </row>
    <row r="504" spans="1:7" x14ac:dyDescent="0.2">
      <c r="A504" s="26">
        <v>33</v>
      </c>
      <c r="B504" s="26">
        <v>24</v>
      </c>
      <c r="C504" s="26">
        <v>57</v>
      </c>
      <c r="D504" s="26" t="s">
        <v>1396</v>
      </c>
      <c r="E504" s="26">
        <v>-52524.14</v>
      </c>
      <c r="F504" s="26">
        <v>1.863</v>
      </c>
      <c r="G504" s="26">
        <f t="shared" si="7"/>
        <v>-52524.14</v>
      </c>
    </row>
    <row r="505" spans="1:7" x14ac:dyDescent="0.2">
      <c r="A505" s="26">
        <v>32</v>
      </c>
      <c r="B505" s="26">
        <v>25</v>
      </c>
      <c r="C505" s="26">
        <v>57</v>
      </c>
      <c r="D505" s="26" t="s">
        <v>1397</v>
      </c>
      <c r="E505" s="26">
        <v>-57486.8</v>
      </c>
      <c r="F505" s="26">
        <v>1.85</v>
      </c>
      <c r="G505" s="26">
        <f t="shared" si="7"/>
        <v>-57486.8</v>
      </c>
    </row>
    <row r="506" spans="1:7" x14ac:dyDescent="0.2">
      <c r="A506" s="26">
        <v>31</v>
      </c>
      <c r="B506" s="26">
        <v>26</v>
      </c>
      <c r="C506" s="26">
        <v>57</v>
      </c>
      <c r="D506" s="26" t="s">
        <v>1398</v>
      </c>
      <c r="E506" s="26">
        <v>-60180.13</v>
      </c>
      <c r="F506" s="26">
        <v>0.68600000000000005</v>
      </c>
      <c r="G506" s="26">
        <f t="shared" si="7"/>
        <v>-60180.13</v>
      </c>
    </row>
    <row r="507" spans="1:7" x14ac:dyDescent="0.2">
      <c r="A507" s="26">
        <v>30</v>
      </c>
      <c r="B507" s="26">
        <v>27</v>
      </c>
      <c r="C507" s="26">
        <v>57</v>
      </c>
      <c r="D507" s="26" t="s">
        <v>1399</v>
      </c>
      <c r="E507" s="26">
        <v>-59344.203999999998</v>
      </c>
      <c r="F507" s="26">
        <v>0.71299999999999997</v>
      </c>
      <c r="G507" s="26">
        <f t="shared" si="7"/>
        <v>-59344.203999999998</v>
      </c>
    </row>
    <row r="508" spans="1:7" x14ac:dyDescent="0.2">
      <c r="A508" s="26">
        <v>29</v>
      </c>
      <c r="B508" s="26">
        <v>28</v>
      </c>
      <c r="C508" s="26">
        <v>57</v>
      </c>
      <c r="D508" s="26" t="s">
        <v>1400</v>
      </c>
      <c r="E508" s="26">
        <v>-56081.968999999997</v>
      </c>
      <c r="F508" s="26">
        <v>1.8140000000000001</v>
      </c>
      <c r="G508" s="26">
        <f t="shared" si="7"/>
        <v>-56081.968999999997</v>
      </c>
    </row>
    <row r="509" spans="1:7" x14ac:dyDescent="0.2">
      <c r="A509" s="26">
        <v>28</v>
      </c>
      <c r="B509" s="26">
        <v>29</v>
      </c>
      <c r="C509" s="26">
        <v>57</v>
      </c>
      <c r="D509" s="26" t="s">
        <v>1401</v>
      </c>
      <c r="E509" s="26">
        <v>-47309.576000000001</v>
      </c>
      <c r="F509" s="26">
        <v>15.657</v>
      </c>
      <c r="G509" s="26">
        <f t="shared" si="7"/>
        <v>-47309.576000000001</v>
      </c>
    </row>
    <row r="510" spans="1:7" x14ac:dyDescent="0.2">
      <c r="A510" s="26">
        <v>27</v>
      </c>
      <c r="B510" s="26">
        <v>30</v>
      </c>
      <c r="C510" s="26">
        <v>57</v>
      </c>
      <c r="D510" s="26" t="s">
        <v>1402</v>
      </c>
      <c r="E510" s="26" t="s">
        <v>941</v>
      </c>
      <c r="F510" s="26" t="s">
        <v>1516</v>
      </c>
      <c r="G510" s="26">
        <f t="shared" si="7"/>
        <v>-32800.01</v>
      </c>
    </row>
    <row r="511" spans="1:7" x14ac:dyDescent="0.2">
      <c r="A511" s="26">
        <v>26</v>
      </c>
      <c r="B511" s="26">
        <v>31</v>
      </c>
      <c r="C511" s="26">
        <v>57</v>
      </c>
      <c r="D511" s="26" t="s">
        <v>1403</v>
      </c>
      <c r="E511" s="26" t="s">
        <v>1232</v>
      </c>
      <c r="F511" s="26" t="s">
        <v>1761</v>
      </c>
      <c r="G511" s="26">
        <f t="shared" si="7"/>
        <v>-15901.01</v>
      </c>
    </row>
    <row r="512" spans="1:7" x14ac:dyDescent="0.2">
      <c r="A512" s="26">
        <v>37</v>
      </c>
      <c r="B512" s="26">
        <v>21</v>
      </c>
      <c r="C512" s="26">
        <v>58</v>
      </c>
      <c r="D512" s="26" t="s">
        <v>1393</v>
      </c>
      <c r="E512" s="26" t="s">
        <v>942</v>
      </c>
      <c r="F512" s="26" t="s">
        <v>1725</v>
      </c>
      <c r="G512" s="26">
        <f t="shared" si="7"/>
        <v>-15174.01</v>
      </c>
    </row>
    <row r="513" spans="1:7" x14ac:dyDescent="0.2">
      <c r="A513" s="26">
        <v>36</v>
      </c>
      <c r="B513" s="26">
        <v>22</v>
      </c>
      <c r="C513" s="26">
        <v>58</v>
      </c>
      <c r="D513" s="26" t="s">
        <v>1394</v>
      </c>
      <c r="E513" s="26" t="s">
        <v>943</v>
      </c>
      <c r="F513" s="26" t="s">
        <v>1508</v>
      </c>
      <c r="G513" s="26">
        <f t="shared" si="7"/>
        <v>-30767.01</v>
      </c>
    </row>
    <row r="514" spans="1:7" x14ac:dyDescent="0.2">
      <c r="A514" s="26">
        <v>35</v>
      </c>
      <c r="B514" s="26">
        <v>23</v>
      </c>
      <c r="C514" s="26">
        <v>58</v>
      </c>
      <c r="D514" s="26" t="s">
        <v>1395</v>
      </c>
      <c r="E514" s="26">
        <v>-40208.743000000002</v>
      </c>
      <c r="F514" s="26">
        <v>247.93</v>
      </c>
      <c r="G514" s="26">
        <f t="shared" si="7"/>
        <v>-40208.743000000002</v>
      </c>
    </row>
    <row r="515" spans="1:7" x14ac:dyDescent="0.2">
      <c r="A515" s="26">
        <v>34</v>
      </c>
      <c r="B515" s="26">
        <v>24</v>
      </c>
      <c r="C515" s="26">
        <v>58</v>
      </c>
      <c r="D515" s="26" t="s">
        <v>1396</v>
      </c>
      <c r="E515" s="26">
        <v>-51834.726000000002</v>
      </c>
      <c r="F515" s="26">
        <v>202.917</v>
      </c>
      <c r="G515" s="26">
        <f t="shared" si="7"/>
        <v>-51834.726000000002</v>
      </c>
    </row>
    <row r="516" spans="1:7" x14ac:dyDescent="0.2">
      <c r="A516" s="26">
        <v>33</v>
      </c>
      <c r="B516" s="26">
        <v>25</v>
      </c>
      <c r="C516" s="26">
        <v>58</v>
      </c>
      <c r="D516" s="26" t="s">
        <v>1397</v>
      </c>
      <c r="E516" s="26">
        <v>-55906.826999999997</v>
      </c>
      <c r="F516" s="26">
        <v>30.007999999999999</v>
      </c>
      <c r="G516" s="26">
        <f t="shared" si="7"/>
        <v>-55906.826999999997</v>
      </c>
    </row>
    <row r="517" spans="1:7" x14ac:dyDescent="0.2">
      <c r="A517" s="26">
        <v>32</v>
      </c>
      <c r="B517" s="26">
        <v>26</v>
      </c>
      <c r="C517" s="26">
        <v>58</v>
      </c>
      <c r="D517" s="26" t="s">
        <v>1398</v>
      </c>
      <c r="E517" s="26">
        <v>-62153.417999999998</v>
      </c>
      <c r="F517" s="26">
        <v>0.70399999999999996</v>
      </c>
      <c r="G517" s="26">
        <f t="shared" si="7"/>
        <v>-62153.417999999998</v>
      </c>
    </row>
    <row r="518" spans="1:7" x14ac:dyDescent="0.2">
      <c r="A518" s="26">
        <v>31</v>
      </c>
      <c r="B518" s="26">
        <v>27</v>
      </c>
      <c r="C518" s="26">
        <v>58</v>
      </c>
      <c r="D518" s="26" t="s">
        <v>1399</v>
      </c>
      <c r="E518" s="26">
        <v>-59845.868000000002</v>
      </c>
      <c r="F518" s="26">
        <v>1.25</v>
      </c>
      <c r="G518" s="26">
        <f t="shared" si="7"/>
        <v>-59845.868000000002</v>
      </c>
    </row>
    <row r="519" spans="1:7" x14ac:dyDescent="0.2">
      <c r="A519" s="26">
        <v>30</v>
      </c>
      <c r="B519" s="26">
        <v>28</v>
      </c>
      <c r="C519" s="26">
        <v>58</v>
      </c>
      <c r="D519" s="26" t="s">
        <v>1400</v>
      </c>
      <c r="E519" s="26">
        <v>-60227.694000000003</v>
      </c>
      <c r="F519" s="26">
        <v>0.60899999999999999</v>
      </c>
      <c r="G519" s="26">
        <f t="shared" si="7"/>
        <v>-60227.694000000003</v>
      </c>
    </row>
    <row r="520" spans="1:7" x14ac:dyDescent="0.2">
      <c r="A520" s="26">
        <v>29</v>
      </c>
      <c r="B520" s="26">
        <v>29</v>
      </c>
      <c r="C520" s="26">
        <v>58</v>
      </c>
      <c r="D520" s="26" t="s">
        <v>1401</v>
      </c>
      <c r="E520" s="26">
        <v>-51662.055</v>
      </c>
      <c r="F520" s="26">
        <v>1.5629999999999999</v>
      </c>
      <c r="G520" s="26">
        <f t="shared" si="7"/>
        <v>-51662.055</v>
      </c>
    </row>
    <row r="521" spans="1:7" x14ac:dyDescent="0.2">
      <c r="A521" s="26">
        <v>28</v>
      </c>
      <c r="B521" s="26">
        <v>30</v>
      </c>
      <c r="C521" s="26">
        <v>58</v>
      </c>
      <c r="D521" s="26" t="s">
        <v>1402</v>
      </c>
      <c r="E521" s="26">
        <v>-42297.694000000003</v>
      </c>
      <c r="F521" s="26">
        <v>50.003999999999998</v>
      </c>
      <c r="G521" s="26">
        <f t="shared" si="7"/>
        <v>-42297.694000000003</v>
      </c>
    </row>
    <row r="522" spans="1:7" x14ac:dyDescent="0.2">
      <c r="A522" s="26">
        <v>27</v>
      </c>
      <c r="B522" s="26">
        <v>31</v>
      </c>
      <c r="C522" s="26">
        <v>58</v>
      </c>
      <c r="D522" s="26" t="s">
        <v>1403</v>
      </c>
      <c r="E522" s="26" t="s">
        <v>1233</v>
      </c>
      <c r="F522" s="26" t="s">
        <v>1548</v>
      </c>
      <c r="G522" s="26">
        <f t="shared" ref="G522:G585" si="8">IF(ISNUMBER(E522),E522,VALUE(SUBSTITUTE(E522,"#",".01")))</f>
        <v>-23986.01</v>
      </c>
    </row>
    <row r="523" spans="1:7" x14ac:dyDescent="0.2">
      <c r="A523" s="26">
        <v>26</v>
      </c>
      <c r="B523" s="26">
        <v>32</v>
      </c>
      <c r="C523" s="26">
        <v>58</v>
      </c>
      <c r="D523" s="26" t="s">
        <v>1404</v>
      </c>
      <c r="E523" s="26" t="s">
        <v>1234</v>
      </c>
      <c r="F523" s="26" t="s">
        <v>1235</v>
      </c>
      <c r="G523" s="26">
        <f t="shared" si="8"/>
        <v>-8374.01</v>
      </c>
    </row>
    <row r="524" spans="1:7" x14ac:dyDescent="0.2">
      <c r="A524" s="26">
        <v>38</v>
      </c>
      <c r="B524" s="26">
        <v>21</v>
      </c>
      <c r="C524" s="26">
        <v>59</v>
      </c>
      <c r="D524" s="26" t="s">
        <v>1393</v>
      </c>
      <c r="E524" s="26" t="s">
        <v>944</v>
      </c>
      <c r="F524" s="26" t="s">
        <v>1731</v>
      </c>
      <c r="G524" s="26">
        <f t="shared" si="8"/>
        <v>-10042.01</v>
      </c>
    </row>
    <row r="525" spans="1:7" x14ac:dyDescent="0.2">
      <c r="A525" s="26">
        <v>37</v>
      </c>
      <c r="B525" s="26">
        <v>22</v>
      </c>
      <c r="C525" s="26">
        <v>59</v>
      </c>
      <c r="D525" s="26" t="s">
        <v>1394</v>
      </c>
      <c r="E525" s="26" t="s">
        <v>945</v>
      </c>
      <c r="F525" s="26" t="s">
        <v>1508</v>
      </c>
      <c r="G525" s="26">
        <f t="shared" si="8"/>
        <v>-25216.01</v>
      </c>
    </row>
    <row r="526" spans="1:7" x14ac:dyDescent="0.2">
      <c r="A526" s="26">
        <v>36</v>
      </c>
      <c r="B526" s="26">
        <v>23</v>
      </c>
      <c r="C526" s="26">
        <v>59</v>
      </c>
      <c r="D526" s="26" t="s">
        <v>1395</v>
      </c>
      <c r="E526" s="26">
        <v>-37066.561999999998</v>
      </c>
      <c r="F526" s="26">
        <v>307.37700000000001</v>
      </c>
      <c r="G526" s="26">
        <f t="shared" si="8"/>
        <v>-37066.561999999998</v>
      </c>
    </row>
    <row r="527" spans="1:7" x14ac:dyDescent="0.2">
      <c r="A527" s="26">
        <v>35</v>
      </c>
      <c r="B527" s="26">
        <v>24</v>
      </c>
      <c r="C527" s="26">
        <v>59</v>
      </c>
      <c r="D527" s="26" t="s">
        <v>1396</v>
      </c>
      <c r="E527" s="26">
        <v>-47891.49</v>
      </c>
      <c r="F527" s="26">
        <v>244.333</v>
      </c>
      <c r="G527" s="26">
        <f t="shared" si="8"/>
        <v>-47891.49</v>
      </c>
    </row>
    <row r="528" spans="1:7" x14ac:dyDescent="0.2">
      <c r="A528" s="26">
        <v>34</v>
      </c>
      <c r="B528" s="26">
        <v>25</v>
      </c>
      <c r="C528" s="26">
        <v>59</v>
      </c>
      <c r="D528" s="26" t="s">
        <v>1397</v>
      </c>
      <c r="E528" s="26">
        <v>-55479.561999999998</v>
      </c>
      <c r="F528" s="26">
        <v>30.006</v>
      </c>
      <c r="G528" s="26">
        <f t="shared" si="8"/>
        <v>-55479.561999999998</v>
      </c>
    </row>
    <row r="529" spans="1:7" x14ac:dyDescent="0.2">
      <c r="A529" s="26">
        <v>33</v>
      </c>
      <c r="B529" s="26">
        <v>26</v>
      </c>
      <c r="C529" s="26">
        <v>59</v>
      </c>
      <c r="D529" s="26" t="s">
        <v>1398</v>
      </c>
      <c r="E529" s="26">
        <v>-60663.114000000001</v>
      </c>
      <c r="F529" s="26">
        <v>0.71199999999999997</v>
      </c>
      <c r="G529" s="26">
        <f t="shared" si="8"/>
        <v>-60663.114000000001</v>
      </c>
    </row>
    <row r="530" spans="1:7" x14ac:dyDescent="0.2">
      <c r="A530" s="26">
        <v>32</v>
      </c>
      <c r="B530" s="26">
        <v>27</v>
      </c>
      <c r="C530" s="26">
        <v>59</v>
      </c>
      <c r="D530" s="26" t="s">
        <v>1399</v>
      </c>
      <c r="E530" s="26">
        <v>-62228.411999999997</v>
      </c>
      <c r="F530" s="26">
        <v>0.624</v>
      </c>
      <c r="G530" s="26">
        <f t="shared" si="8"/>
        <v>-62228.411999999997</v>
      </c>
    </row>
    <row r="531" spans="1:7" x14ac:dyDescent="0.2">
      <c r="A531" s="26">
        <v>31</v>
      </c>
      <c r="B531" s="26">
        <v>28</v>
      </c>
      <c r="C531" s="26">
        <v>59</v>
      </c>
      <c r="D531" s="26" t="s">
        <v>1400</v>
      </c>
      <c r="E531" s="26">
        <v>-61155.65</v>
      </c>
      <c r="F531" s="26">
        <v>0.60799999999999998</v>
      </c>
      <c r="G531" s="26">
        <f t="shared" si="8"/>
        <v>-61155.65</v>
      </c>
    </row>
    <row r="532" spans="1:7" x14ac:dyDescent="0.2">
      <c r="A532" s="26">
        <v>30</v>
      </c>
      <c r="B532" s="26">
        <v>29</v>
      </c>
      <c r="C532" s="26">
        <v>59</v>
      </c>
      <c r="D532" s="26" t="s">
        <v>1401</v>
      </c>
      <c r="E532" s="26">
        <v>-56357.224000000002</v>
      </c>
      <c r="F532" s="26">
        <v>0.78800000000000003</v>
      </c>
      <c r="G532" s="26">
        <f t="shared" si="8"/>
        <v>-56357.224000000002</v>
      </c>
    </row>
    <row r="533" spans="1:7" x14ac:dyDescent="0.2">
      <c r="A533" s="26">
        <v>29</v>
      </c>
      <c r="B533" s="26">
        <v>30</v>
      </c>
      <c r="C533" s="26">
        <v>59</v>
      </c>
      <c r="D533" s="26" t="s">
        <v>1402</v>
      </c>
      <c r="E533" s="26">
        <v>-47260.499000000003</v>
      </c>
      <c r="F533" s="26">
        <v>37.146999999999998</v>
      </c>
      <c r="G533" s="26">
        <f t="shared" si="8"/>
        <v>-47260.499000000003</v>
      </c>
    </row>
    <row r="534" spans="1:7" x14ac:dyDescent="0.2">
      <c r="A534" s="26">
        <v>28</v>
      </c>
      <c r="B534" s="26">
        <v>31</v>
      </c>
      <c r="C534" s="26">
        <v>59</v>
      </c>
      <c r="D534" s="26" t="s">
        <v>1403</v>
      </c>
      <c r="E534" s="26" t="s">
        <v>1236</v>
      </c>
      <c r="F534" s="26" t="s">
        <v>1769</v>
      </c>
      <c r="G534" s="26">
        <f t="shared" si="8"/>
        <v>-34121.01</v>
      </c>
    </row>
    <row r="535" spans="1:7" x14ac:dyDescent="0.2">
      <c r="A535" s="26">
        <v>27</v>
      </c>
      <c r="B535" s="26">
        <v>32</v>
      </c>
      <c r="C535" s="26">
        <v>59</v>
      </c>
      <c r="D535" s="26" t="s">
        <v>1404</v>
      </c>
      <c r="E535" s="26" t="s">
        <v>1237</v>
      </c>
      <c r="F535" s="26" t="s">
        <v>1238</v>
      </c>
      <c r="G535" s="26">
        <f t="shared" si="8"/>
        <v>-17000.009999999998</v>
      </c>
    </row>
    <row r="536" spans="1:7" x14ac:dyDescent="0.2">
      <c r="A536" s="26">
        <v>39</v>
      </c>
      <c r="B536" s="26">
        <v>21</v>
      </c>
      <c r="C536" s="26">
        <v>60</v>
      </c>
      <c r="D536" s="26" t="s">
        <v>1393</v>
      </c>
      <c r="E536" s="26" t="s">
        <v>946</v>
      </c>
      <c r="F536" s="26" t="s">
        <v>1731</v>
      </c>
      <c r="G536" s="26">
        <f t="shared" si="8"/>
        <v>-3996.01</v>
      </c>
    </row>
    <row r="537" spans="1:7" x14ac:dyDescent="0.2">
      <c r="A537" s="26">
        <v>38</v>
      </c>
      <c r="B537" s="26">
        <v>22</v>
      </c>
      <c r="C537" s="26">
        <v>60</v>
      </c>
      <c r="D537" s="26" t="s">
        <v>1394</v>
      </c>
      <c r="E537" s="26" t="s">
        <v>947</v>
      </c>
      <c r="F537" s="26" t="s">
        <v>1725</v>
      </c>
      <c r="G537" s="26">
        <f t="shared" si="8"/>
        <v>-21648.01</v>
      </c>
    </row>
    <row r="538" spans="1:7" x14ac:dyDescent="0.2">
      <c r="A538" s="26">
        <v>37</v>
      </c>
      <c r="B538" s="26">
        <v>23</v>
      </c>
      <c r="C538" s="26">
        <v>60</v>
      </c>
      <c r="D538" s="26" t="s">
        <v>1395</v>
      </c>
      <c r="E538" s="26">
        <v>-32577.268</v>
      </c>
      <c r="F538" s="26">
        <v>474.71199999999999</v>
      </c>
      <c r="G538" s="26">
        <f t="shared" si="8"/>
        <v>-32577.268</v>
      </c>
    </row>
    <row r="539" spans="1:7" x14ac:dyDescent="0.2">
      <c r="A539" s="26">
        <v>36</v>
      </c>
      <c r="B539" s="26">
        <v>24</v>
      </c>
      <c r="C539" s="26">
        <v>60</v>
      </c>
      <c r="D539" s="26" t="s">
        <v>1396</v>
      </c>
      <c r="E539" s="26">
        <v>-46503.875999999997</v>
      </c>
      <c r="F539" s="26">
        <v>213.39699999999999</v>
      </c>
      <c r="G539" s="26">
        <f t="shared" si="8"/>
        <v>-46503.875999999997</v>
      </c>
    </row>
    <row r="540" spans="1:7" x14ac:dyDescent="0.2">
      <c r="A540" s="26">
        <v>35</v>
      </c>
      <c r="B540" s="26">
        <v>25</v>
      </c>
      <c r="C540" s="26">
        <v>60</v>
      </c>
      <c r="D540" s="26" t="s">
        <v>1397</v>
      </c>
      <c r="E540" s="26">
        <v>-53177.832000000002</v>
      </c>
      <c r="F540" s="26">
        <v>86.07</v>
      </c>
      <c r="G540" s="26">
        <f t="shared" si="8"/>
        <v>-53177.832000000002</v>
      </c>
    </row>
    <row r="541" spans="1:7" x14ac:dyDescent="0.2">
      <c r="A541" s="26">
        <v>34</v>
      </c>
      <c r="B541" s="26">
        <v>26</v>
      </c>
      <c r="C541" s="26">
        <v>60</v>
      </c>
      <c r="D541" s="26" t="s">
        <v>1398</v>
      </c>
      <c r="E541" s="26">
        <v>-61411.832000000002</v>
      </c>
      <c r="F541" s="26">
        <v>3.464</v>
      </c>
      <c r="G541" s="26">
        <f t="shared" si="8"/>
        <v>-61411.832000000002</v>
      </c>
    </row>
    <row r="542" spans="1:7" x14ac:dyDescent="0.2">
      <c r="A542" s="26">
        <v>33</v>
      </c>
      <c r="B542" s="26">
        <v>27</v>
      </c>
      <c r="C542" s="26">
        <v>60</v>
      </c>
      <c r="D542" s="26" t="s">
        <v>1399</v>
      </c>
      <c r="E542" s="26">
        <v>-61649.012000000002</v>
      </c>
      <c r="F542" s="26">
        <v>0.628</v>
      </c>
      <c r="G542" s="26">
        <f t="shared" si="8"/>
        <v>-61649.012000000002</v>
      </c>
    </row>
    <row r="543" spans="1:7" x14ac:dyDescent="0.2">
      <c r="A543" s="26">
        <v>32</v>
      </c>
      <c r="B543" s="26">
        <v>28</v>
      </c>
      <c r="C543" s="26">
        <v>60</v>
      </c>
      <c r="D543" s="26" t="s">
        <v>1400</v>
      </c>
      <c r="E543" s="26">
        <v>-64472.078999999998</v>
      </c>
      <c r="F543" s="26">
        <v>0.60699999999999998</v>
      </c>
      <c r="G543" s="26">
        <f t="shared" si="8"/>
        <v>-64472.078999999998</v>
      </c>
    </row>
    <row r="544" spans="1:7" x14ac:dyDescent="0.2">
      <c r="A544" s="26">
        <v>31</v>
      </c>
      <c r="B544" s="26">
        <v>29</v>
      </c>
      <c r="C544" s="26">
        <v>60</v>
      </c>
      <c r="D544" s="26" t="s">
        <v>1401</v>
      </c>
      <c r="E544" s="26">
        <v>-58344.099000000002</v>
      </c>
      <c r="F544" s="26">
        <v>1.6859999999999999</v>
      </c>
      <c r="G544" s="26">
        <f t="shared" si="8"/>
        <v>-58344.099000000002</v>
      </c>
    </row>
    <row r="545" spans="1:7" x14ac:dyDescent="0.2">
      <c r="A545" s="26">
        <v>30</v>
      </c>
      <c r="B545" s="26">
        <v>30</v>
      </c>
      <c r="C545" s="26">
        <v>60</v>
      </c>
      <c r="D545" s="26" t="s">
        <v>1402</v>
      </c>
      <c r="E545" s="26">
        <v>-54187.767999999996</v>
      </c>
      <c r="F545" s="26">
        <v>10.555999999999999</v>
      </c>
      <c r="G545" s="26">
        <f t="shared" si="8"/>
        <v>-54187.767999999996</v>
      </c>
    </row>
    <row r="546" spans="1:7" x14ac:dyDescent="0.2">
      <c r="A546" s="26">
        <v>29</v>
      </c>
      <c r="B546" s="26">
        <v>31</v>
      </c>
      <c r="C546" s="26">
        <v>60</v>
      </c>
      <c r="D546" s="26" t="s">
        <v>1403</v>
      </c>
      <c r="E546" s="26" t="s">
        <v>1239</v>
      </c>
      <c r="F546" s="26" t="s">
        <v>1519</v>
      </c>
      <c r="G546" s="26">
        <f t="shared" si="8"/>
        <v>-39998.01</v>
      </c>
    </row>
    <row r="547" spans="1:7" x14ac:dyDescent="0.2">
      <c r="A547" s="26">
        <v>28</v>
      </c>
      <c r="B547" s="26">
        <v>32</v>
      </c>
      <c r="C547" s="26">
        <v>60</v>
      </c>
      <c r="D547" s="26" t="s">
        <v>1404</v>
      </c>
      <c r="E547" s="26" t="s">
        <v>1240</v>
      </c>
      <c r="F547" s="26" t="s">
        <v>1513</v>
      </c>
      <c r="G547" s="26">
        <f t="shared" si="8"/>
        <v>-27768.01</v>
      </c>
    </row>
    <row r="548" spans="1:7" x14ac:dyDescent="0.2">
      <c r="A548" s="26">
        <v>27</v>
      </c>
      <c r="B548" s="26">
        <v>33</v>
      </c>
      <c r="C548" s="26">
        <v>60</v>
      </c>
      <c r="D548" s="26" t="s">
        <v>1405</v>
      </c>
      <c r="E548" s="26" t="s">
        <v>1241</v>
      </c>
      <c r="F548" s="26" t="s">
        <v>1505</v>
      </c>
      <c r="G548" s="26">
        <f t="shared" si="8"/>
        <v>-6399.01</v>
      </c>
    </row>
    <row r="549" spans="1:7" x14ac:dyDescent="0.2">
      <c r="A549" s="26">
        <v>39</v>
      </c>
      <c r="B549" s="26">
        <v>22</v>
      </c>
      <c r="C549" s="26">
        <v>61</v>
      </c>
      <c r="D549" s="26" t="s">
        <v>1394</v>
      </c>
      <c r="E549" s="26" t="s">
        <v>948</v>
      </c>
      <c r="F549" s="26" t="s">
        <v>1731</v>
      </c>
      <c r="G549" s="26">
        <f t="shared" si="8"/>
        <v>-15649.01</v>
      </c>
    </row>
    <row r="550" spans="1:7" x14ac:dyDescent="0.2">
      <c r="A550" s="26">
        <v>38</v>
      </c>
      <c r="B550" s="26">
        <v>23</v>
      </c>
      <c r="C550" s="26">
        <v>61</v>
      </c>
      <c r="D550" s="26" t="s">
        <v>1395</v>
      </c>
      <c r="E550" s="26" t="s">
        <v>949</v>
      </c>
      <c r="F550" s="26" t="s">
        <v>1723</v>
      </c>
      <c r="G550" s="26">
        <f t="shared" si="8"/>
        <v>-29361.01</v>
      </c>
    </row>
    <row r="551" spans="1:7" x14ac:dyDescent="0.2">
      <c r="A551" s="26">
        <v>37</v>
      </c>
      <c r="B551" s="26">
        <v>24</v>
      </c>
      <c r="C551" s="26">
        <v>61</v>
      </c>
      <c r="D551" s="26" t="s">
        <v>1396</v>
      </c>
      <c r="E551" s="26">
        <v>-42180.652999999998</v>
      </c>
      <c r="F551" s="26">
        <v>254.607</v>
      </c>
      <c r="G551" s="26">
        <f t="shared" si="8"/>
        <v>-42180.652999999998</v>
      </c>
    </row>
    <row r="552" spans="1:7" x14ac:dyDescent="0.2">
      <c r="A552" s="26">
        <v>36</v>
      </c>
      <c r="B552" s="26">
        <v>25</v>
      </c>
      <c r="C552" s="26">
        <v>61</v>
      </c>
      <c r="D552" s="26" t="s">
        <v>1397</v>
      </c>
      <c r="E552" s="26">
        <v>-51555.735999999997</v>
      </c>
      <c r="F552" s="26">
        <v>227.91399999999999</v>
      </c>
      <c r="G552" s="26">
        <f t="shared" si="8"/>
        <v>-51555.735999999997</v>
      </c>
    </row>
    <row r="553" spans="1:7" x14ac:dyDescent="0.2">
      <c r="A553" s="26">
        <v>35</v>
      </c>
      <c r="B553" s="26">
        <v>26</v>
      </c>
      <c r="C553" s="26">
        <v>61</v>
      </c>
      <c r="D553" s="26" t="s">
        <v>1398</v>
      </c>
      <c r="E553" s="26">
        <v>-58921.391000000003</v>
      </c>
      <c r="F553" s="26">
        <v>20.009</v>
      </c>
      <c r="G553" s="26">
        <f t="shared" si="8"/>
        <v>-58921.391000000003</v>
      </c>
    </row>
    <row r="554" spans="1:7" x14ac:dyDescent="0.2">
      <c r="A554" s="26">
        <v>34</v>
      </c>
      <c r="B554" s="26">
        <v>27</v>
      </c>
      <c r="C554" s="26">
        <v>61</v>
      </c>
      <c r="D554" s="26" t="s">
        <v>1399</v>
      </c>
      <c r="E554" s="26">
        <v>-62898.421999999999</v>
      </c>
      <c r="F554" s="26">
        <v>0.92800000000000005</v>
      </c>
      <c r="G554" s="26">
        <f t="shared" si="8"/>
        <v>-62898.421999999999</v>
      </c>
    </row>
    <row r="555" spans="1:7" x14ac:dyDescent="0.2">
      <c r="A555" s="26">
        <v>33</v>
      </c>
      <c r="B555" s="26">
        <v>28</v>
      </c>
      <c r="C555" s="26">
        <v>61</v>
      </c>
      <c r="D555" s="26" t="s">
        <v>1400</v>
      </c>
      <c r="E555" s="26">
        <v>-64220.892</v>
      </c>
      <c r="F555" s="26">
        <v>0.60699999999999998</v>
      </c>
      <c r="G555" s="26">
        <f t="shared" si="8"/>
        <v>-64220.892</v>
      </c>
    </row>
    <row r="556" spans="1:7" x14ac:dyDescent="0.2">
      <c r="A556" s="26">
        <v>32</v>
      </c>
      <c r="B556" s="26">
        <v>29</v>
      </c>
      <c r="C556" s="26">
        <v>61</v>
      </c>
      <c r="D556" s="26" t="s">
        <v>1401</v>
      </c>
      <c r="E556" s="26">
        <v>-61983.64</v>
      </c>
      <c r="F556" s="26">
        <v>0.97799999999999998</v>
      </c>
      <c r="G556" s="26">
        <f t="shared" si="8"/>
        <v>-61983.64</v>
      </c>
    </row>
    <row r="557" spans="1:7" x14ac:dyDescent="0.2">
      <c r="A557" s="26">
        <v>31</v>
      </c>
      <c r="B557" s="26">
        <v>30</v>
      </c>
      <c r="C557" s="26">
        <v>61</v>
      </c>
      <c r="D557" s="26" t="s">
        <v>1402</v>
      </c>
      <c r="E557" s="26">
        <v>-56345.48</v>
      </c>
      <c r="F557" s="26">
        <v>16.277999999999999</v>
      </c>
      <c r="G557" s="26">
        <f t="shared" si="8"/>
        <v>-56345.48</v>
      </c>
    </row>
    <row r="558" spans="1:7" x14ac:dyDescent="0.2">
      <c r="A558" s="26">
        <v>30</v>
      </c>
      <c r="B558" s="26">
        <v>31</v>
      </c>
      <c r="C558" s="26">
        <v>61</v>
      </c>
      <c r="D558" s="26" t="s">
        <v>1403</v>
      </c>
      <c r="E558" s="26">
        <v>-47090.48</v>
      </c>
      <c r="F558" s="26">
        <v>52.582999999999998</v>
      </c>
      <c r="G558" s="26">
        <f t="shared" si="8"/>
        <v>-47090.48</v>
      </c>
    </row>
    <row r="559" spans="1:7" x14ac:dyDescent="0.2">
      <c r="A559" s="26">
        <v>29</v>
      </c>
      <c r="B559" s="26">
        <v>32</v>
      </c>
      <c r="C559" s="26">
        <v>61</v>
      </c>
      <c r="D559" s="26" t="s">
        <v>1404</v>
      </c>
      <c r="E559" s="26" t="s">
        <v>1242</v>
      </c>
      <c r="F559" s="26" t="s">
        <v>1730</v>
      </c>
      <c r="G559" s="26">
        <f t="shared" si="8"/>
        <v>-33729.01</v>
      </c>
    </row>
    <row r="560" spans="1:7" x14ac:dyDescent="0.2">
      <c r="A560" s="26">
        <v>28</v>
      </c>
      <c r="B560" s="26">
        <v>33</v>
      </c>
      <c r="C560" s="26">
        <v>61</v>
      </c>
      <c r="D560" s="26" t="s">
        <v>1405</v>
      </c>
      <c r="E560" s="26" t="s">
        <v>1243</v>
      </c>
      <c r="F560" s="26" t="s">
        <v>1505</v>
      </c>
      <c r="G560" s="26">
        <f t="shared" si="8"/>
        <v>-18052.009999999998</v>
      </c>
    </row>
    <row r="561" spans="1:7" x14ac:dyDescent="0.2">
      <c r="A561" s="26">
        <v>40</v>
      </c>
      <c r="B561" s="26">
        <v>22</v>
      </c>
      <c r="C561" s="26">
        <v>62</v>
      </c>
      <c r="D561" s="26" t="s">
        <v>1394</v>
      </c>
      <c r="E561" s="26" t="s">
        <v>950</v>
      </c>
      <c r="F561" s="26" t="s">
        <v>1731</v>
      </c>
      <c r="G561" s="26">
        <f t="shared" si="8"/>
        <v>-11653.01</v>
      </c>
    </row>
    <row r="562" spans="1:7" x14ac:dyDescent="0.2">
      <c r="A562" s="26">
        <v>39</v>
      </c>
      <c r="B562" s="26">
        <v>23</v>
      </c>
      <c r="C562" s="26">
        <v>62</v>
      </c>
      <c r="D562" s="26" t="s">
        <v>1395</v>
      </c>
      <c r="E562" s="26" t="s">
        <v>951</v>
      </c>
      <c r="F562" s="26" t="s">
        <v>1728</v>
      </c>
      <c r="G562" s="26">
        <f t="shared" si="8"/>
        <v>-24424.01</v>
      </c>
    </row>
    <row r="563" spans="1:7" x14ac:dyDescent="0.2">
      <c r="A563" s="26">
        <v>38</v>
      </c>
      <c r="B563" s="26">
        <v>24</v>
      </c>
      <c r="C563" s="26">
        <v>62</v>
      </c>
      <c r="D563" s="26" t="s">
        <v>1396</v>
      </c>
      <c r="E563" s="26">
        <v>-40414.553</v>
      </c>
      <c r="F563" s="26">
        <v>336.99200000000002</v>
      </c>
      <c r="G563" s="26">
        <f t="shared" si="8"/>
        <v>-40414.553</v>
      </c>
    </row>
    <row r="564" spans="1:7" x14ac:dyDescent="0.2">
      <c r="A564" s="26">
        <v>37</v>
      </c>
      <c r="B564" s="26">
        <v>25</v>
      </c>
      <c r="C564" s="26">
        <v>62</v>
      </c>
      <c r="D564" s="26" t="s">
        <v>1397</v>
      </c>
      <c r="E564" s="26">
        <v>-48038.803999999996</v>
      </c>
      <c r="F564" s="26">
        <v>223.08799999999999</v>
      </c>
      <c r="G564" s="26">
        <f t="shared" si="8"/>
        <v>-48038.803999999996</v>
      </c>
    </row>
    <row r="565" spans="1:7" x14ac:dyDescent="0.2">
      <c r="A565" s="26">
        <v>36</v>
      </c>
      <c r="B565" s="26">
        <v>26</v>
      </c>
      <c r="C565" s="26">
        <v>62</v>
      </c>
      <c r="D565" s="26" t="s">
        <v>1398</v>
      </c>
      <c r="E565" s="26">
        <v>-58900.749000000003</v>
      </c>
      <c r="F565" s="26">
        <v>14.489000000000001</v>
      </c>
      <c r="G565" s="26">
        <f t="shared" si="8"/>
        <v>-58900.749000000003</v>
      </c>
    </row>
    <row r="566" spans="1:7" x14ac:dyDescent="0.2">
      <c r="A566" s="26">
        <v>35</v>
      </c>
      <c r="B566" s="26">
        <v>27</v>
      </c>
      <c r="C566" s="26">
        <v>62</v>
      </c>
      <c r="D566" s="26" t="s">
        <v>1399</v>
      </c>
      <c r="E566" s="26">
        <v>-61431.504999999997</v>
      </c>
      <c r="F566" s="26">
        <v>20.009</v>
      </c>
      <c r="G566" s="26">
        <f t="shared" si="8"/>
        <v>-61431.504999999997</v>
      </c>
    </row>
    <row r="567" spans="1:7" x14ac:dyDescent="0.2">
      <c r="A567" s="26">
        <v>34</v>
      </c>
      <c r="B567" s="26">
        <v>28</v>
      </c>
      <c r="C567" s="26">
        <v>62</v>
      </c>
      <c r="D567" s="26" t="s">
        <v>1400</v>
      </c>
      <c r="E567" s="26">
        <v>-66746.096000000005</v>
      </c>
      <c r="F567" s="26">
        <v>0.59699999999999998</v>
      </c>
      <c r="G567" s="26">
        <f t="shared" si="8"/>
        <v>-66746.096000000005</v>
      </c>
    </row>
    <row r="568" spans="1:7" x14ac:dyDescent="0.2">
      <c r="A568" s="26">
        <v>33</v>
      </c>
      <c r="B568" s="26">
        <v>29</v>
      </c>
      <c r="C568" s="26">
        <v>62</v>
      </c>
      <c r="D568" s="26" t="s">
        <v>1401</v>
      </c>
      <c r="E568" s="26">
        <v>-62797.837</v>
      </c>
      <c r="F568" s="26">
        <v>4.101</v>
      </c>
      <c r="G568" s="26">
        <f t="shared" si="8"/>
        <v>-62797.837</v>
      </c>
    </row>
    <row r="569" spans="1:7" x14ac:dyDescent="0.2">
      <c r="A569" s="26">
        <v>32</v>
      </c>
      <c r="B569" s="26">
        <v>30</v>
      </c>
      <c r="C569" s="26">
        <v>62</v>
      </c>
      <c r="D569" s="26" t="s">
        <v>1402</v>
      </c>
      <c r="E569" s="26">
        <v>-61171.430999999997</v>
      </c>
      <c r="F569" s="26">
        <v>10.023</v>
      </c>
      <c r="G569" s="26">
        <f t="shared" si="8"/>
        <v>-61171.430999999997</v>
      </c>
    </row>
    <row r="570" spans="1:7" x14ac:dyDescent="0.2">
      <c r="A570" s="26">
        <v>31</v>
      </c>
      <c r="B570" s="26">
        <v>31</v>
      </c>
      <c r="C570" s="26">
        <v>62</v>
      </c>
      <c r="D570" s="26" t="s">
        <v>1403</v>
      </c>
      <c r="E570" s="26">
        <v>-52000.430999999997</v>
      </c>
      <c r="F570" s="26">
        <v>27.864999999999998</v>
      </c>
      <c r="G570" s="26">
        <f t="shared" si="8"/>
        <v>-52000.430999999997</v>
      </c>
    </row>
    <row r="571" spans="1:7" x14ac:dyDescent="0.2">
      <c r="A571" s="26">
        <v>30</v>
      </c>
      <c r="B571" s="26">
        <v>32</v>
      </c>
      <c r="C571" s="26">
        <v>62</v>
      </c>
      <c r="D571" s="26" t="s">
        <v>1404</v>
      </c>
      <c r="E571" s="26" t="s">
        <v>1244</v>
      </c>
      <c r="F571" s="26" t="s">
        <v>1554</v>
      </c>
      <c r="G571" s="26">
        <f t="shared" si="8"/>
        <v>-42243.01</v>
      </c>
    </row>
    <row r="572" spans="1:7" x14ac:dyDescent="0.2">
      <c r="A572" s="26">
        <v>29</v>
      </c>
      <c r="B572" s="26">
        <v>33</v>
      </c>
      <c r="C572" s="26">
        <v>62</v>
      </c>
      <c r="D572" s="26" t="s">
        <v>1405</v>
      </c>
      <c r="E572" s="26" t="s">
        <v>1245</v>
      </c>
      <c r="F572" s="26" t="s">
        <v>1730</v>
      </c>
      <c r="G572" s="26">
        <f t="shared" si="8"/>
        <v>-24964.01</v>
      </c>
    </row>
    <row r="573" spans="1:7" x14ac:dyDescent="0.2">
      <c r="A573" s="26">
        <v>41</v>
      </c>
      <c r="B573" s="26">
        <v>22</v>
      </c>
      <c r="C573" s="26">
        <v>63</v>
      </c>
      <c r="D573" s="26" t="s">
        <v>1394</v>
      </c>
      <c r="E573" s="26" t="s">
        <v>952</v>
      </c>
      <c r="F573" s="26" t="s">
        <v>1722</v>
      </c>
      <c r="G573" s="26">
        <f t="shared" si="8"/>
        <v>-5198.01</v>
      </c>
    </row>
    <row r="574" spans="1:7" x14ac:dyDescent="0.2">
      <c r="A574" s="26">
        <v>40</v>
      </c>
      <c r="B574" s="26">
        <v>23</v>
      </c>
      <c r="C574" s="26">
        <v>63</v>
      </c>
      <c r="D574" s="26" t="s">
        <v>1395</v>
      </c>
      <c r="E574" s="26" t="s">
        <v>953</v>
      </c>
      <c r="F574" s="26" t="s">
        <v>1505</v>
      </c>
      <c r="G574" s="26">
        <f t="shared" si="8"/>
        <v>-20912.009999999998</v>
      </c>
    </row>
    <row r="575" spans="1:7" x14ac:dyDescent="0.2">
      <c r="A575" s="26">
        <v>39</v>
      </c>
      <c r="B575" s="26">
        <v>24</v>
      </c>
      <c r="C575" s="26">
        <v>63</v>
      </c>
      <c r="D575" s="26" t="s">
        <v>1396</v>
      </c>
      <c r="E575" s="26" t="s">
        <v>1246</v>
      </c>
      <c r="F575" s="26" t="s">
        <v>1730</v>
      </c>
      <c r="G575" s="26">
        <f t="shared" si="8"/>
        <v>-35527.01</v>
      </c>
    </row>
    <row r="576" spans="1:7" x14ac:dyDescent="0.2">
      <c r="A576" s="26">
        <v>38</v>
      </c>
      <c r="B576" s="26">
        <v>25</v>
      </c>
      <c r="C576" s="26">
        <v>63</v>
      </c>
      <c r="D576" s="26" t="s">
        <v>1397</v>
      </c>
      <c r="E576" s="26">
        <v>-46351.150999999998</v>
      </c>
      <c r="F576" s="26">
        <v>258.34199999999998</v>
      </c>
      <c r="G576" s="26">
        <f t="shared" si="8"/>
        <v>-46351.150999999998</v>
      </c>
    </row>
    <row r="577" spans="1:7" x14ac:dyDescent="0.2">
      <c r="A577" s="26">
        <v>37</v>
      </c>
      <c r="B577" s="26">
        <v>26</v>
      </c>
      <c r="C577" s="26">
        <v>63</v>
      </c>
      <c r="D577" s="26" t="s">
        <v>1398</v>
      </c>
      <c r="E577" s="26">
        <v>-55545.834000000003</v>
      </c>
      <c r="F577" s="26">
        <v>168.13300000000001</v>
      </c>
      <c r="G577" s="26">
        <f t="shared" si="8"/>
        <v>-55545.834000000003</v>
      </c>
    </row>
    <row r="578" spans="1:7" x14ac:dyDescent="0.2">
      <c r="A578" s="26">
        <v>36</v>
      </c>
      <c r="B578" s="26">
        <v>27</v>
      </c>
      <c r="C578" s="26">
        <v>63</v>
      </c>
      <c r="D578" s="26" t="s">
        <v>1399</v>
      </c>
      <c r="E578" s="26">
        <v>-61840.387000000002</v>
      </c>
      <c r="F578" s="26">
        <v>20.009</v>
      </c>
      <c r="G578" s="26">
        <f t="shared" si="8"/>
        <v>-61840.387000000002</v>
      </c>
    </row>
    <row r="579" spans="1:7" x14ac:dyDescent="0.2">
      <c r="A579" s="26">
        <v>35</v>
      </c>
      <c r="B579" s="26">
        <v>28</v>
      </c>
      <c r="C579" s="26">
        <v>63</v>
      </c>
      <c r="D579" s="26" t="s">
        <v>1400</v>
      </c>
      <c r="E579" s="26">
        <v>-65512.555999999997</v>
      </c>
      <c r="F579" s="26">
        <v>0.59699999999999998</v>
      </c>
      <c r="G579" s="26">
        <f t="shared" si="8"/>
        <v>-65512.555999999997</v>
      </c>
    </row>
    <row r="580" spans="1:7" x14ac:dyDescent="0.2">
      <c r="A580" s="26">
        <v>34</v>
      </c>
      <c r="B580" s="26">
        <v>29</v>
      </c>
      <c r="C580" s="26">
        <v>63</v>
      </c>
      <c r="D580" s="26" t="s">
        <v>1401</v>
      </c>
      <c r="E580" s="26">
        <v>-65579.531000000003</v>
      </c>
      <c r="F580" s="26">
        <v>0.59699999999999998</v>
      </c>
      <c r="G580" s="26">
        <f t="shared" si="8"/>
        <v>-65579.531000000003</v>
      </c>
    </row>
    <row r="581" spans="1:7" x14ac:dyDescent="0.2">
      <c r="A581" s="26">
        <v>33</v>
      </c>
      <c r="B581" s="26">
        <v>30</v>
      </c>
      <c r="C581" s="26">
        <v>63</v>
      </c>
      <c r="D581" s="26" t="s">
        <v>1402</v>
      </c>
      <c r="E581" s="26">
        <v>-62213.025000000001</v>
      </c>
      <c r="F581" s="26">
        <v>1.583</v>
      </c>
      <c r="G581" s="26">
        <f t="shared" si="8"/>
        <v>-62213.025000000001</v>
      </c>
    </row>
    <row r="582" spans="1:7" x14ac:dyDescent="0.2">
      <c r="A582" s="26">
        <v>32</v>
      </c>
      <c r="B582" s="26">
        <v>31</v>
      </c>
      <c r="C582" s="26">
        <v>63</v>
      </c>
      <c r="D582" s="26" t="s">
        <v>1403</v>
      </c>
      <c r="E582" s="26">
        <v>-56547.093000000001</v>
      </c>
      <c r="F582" s="26">
        <v>1.304</v>
      </c>
      <c r="G582" s="26">
        <f t="shared" si="8"/>
        <v>-56547.093000000001</v>
      </c>
    </row>
    <row r="583" spans="1:7" x14ac:dyDescent="0.2">
      <c r="A583" s="26">
        <v>31</v>
      </c>
      <c r="B583" s="26">
        <v>32</v>
      </c>
      <c r="C583" s="26">
        <v>63</v>
      </c>
      <c r="D583" s="26" t="s">
        <v>1404</v>
      </c>
      <c r="E583" s="26" t="s">
        <v>1247</v>
      </c>
      <c r="F583" s="26" t="s">
        <v>1480</v>
      </c>
      <c r="G583" s="26">
        <f t="shared" si="8"/>
        <v>-46910.01</v>
      </c>
    </row>
    <row r="584" spans="1:7" x14ac:dyDescent="0.2">
      <c r="A584" s="26">
        <v>30</v>
      </c>
      <c r="B584" s="26">
        <v>33</v>
      </c>
      <c r="C584" s="26">
        <v>63</v>
      </c>
      <c r="D584" s="26" t="s">
        <v>1405</v>
      </c>
      <c r="E584" s="26" t="s">
        <v>1248</v>
      </c>
      <c r="F584" s="26" t="s">
        <v>1728</v>
      </c>
      <c r="G584" s="26">
        <f t="shared" si="8"/>
        <v>-33823.01</v>
      </c>
    </row>
    <row r="585" spans="1:7" x14ac:dyDescent="0.2">
      <c r="A585" s="26">
        <v>41</v>
      </c>
      <c r="B585" s="26">
        <v>23</v>
      </c>
      <c r="C585" s="26">
        <v>64</v>
      </c>
      <c r="D585" s="26" t="s">
        <v>1395</v>
      </c>
      <c r="E585" s="26" t="s">
        <v>954</v>
      </c>
      <c r="F585" s="26" t="s">
        <v>1508</v>
      </c>
      <c r="G585" s="26">
        <f t="shared" si="8"/>
        <v>-15398.01</v>
      </c>
    </row>
    <row r="586" spans="1:7" x14ac:dyDescent="0.2">
      <c r="A586" s="26">
        <v>40</v>
      </c>
      <c r="B586" s="26">
        <v>24</v>
      </c>
      <c r="C586" s="26">
        <v>64</v>
      </c>
      <c r="D586" s="26" t="s">
        <v>1396</v>
      </c>
      <c r="E586" s="26" t="s">
        <v>1262</v>
      </c>
      <c r="F586" s="26" t="s">
        <v>1723</v>
      </c>
      <c r="G586" s="26">
        <f t="shared" ref="G586:G649" si="9">IF(ISNUMBER(E586),E586,VALUE(SUBSTITUTE(E586,"#",".01")))</f>
        <v>-33152.01</v>
      </c>
    </row>
    <row r="587" spans="1:7" x14ac:dyDescent="0.2">
      <c r="A587" s="26">
        <v>39</v>
      </c>
      <c r="B587" s="26">
        <v>25</v>
      </c>
      <c r="C587" s="26">
        <v>64</v>
      </c>
      <c r="D587" s="26" t="s">
        <v>1397</v>
      </c>
      <c r="E587" s="26">
        <v>-42616.697999999997</v>
      </c>
      <c r="F587" s="26">
        <v>266.74599999999998</v>
      </c>
      <c r="G587" s="26">
        <f t="shared" si="9"/>
        <v>-42616.697999999997</v>
      </c>
    </row>
    <row r="588" spans="1:7" x14ac:dyDescent="0.2">
      <c r="A588" s="26">
        <v>38</v>
      </c>
      <c r="B588" s="26">
        <v>26</v>
      </c>
      <c r="C588" s="26">
        <v>64</v>
      </c>
      <c r="D588" s="26" t="s">
        <v>1398</v>
      </c>
      <c r="E588" s="26">
        <v>-54770.667999999998</v>
      </c>
      <c r="F588" s="26">
        <v>276.56299999999999</v>
      </c>
      <c r="G588" s="26">
        <f t="shared" si="9"/>
        <v>-54770.667999999998</v>
      </c>
    </row>
    <row r="589" spans="1:7" x14ac:dyDescent="0.2">
      <c r="A589" s="26">
        <v>37</v>
      </c>
      <c r="B589" s="26">
        <v>27</v>
      </c>
      <c r="C589" s="26">
        <v>64</v>
      </c>
      <c r="D589" s="26" t="s">
        <v>1399</v>
      </c>
      <c r="E589" s="26">
        <v>-59792.686000000002</v>
      </c>
      <c r="F589" s="26">
        <v>20.009</v>
      </c>
      <c r="G589" s="26">
        <f t="shared" si="9"/>
        <v>-59792.686000000002</v>
      </c>
    </row>
    <row r="590" spans="1:7" x14ac:dyDescent="0.2">
      <c r="A590" s="26">
        <v>36</v>
      </c>
      <c r="B590" s="26">
        <v>28</v>
      </c>
      <c r="C590" s="26">
        <v>64</v>
      </c>
      <c r="D590" s="26" t="s">
        <v>1400</v>
      </c>
      <c r="E590" s="26">
        <v>-67099.277000000002</v>
      </c>
      <c r="F590" s="26">
        <v>0.61</v>
      </c>
      <c r="G590" s="26">
        <f t="shared" si="9"/>
        <v>-67099.277000000002</v>
      </c>
    </row>
    <row r="591" spans="1:7" x14ac:dyDescent="0.2">
      <c r="A591" s="26">
        <v>35</v>
      </c>
      <c r="B591" s="26">
        <v>29</v>
      </c>
      <c r="C591" s="26">
        <v>64</v>
      </c>
      <c r="D591" s="26" t="s">
        <v>1401</v>
      </c>
      <c r="E591" s="26">
        <v>-65424.243000000002</v>
      </c>
      <c r="F591" s="26">
        <v>0.6</v>
      </c>
      <c r="G591" s="26">
        <f t="shared" si="9"/>
        <v>-65424.243000000002</v>
      </c>
    </row>
    <row r="592" spans="1:7" x14ac:dyDescent="0.2">
      <c r="A592" s="26">
        <v>34</v>
      </c>
      <c r="B592" s="26">
        <v>30</v>
      </c>
      <c r="C592" s="26">
        <v>64</v>
      </c>
      <c r="D592" s="26" t="s">
        <v>1402</v>
      </c>
      <c r="E592" s="26">
        <v>-66003.595000000001</v>
      </c>
      <c r="F592" s="26">
        <v>0.68300000000000005</v>
      </c>
      <c r="G592" s="26">
        <f t="shared" si="9"/>
        <v>-66003.595000000001</v>
      </c>
    </row>
    <row r="593" spans="1:7" x14ac:dyDescent="0.2">
      <c r="A593" s="26">
        <v>33</v>
      </c>
      <c r="B593" s="26">
        <v>31</v>
      </c>
      <c r="C593" s="26">
        <v>64</v>
      </c>
      <c r="D593" s="26" t="s">
        <v>1403</v>
      </c>
      <c r="E593" s="26">
        <v>-58834.328000000001</v>
      </c>
      <c r="F593" s="26">
        <v>2.02</v>
      </c>
      <c r="G593" s="26">
        <f t="shared" si="9"/>
        <v>-58834.328000000001</v>
      </c>
    </row>
    <row r="594" spans="1:7" x14ac:dyDescent="0.2">
      <c r="A594" s="26">
        <v>32</v>
      </c>
      <c r="B594" s="26">
        <v>32</v>
      </c>
      <c r="C594" s="26">
        <v>64</v>
      </c>
      <c r="D594" s="26" t="s">
        <v>1404</v>
      </c>
      <c r="E594" s="26">
        <v>-54349.881000000001</v>
      </c>
      <c r="F594" s="26">
        <v>31.670999999999999</v>
      </c>
      <c r="G594" s="26">
        <f t="shared" si="9"/>
        <v>-54349.881000000001</v>
      </c>
    </row>
    <row r="595" spans="1:7" x14ac:dyDescent="0.2">
      <c r="A595" s="26">
        <v>31</v>
      </c>
      <c r="B595" s="26">
        <v>33</v>
      </c>
      <c r="C595" s="26">
        <v>64</v>
      </c>
      <c r="D595" s="26" t="s">
        <v>1405</v>
      </c>
      <c r="E595" s="26" t="s">
        <v>1249</v>
      </c>
      <c r="F595" s="26" t="s">
        <v>1250</v>
      </c>
      <c r="G595" s="26">
        <f t="shared" si="9"/>
        <v>-39521.01</v>
      </c>
    </row>
    <row r="596" spans="1:7" x14ac:dyDescent="0.2">
      <c r="A596" s="26">
        <v>42</v>
      </c>
      <c r="B596" s="26">
        <v>23</v>
      </c>
      <c r="C596" s="26">
        <v>65</v>
      </c>
      <c r="D596" s="26" t="s">
        <v>1395</v>
      </c>
      <c r="E596" s="26" t="s">
        <v>1263</v>
      </c>
      <c r="F596" s="26" t="s">
        <v>1725</v>
      </c>
      <c r="G596" s="26">
        <f t="shared" si="9"/>
        <v>-11252.01</v>
      </c>
    </row>
    <row r="597" spans="1:7" x14ac:dyDescent="0.2">
      <c r="A597" s="26">
        <v>41</v>
      </c>
      <c r="B597" s="26">
        <v>24</v>
      </c>
      <c r="C597" s="26">
        <v>65</v>
      </c>
      <c r="D597" s="26" t="s">
        <v>1396</v>
      </c>
      <c r="E597" s="26" t="s">
        <v>1264</v>
      </c>
      <c r="F597" s="26" t="s">
        <v>1728</v>
      </c>
      <c r="G597" s="26">
        <f t="shared" si="9"/>
        <v>-27796.01</v>
      </c>
    </row>
    <row r="598" spans="1:7" x14ac:dyDescent="0.2">
      <c r="A598" s="26">
        <v>40</v>
      </c>
      <c r="B598" s="26">
        <v>25</v>
      </c>
      <c r="C598" s="26">
        <v>65</v>
      </c>
      <c r="D598" s="26" t="s">
        <v>1397</v>
      </c>
      <c r="E598" s="26">
        <v>-40672.692999999999</v>
      </c>
      <c r="F598" s="26">
        <v>536.69500000000005</v>
      </c>
      <c r="G598" s="26">
        <f t="shared" si="9"/>
        <v>-40672.692999999999</v>
      </c>
    </row>
    <row r="599" spans="1:7" x14ac:dyDescent="0.2">
      <c r="A599" s="26">
        <v>39</v>
      </c>
      <c r="B599" s="26">
        <v>26</v>
      </c>
      <c r="C599" s="26">
        <v>65</v>
      </c>
      <c r="D599" s="26" t="s">
        <v>1398</v>
      </c>
      <c r="E599" s="26">
        <v>-50877.951000000001</v>
      </c>
      <c r="F599" s="26">
        <v>243.25899999999999</v>
      </c>
      <c r="G599" s="26">
        <f t="shared" si="9"/>
        <v>-50877.951000000001</v>
      </c>
    </row>
    <row r="600" spans="1:7" x14ac:dyDescent="0.2">
      <c r="A600" s="26">
        <v>38</v>
      </c>
      <c r="B600" s="26">
        <v>27</v>
      </c>
      <c r="C600" s="26">
        <v>65</v>
      </c>
      <c r="D600" s="26" t="s">
        <v>1399</v>
      </c>
      <c r="E600" s="26">
        <v>-59169.934000000001</v>
      </c>
      <c r="F600" s="26">
        <v>13.146000000000001</v>
      </c>
      <c r="G600" s="26">
        <f t="shared" si="9"/>
        <v>-59169.934000000001</v>
      </c>
    </row>
    <row r="601" spans="1:7" x14ac:dyDescent="0.2">
      <c r="A601" s="26">
        <v>37</v>
      </c>
      <c r="B601" s="26">
        <v>28</v>
      </c>
      <c r="C601" s="26">
        <v>65</v>
      </c>
      <c r="D601" s="26" t="s">
        <v>1400</v>
      </c>
      <c r="E601" s="26">
        <v>-65126.052000000003</v>
      </c>
      <c r="F601" s="26">
        <v>0.623</v>
      </c>
      <c r="G601" s="26">
        <f t="shared" si="9"/>
        <v>-65126.052000000003</v>
      </c>
    </row>
    <row r="602" spans="1:7" x14ac:dyDescent="0.2">
      <c r="A602" s="26">
        <v>36</v>
      </c>
      <c r="B602" s="26">
        <v>29</v>
      </c>
      <c r="C602" s="26">
        <v>65</v>
      </c>
      <c r="D602" s="26" t="s">
        <v>1401</v>
      </c>
      <c r="E602" s="26">
        <v>-67263.660999999993</v>
      </c>
      <c r="F602" s="26">
        <v>0.67800000000000005</v>
      </c>
      <c r="G602" s="26">
        <f t="shared" si="9"/>
        <v>-67263.660999999993</v>
      </c>
    </row>
    <row r="603" spans="1:7" x14ac:dyDescent="0.2">
      <c r="A603" s="26">
        <v>35</v>
      </c>
      <c r="B603" s="26">
        <v>30</v>
      </c>
      <c r="C603" s="26">
        <v>65</v>
      </c>
      <c r="D603" s="26" t="s">
        <v>1402</v>
      </c>
      <c r="E603" s="26">
        <v>-65911.599000000002</v>
      </c>
      <c r="F603" s="26">
        <v>0.68400000000000005</v>
      </c>
      <c r="G603" s="26">
        <f t="shared" si="9"/>
        <v>-65911.599000000002</v>
      </c>
    </row>
    <row r="604" spans="1:7" x14ac:dyDescent="0.2">
      <c r="A604" s="26">
        <v>34</v>
      </c>
      <c r="B604" s="26">
        <v>31</v>
      </c>
      <c r="C604" s="26">
        <v>65</v>
      </c>
      <c r="D604" s="26" t="s">
        <v>1403</v>
      </c>
      <c r="E604" s="26">
        <v>-62657.173000000003</v>
      </c>
      <c r="F604" s="26">
        <v>0.83299999999999996</v>
      </c>
      <c r="G604" s="26">
        <f t="shared" si="9"/>
        <v>-62657.173000000003</v>
      </c>
    </row>
    <row r="605" spans="1:7" x14ac:dyDescent="0.2">
      <c r="A605" s="26">
        <v>33</v>
      </c>
      <c r="B605" s="26">
        <v>32</v>
      </c>
      <c r="C605" s="26">
        <v>65</v>
      </c>
      <c r="D605" s="26" t="s">
        <v>1404</v>
      </c>
      <c r="E605" s="26">
        <v>-56414.625</v>
      </c>
      <c r="F605" s="26">
        <v>100.002</v>
      </c>
      <c r="G605" s="26">
        <f t="shared" si="9"/>
        <v>-56414.625</v>
      </c>
    </row>
    <row r="606" spans="1:7" x14ac:dyDescent="0.2">
      <c r="A606" s="26">
        <v>32</v>
      </c>
      <c r="B606" s="26">
        <v>33</v>
      </c>
      <c r="C606" s="26">
        <v>65</v>
      </c>
      <c r="D606" s="26" t="s">
        <v>1405</v>
      </c>
      <c r="E606" s="26" t="s">
        <v>1265</v>
      </c>
      <c r="F606" s="26" t="s">
        <v>1328</v>
      </c>
      <c r="G606" s="26">
        <f t="shared" si="9"/>
        <v>-46981.01</v>
      </c>
    </row>
    <row r="607" spans="1:7" x14ac:dyDescent="0.2">
      <c r="A607" s="26">
        <v>31</v>
      </c>
      <c r="B607" s="26">
        <v>34</v>
      </c>
      <c r="C607" s="26">
        <v>65</v>
      </c>
      <c r="D607" s="26" t="s">
        <v>1406</v>
      </c>
      <c r="E607" s="26" t="s">
        <v>1251</v>
      </c>
      <c r="F607" s="26" t="s">
        <v>1505</v>
      </c>
      <c r="G607" s="26">
        <f t="shared" si="9"/>
        <v>-32919.01</v>
      </c>
    </row>
    <row r="608" spans="1:7" x14ac:dyDescent="0.2">
      <c r="A608" s="26">
        <v>42</v>
      </c>
      <c r="B608" s="26">
        <v>24</v>
      </c>
      <c r="C608" s="26">
        <v>66</v>
      </c>
      <c r="D608" s="26" t="s">
        <v>1396</v>
      </c>
      <c r="E608" s="26" t="s">
        <v>1443</v>
      </c>
      <c r="F608" s="26" t="s">
        <v>1505</v>
      </c>
      <c r="G608" s="26">
        <f t="shared" si="9"/>
        <v>-24796.01</v>
      </c>
    </row>
    <row r="609" spans="1:7" x14ac:dyDescent="0.2">
      <c r="A609" s="26">
        <v>41</v>
      </c>
      <c r="B609" s="26">
        <v>25</v>
      </c>
      <c r="C609" s="26">
        <v>66</v>
      </c>
      <c r="D609" s="26" t="s">
        <v>1397</v>
      </c>
      <c r="E609" s="26" t="s">
        <v>1266</v>
      </c>
      <c r="F609" s="26" t="s">
        <v>1723</v>
      </c>
      <c r="G609" s="26">
        <f t="shared" si="9"/>
        <v>-36254.01</v>
      </c>
    </row>
    <row r="610" spans="1:7" x14ac:dyDescent="0.2">
      <c r="A610" s="26">
        <v>40</v>
      </c>
      <c r="B610" s="26">
        <v>26</v>
      </c>
      <c r="C610" s="26">
        <v>66</v>
      </c>
      <c r="D610" s="26" t="s">
        <v>1398</v>
      </c>
      <c r="E610" s="26">
        <v>-49573.517</v>
      </c>
      <c r="F610" s="26">
        <v>302.64</v>
      </c>
      <c r="G610" s="26">
        <f t="shared" si="9"/>
        <v>-49573.517</v>
      </c>
    </row>
    <row r="611" spans="1:7" x14ac:dyDescent="0.2">
      <c r="A611" s="26">
        <v>39</v>
      </c>
      <c r="B611" s="26">
        <v>27</v>
      </c>
      <c r="C611" s="26">
        <v>66</v>
      </c>
      <c r="D611" s="26" t="s">
        <v>1399</v>
      </c>
      <c r="E611" s="26">
        <v>-56111.332000000002</v>
      </c>
      <c r="F611" s="26">
        <v>252.102</v>
      </c>
      <c r="G611" s="26">
        <f t="shared" si="9"/>
        <v>-56111.332000000002</v>
      </c>
    </row>
    <row r="612" spans="1:7" x14ac:dyDescent="0.2">
      <c r="A612" s="26">
        <v>38</v>
      </c>
      <c r="B612" s="26">
        <v>28</v>
      </c>
      <c r="C612" s="26">
        <v>66</v>
      </c>
      <c r="D612" s="26" t="s">
        <v>1400</v>
      </c>
      <c r="E612" s="26">
        <v>-66006.285000000003</v>
      </c>
      <c r="F612" s="26">
        <v>1.397</v>
      </c>
      <c r="G612" s="26">
        <f t="shared" si="9"/>
        <v>-66006.285000000003</v>
      </c>
    </row>
    <row r="613" spans="1:7" x14ac:dyDescent="0.2">
      <c r="A613" s="26">
        <v>37</v>
      </c>
      <c r="B613" s="26">
        <v>29</v>
      </c>
      <c r="C613" s="26">
        <v>66</v>
      </c>
      <c r="D613" s="26" t="s">
        <v>1401</v>
      </c>
      <c r="E613" s="26">
        <v>-66258.274000000005</v>
      </c>
      <c r="F613" s="26">
        <v>0.68300000000000005</v>
      </c>
      <c r="G613" s="26">
        <f t="shared" si="9"/>
        <v>-66258.274000000005</v>
      </c>
    </row>
    <row r="614" spans="1:7" x14ac:dyDescent="0.2">
      <c r="A614" s="26">
        <v>36</v>
      </c>
      <c r="B614" s="26">
        <v>30</v>
      </c>
      <c r="C614" s="26">
        <v>66</v>
      </c>
      <c r="D614" s="26" t="s">
        <v>1402</v>
      </c>
      <c r="E614" s="26">
        <v>-68899.426999999996</v>
      </c>
      <c r="F614" s="26">
        <v>0.92</v>
      </c>
      <c r="G614" s="26">
        <f t="shared" si="9"/>
        <v>-68899.426999999996</v>
      </c>
    </row>
    <row r="615" spans="1:7" x14ac:dyDescent="0.2">
      <c r="A615" s="26">
        <v>35</v>
      </c>
      <c r="B615" s="26">
        <v>31</v>
      </c>
      <c r="C615" s="26">
        <v>66</v>
      </c>
      <c r="D615" s="26" t="s">
        <v>1403</v>
      </c>
      <c r="E615" s="26">
        <v>-63724.427000000003</v>
      </c>
      <c r="F615" s="26">
        <v>3.1379999999999999</v>
      </c>
      <c r="G615" s="26">
        <f t="shared" si="9"/>
        <v>-63724.427000000003</v>
      </c>
    </row>
    <row r="616" spans="1:7" x14ac:dyDescent="0.2">
      <c r="A616" s="26">
        <v>34</v>
      </c>
      <c r="B616" s="26">
        <v>32</v>
      </c>
      <c r="C616" s="26">
        <v>66</v>
      </c>
      <c r="D616" s="26" t="s">
        <v>1404</v>
      </c>
      <c r="E616" s="26">
        <v>-61624.427000000003</v>
      </c>
      <c r="F616" s="26">
        <v>30.164000000000001</v>
      </c>
      <c r="G616" s="26">
        <f t="shared" si="9"/>
        <v>-61624.427000000003</v>
      </c>
    </row>
    <row r="617" spans="1:7" x14ac:dyDescent="0.2">
      <c r="A617" s="26">
        <v>33</v>
      </c>
      <c r="B617" s="26">
        <v>33</v>
      </c>
      <c r="C617" s="26">
        <v>66</v>
      </c>
      <c r="D617" s="26" t="s">
        <v>1405</v>
      </c>
      <c r="E617" s="26">
        <v>-51502.303999999996</v>
      </c>
      <c r="F617" s="26">
        <v>679.99099999999999</v>
      </c>
      <c r="G617" s="26">
        <f t="shared" si="9"/>
        <v>-51502.303999999996</v>
      </c>
    </row>
    <row r="618" spans="1:7" x14ac:dyDescent="0.2">
      <c r="A618" s="26">
        <v>32</v>
      </c>
      <c r="B618" s="26">
        <v>34</v>
      </c>
      <c r="C618" s="26">
        <v>66</v>
      </c>
      <c r="D618" s="26" t="s">
        <v>1406</v>
      </c>
      <c r="E618" s="26" t="s">
        <v>1253</v>
      </c>
      <c r="F618" s="26" t="s">
        <v>1730</v>
      </c>
      <c r="G618" s="26">
        <f t="shared" si="9"/>
        <v>-41722.01</v>
      </c>
    </row>
    <row r="619" spans="1:7" x14ac:dyDescent="0.2">
      <c r="A619" s="26">
        <v>43</v>
      </c>
      <c r="B619" s="26">
        <v>24</v>
      </c>
      <c r="C619" s="26">
        <v>67</v>
      </c>
      <c r="D619" s="26" t="s">
        <v>1396</v>
      </c>
      <c r="E619" s="26" t="s">
        <v>1267</v>
      </c>
      <c r="F619" s="26" t="s">
        <v>1508</v>
      </c>
      <c r="G619" s="26">
        <f t="shared" si="9"/>
        <v>-19049.009999999998</v>
      </c>
    </row>
    <row r="620" spans="1:7" x14ac:dyDescent="0.2">
      <c r="A620" s="26">
        <v>42</v>
      </c>
      <c r="B620" s="26">
        <v>25</v>
      </c>
      <c r="C620" s="26">
        <v>67</v>
      </c>
      <c r="D620" s="26" t="s">
        <v>1397</v>
      </c>
      <c r="E620" s="26" t="s">
        <v>1268</v>
      </c>
      <c r="F620" s="26" t="s">
        <v>1728</v>
      </c>
      <c r="G620" s="26">
        <f t="shared" si="9"/>
        <v>-33403.01</v>
      </c>
    </row>
    <row r="621" spans="1:7" x14ac:dyDescent="0.2">
      <c r="A621" s="26">
        <v>41</v>
      </c>
      <c r="B621" s="26">
        <v>26</v>
      </c>
      <c r="C621" s="26">
        <v>67</v>
      </c>
      <c r="D621" s="26" t="s">
        <v>1398</v>
      </c>
      <c r="E621" s="26">
        <v>-45692.347999999998</v>
      </c>
      <c r="F621" s="26">
        <v>415.57</v>
      </c>
      <c r="G621" s="26">
        <f t="shared" si="9"/>
        <v>-45692.347999999998</v>
      </c>
    </row>
    <row r="622" spans="1:7" x14ac:dyDescent="0.2">
      <c r="A622" s="26">
        <v>40</v>
      </c>
      <c r="B622" s="26">
        <v>27</v>
      </c>
      <c r="C622" s="26">
        <v>67</v>
      </c>
      <c r="D622" s="26" t="s">
        <v>1399</v>
      </c>
      <c r="E622" s="26">
        <v>-55061.048999999999</v>
      </c>
      <c r="F622" s="26">
        <v>318.25900000000001</v>
      </c>
      <c r="G622" s="26">
        <f t="shared" si="9"/>
        <v>-55061.048999999999</v>
      </c>
    </row>
    <row r="623" spans="1:7" x14ac:dyDescent="0.2">
      <c r="A623" s="26">
        <v>39</v>
      </c>
      <c r="B623" s="26">
        <v>28</v>
      </c>
      <c r="C623" s="26">
        <v>67</v>
      </c>
      <c r="D623" s="26" t="s">
        <v>1400</v>
      </c>
      <c r="E623" s="26">
        <v>-63742.68</v>
      </c>
      <c r="F623" s="26">
        <v>2.8879999999999999</v>
      </c>
      <c r="G623" s="26">
        <f t="shared" si="9"/>
        <v>-63742.68</v>
      </c>
    </row>
    <row r="624" spans="1:7" x14ac:dyDescent="0.2">
      <c r="A624" s="26">
        <v>38</v>
      </c>
      <c r="B624" s="26">
        <v>29</v>
      </c>
      <c r="C624" s="26">
        <v>67</v>
      </c>
      <c r="D624" s="26" t="s">
        <v>1401</v>
      </c>
      <c r="E624" s="26">
        <v>-67318.778999999995</v>
      </c>
      <c r="F624" s="26">
        <v>1.2110000000000001</v>
      </c>
      <c r="G624" s="26">
        <f t="shared" si="9"/>
        <v>-67318.778999999995</v>
      </c>
    </row>
    <row r="625" spans="1:7" x14ac:dyDescent="0.2">
      <c r="A625" s="26">
        <v>37</v>
      </c>
      <c r="B625" s="26">
        <v>30</v>
      </c>
      <c r="C625" s="26">
        <v>67</v>
      </c>
      <c r="D625" s="26" t="s">
        <v>1402</v>
      </c>
      <c r="E625" s="26">
        <v>-67880.441000000006</v>
      </c>
      <c r="F625" s="26">
        <v>0.93600000000000005</v>
      </c>
      <c r="G625" s="26">
        <f t="shared" si="9"/>
        <v>-67880.441000000006</v>
      </c>
    </row>
    <row r="626" spans="1:7" x14ac:dyDescent="0.2">
      <c r="A626" s="26">
        <v>36</v>
      </c>
      <c r="B626" s="26">
        <v>31</v>
      </c>
      <c r="C626" s="26">
        <v>67</v>
      </c>
      <c r="D626" s="26" t="s">
        <v>1403</v>
      </c>
      <c r="E626" s="26">
        <v>-66879.683000000005</v>
      </c>
      <c r="F626" s="26">
        <v>1.2709999999999999</v>
      </c>
      <c r="G626" s="26">
        <f t="shared" si="9"/>
        <v>-66879.683000000005</v>
      </c>
    </row>
    <row r="627" spans="1:7" x14ac:dyDescent="0.2">
      <c r="A627" s="26">
        <v>35</v>
      </c>
      <c r="B627" s="26">
        <v>32</v>
      </c>
      <c r="C627" s="26">
        <v>67</v>
      </c>
      <c r="D627" s="26" t="s">
        <v>1404</v>
      </c>
      <c r="E627" s="26">
        <v>-62657.81</v>
      </c>
      <c r="F627" s="26">
        <v>4.6660000000000004</v>
      </c>
      <c r="G627" s="26">
        <f t="shared" si="9"/>
        <v>-62657.81</v>
      </c>
    </row>
    <row r="628" spans="1:7" x14ac:dyDescent="0.2">
      <c r="A628" s="26">
        <v>34</v>
      </c>
      <c r="B628" s="26">
        <v>33</v>
      </c>
      <c r="C628" s="26">
        <v>67</v>
      </c>
      <c r="D628" s="26" t="s">
        <v>1405</v>
      </c>
      <c r="E628" s="26">
        <v>-56647.81</v>
      </c>
      <c r="F628" s="26">
        <v>100.10899999999999</v>
      </c>
      <c r="G628" s="26">
        <f t="shared" si="9"/>
        <v>-56647.81</v>
      </c>
    </row>
    <row r="629" spans="1:7" x14ac:dyDescent="0.2">
      <c r="A629" s="26">
        <v>33</v>
      </c>
      <c r="B629" s="26">
        <v>34</v>
      </c>
      <c r="C629" s="26">
        <v>67</v>
      </c>
      <c r="D629" s="26" t="s">
        <v>1406</v>
      </c>
      <c r="E629" s="26" t="s">
        <v>1254</v>
      </c>
      <c r="F629" s="26" t="s">
        <v>1480</v>
      </c>
      <c r="G629" s="26">
        <f t="shared" si="9"/>
        <v>-46491.01</v>
      </c>
    </row>
    <row r="630" spans="1:7" x14ac:dyDescent="0.2">
      <c r="A630" s="26">
        <v>32</v>
      </c>
      <c r="B630" s="26">
        <v>35</v>
      </c>
      <c r="C630" s="26">
        <v>67</v>
      </c>
      <c r="D630" s="26" t="s">
        <v>1407</v>
      </c>
      <c r="E630" s="26" t="s">
        <v>1255</v>
      </c>
      <c r="F630" s="26" t="s">
        <v>1728</v>
      </c>
      <c r="G630" s="26">
        <f t="shared" si="9"/>
        <v>-32798.01</v>
      </c>
    </row>
    <row r="631" spans="1:7" x14ac:dyDescent="0.2">
      <c r="A631" s="26">
        <v>43</v>
      </c>
      <c r="B631" s="26">
        <v>25</v>
      </c>
      <c r="C631" s="26">
        <v>68</v>
      </c>
      <c r="D631" s="26" t="s">
        <v>1397</v>
      </c>
      <c r="E631" s="26" t="s">
        <v>1269</v>
      </c>
      <c r="F631" s="26" t="s">
        <v>1505</v>
      </c>
      <c r="G631" s="26">
        <f t="shared" si="9"/>
        <v>-28597.01</v>
      </c>
    </row>
    <row r="632" spans="1:7" x14ac:dyDescent="0.2">
      <c r="A632" s="26">
        <v>42</v>
      </c>
      <c r="B632" s="26">
        <v>26</v>
      </c>
      <c r="C632" s="26">
        <v>68</v>
      </c>
      <c r="D632" s="26" t="s">
        <v>1398</v>
      </c>
      <c r="E632" s="26">
        <v>-43128.173000000003</v>
      </c>
      <c r="F632" s="26">
        <v>698.62099999999998</v>
      </c>
      <c r="G632" s="26">
        <f t="shared" si="9"/>
        <v>-43128.173000000003</v>
      </c>
    </row>
    <row r="633" spans="1:7" x14ac:dyDescent="0.2">
      <c r="A633" s="26">
        <v>41</v>
      </c>
      <c r="B633" s="26">
        <v>27</v>
      </c>
      <c r="C633" s="26">
        <v>68</v>
      </c>
      <c r="D633" s="26" t="s">
        <v>1399</v>
      </c>
      <c r="E633" s="26">
        <v>-51350.415000000001</v>
      </c>
      <c r="F633" s="26">
        <v>318.25900000000001</v>
      </c>
      <c r="G633" s="26">
        <f t="shared" si="9"/>
        <v>-51350.415000000001</v>
      </c>
    </row>
    <row r="634" spans="1:7" x14ac:dyDescent="0.2">
      <c r="A634" s="26">
        <v>40</v>
      </c>
      <c r="B634" s="26">
        <v>28</v>
      </c>
      <c r="C634" s="26">
        <v>68</v>
      </c>
      <c r="D634" s="26" t="s">
        <v>1400</v>
      </c>
      <c r="E634" s="26">
        <v>-63463.815000000002</v>
      </c>
      <c r="F634" s="26">
        <v>2.9809999999999999</v>
      </c>
      <c r="G634" s="26">
        <f t="shared" si="9"/>
        <v>-63463.815000000002</v>
      </c>
    </row>
    <row r="635" spans="1:7" x14ac:dyDescent="0.2">
      <c r="A635" s="26">
        <v>39</v>
      </c>
      <c r="B635" s="26">
        <v>29</v>
      </c>
      <c r="C635" s="26">
        <v>68</v>
      </c>
      <c r="D635" s="26" t="s">
        <v>1401</v>
      </c>
      <c r="E635" s="26">
        <v>-65567.035000000003</v>
      </c>
      <c r="F635" s="26">
        <v>1.5840000000000001</v>
      </c>
      <c r="G635" s="26">
        <f t="shared" si="9"/>
        <v>-65567.035000000003</v>
      </c>
    </row>
    <row r="636" spans="1:7" x14ac:dyDescent="0.2">
      <c r="A636" s="26">
        <v>38</v>
      </c>
      <c r="B636" s="26">
        <v>30</v>
      </c>
      <c r="C636" s="26">
        <v>68</v>
      </c>
      <c r="D636" s="26" t="s">
        <v>1402</v>
      </c>
      <c r="E636" s="26">
        <v>-70007.22</v>
      </c>
      <c r="F636" s="26">
        <v>0.95499999999999996</v>
      </c>
      <c r="G636" s="26">
        <f t="shared" si="9"/>
        <v>-70007.22</v>
      </c>
    </row>
    <row r="637" spans="1:7" x14ac:dyDescent="0.2">
      <c r="A637" s="26">
        <v>37</v>
      </c>
      <c r="B637" s="26">
        <v>31</v>
      </c>
      <c r="C637" s="26">
        <v>68</v>
      </c>
      <c r="D637" s="26" t="s">
        <v>1403</v>
      </c>
      <c r="E637" s="26">
        <v>-67086.12</v>
      </c>
      <c r="F637" s="26">
        <v>1.534</v>
      </c>
      <c r="G637" s="26">
        <f t="shared" si="9"/>
        <v>-67086.12</v>
      </c>
    </row>
    <row r="638" spans="1:7" x14ac:dyDescent="0.2">
      <c r="A638" s="26">
        <v>36</v>
      </c>
      <c r="B638" s="26">
        <v>32</v>
      </c>
      <c r="C638" s="26">
        <v>68</v>
      </c>
      <c r="D638" s="26" t="s">
        <v>1404</v>
      </c>
      <c r="E638" s="26">
        <v>-66979.785000000003</v>
      </c>
      <c r="F638" s="26">
        <v>6.2270000000000003</v>
      </c>
      <c r="G638" s="26">
        <f t="shared" si="9"/>
        <v>-66979.785000000003</v>
      </c>
    </row>
    <row r="639" spans="1:7" x14ac:dyDescent="0.2">
      <c r="A639" s="26">
        <v>35</v>
      </c>
      <c r="B639" s="26">
        <v>33</v>
      </c>
      <c r="C639" s="26">
        <v>68</v>
      </c>
      <c r="D639" s="26" t="s">
        <v>1405</v>
      </c>
      <c r="E639" s="26">
        <v>-58899.233</v>
      </c>
      <c r="F639" s="26">
        <v>43.366</v>
      </c>
      <c r="G639" s="26">
        <f t="shared" si="9"/>
        <v>-58899.233</v>
      </c>
    </row>
    <row r="640" spans="1:7" x14ac:dyDescent="0.2">
      <c r="A640" s="26">
        <v>34</v>
      </c>
      <c r="B640" s="26">
        <v>34</v>
      </c>
      <c r="C640" s="26">
        <v>68</v>
      </c>
      <c r="D640" s="26" t="s">
        <v>1406</v>
      </c>
      <c r="E640" s="26">
        <v>-54214.813999999998</v>
      </c>
      <c r="F640" s="26">
        <v>32.601999999999997</v>
      </c>
      <c r="G640" s="26">
        <f t="shared" si="9"/>
        <v>-54214.813999999998</v>
      </c>
    </row>
    <row r="641" spans="1:7" x14ac:dyDescent="0.2">
      <c r="A641" s="26">
        <v>33</v>
      </c>
      <c r="B641" s="26">
        <v>35</v>
      </c>
      <c r="C641" s="26">
        <v>68</v>
      </c>
      <c r="D641" s="26" t="s">
        <v>1407</v>
      </c>
      <c r="E641" s="26" t="s">
        <v>1270</v>
      </c>
      <c r="F641" s="26" t="s">
        <v>1250</v>
      </c>
      <c r="G641" s="26">
        <f t="shared" si="9"/>
        <v>-38642.01</v>
      </c>
    </row>
    <row r="642" spans="1:7" x14ac:dyDescent="0.2">
      <c r="A642" s="26">
        <v>44</v>
      </c>
      <c r="B642" s="26">
        <v>25</v>
      </c>
      <c r="C642" s="26">
        <v>69</v>
      </c>
      <c r="D642" s="26" t="s">
        <v>1397</v>
      </c>
      <c r="E642" s="26" t="s">
        <v>1271</v>
      </c>
      <c r="F642" s="26" t="s">
        <v>1725</v>
      </c>
      <c r="G642" s="26">
        <f t="shared" si="9"/>
        <v>-25299.01</v>
      </c>
    </row>
    <row r="643" spans="1:7" x14ac:dyDescent="0.2">
      <c r="A643" s="26">
        <v>43</v>
      </c>
      <c r="B643" s="26">
        <v>26</v>
      </c>
      <c r="C643" s="26">
        <v>69</v>
      </c>
      <c r="D643" s="26" t="s">
        <v>1398</v>
      </c>
      <c r="E643" s="26" t="s">
        <v>1440</v>
      </c>
      <c r="F643" s="26" t="s">
        <v>1728</v>
      </c>
      <c r="G643" s="26">
        <f t="shared" si="9"/>
        <v>-38396.01</v>
      </c>
    </row>
    <row r="644" spans="1:7" x14ac:dyDescent="0.2">
      <c r="A644" s="26">
        <v>42</v>
      </c>
      <c r="B644" s="26">
        <v>27</v>
      </c>
      <c r="C644" s="26">
        <v>69</v>
      </c>
      <c r="D644" s="26" t="s">
        <v>1399</v>
      </c>
      <c r="E644" s="26">
        <v>-50002.597999999998</v>
      </c>
      <c r="F644" s="26">
        <v>335.33800000000002</v>
      </c>
      <c r="G644" s="26">
        <f t="shared" si="9"/>
        <v>-50002.597999999998</v>
      </c>
    </row>
    <row r="645" spans="1:7" x14ac:dyDescent="0.2">
      <c r="A645" s="26">
        <v>41</v>
      </c>
      <c r="B645" s="26">
        <v>28</v>
      </c>
      <c r="C645" s="26">
        <v>69</v>
      </c>
      <c r="D645" s="26" t="s">
        <v>1400</v>
      </c>
      <c r="E645" s="26">
        <v>-59978.648000000001</v>
      </c>
      <c r="F645" s="26">
        <v>3.726</v>
      </c>
      <c r="G645" s="26">
        <f t="shared" si="9"/>
        <v>-59978.648000000001</v>
      </c>
    </row>
    <row r="646" spans="1:7" x14ac:dyDescent="0.2">
      <c r="A646" s="26">
        <v>40</v>
      </c>
      <c r="B646" s="26">
        <v>29</v>
      </c>
      <c r="C646" s="26">
        <v>69</v>
      </c>
      <c r="D646" s="26" t="s">
        <v>1401</v>
      </c>
      <c r="E646" s="26">
        <v>-65736.213000000003</v>
      </c>
      <c r="F646" s="26">
        <v>1.397</v>
      </c>
      <c r="G646" s="26">
        <f t="shared" si="9"/>
        <v>-65736.213000000003</v>
      </c>
    </row>
    <row r="647" spans="1:7" x14ac:dyDescent="0.2">
      <c r="A647" s="26">
        <v>39</v>
      </c>
      <c r="B647" s="26">
        <v>30</v>
      </c>
      <c r="C647" s="26">
        <v>69</v>
      </c>
      <c r="D647" s="26" t="s">
        <v>1402</v>
      </c>
      <c r="E647" s="26">
        <v>-68417.972999999998</v>
      </c>
      <c r="F647" s="26">
        <v>0.96899999999999997</v>
      </c>
      <c r="G647" s="26">
        <f t="shared" si="9"/>
        <v>-68417.972999999998</v>
      </c>
    </row>
    <row r="648" spans="1:7" x14ac:dyDescent="0.2">
      <c r="A648" s="26">
        <v>38</v>
      </c>
      <c r="B648" s="26">
        <v>31</v>
      </c>
      <c r="C648" s="26">
        <v>69</v>
      </c>
      <c r="D648" s="26" t="s">
        <v>1403</v>
      </c>
      <c r="E648" s="26">
        <v>-69327.758000000002</v>
      </c>
      <c r="F648" s="26">
        <v>1.204</v>
      </c>
      <c r="G648" s="26">
        <f t="shared" si="9"/>
        <v>-69327.758000000002</v>
      </c>
    </row>
    <row r="649" spans="1:7" x14ac:dyDescent="0.2">
      <c r="A649" s="26">
        <v>37</v>
      </c>
      <c r="B649" s="26">
        <v>32</v>
      </c>
      <c r="C649" s="26">
        <v>69</v>
      </c>
      <c r="D649" s="26" t="s">
        <v>1404</v>
      </c>
      <c r="E649" s="26">
        <v>-67100.604999999996</v>
      </c>
      <c r="F649" s="26">
        <v>1.3240000000000001</v>
      </c>
      <c r="G649" s="26">
        <f t="shared" si="9"/>
        <v>-67100.604999999996</v>
      </c>
    </row>
    <row r="650" spans="1:7" x14ac:dyDescent="0.2">
      <c r="A650" s="26">
        <v>36</v>
      </c>
      <c r="B650" s="26">
        <v>33</v>
      </c>
      <c r="C650" s="26">
        <v>69</v>
      </c>
      <c r="D650" s="26" t="s">
        <v>1405</v>
      </c>
      <c r="E650" s="26">
        <v>-63086.665999999997</v>
      </c>
      <c r="F650" s="26">
        <v>31.216000000000001</v>
      </c>
      <c r="G650" s="26">
        <f t="shared" ref="G650:G713" si="10">IF(ISNUMBER(E650),E650,VALUE(SUBSTITUTE(E650,"#",".01")))</f>
        <v>-63086.665999999997</v>
      </c>
    </row>
    <row r="651" spans="1:7" x14ac:dyDescent="0.2">
      <c r="A651" s="26">
        <v>35</v>
      </c>
      <c r="B651" s="26">
        <v>34</v>
      </c>
      <c r="C651" s="26">
        <v>69</v>
      </c>
      <c r="D651" s="26" t="s">
        <v>1406</v>
      </c>
      <c r="E651" s="26">
        <v>-56301.531000000003</v>
      </c>
      <c r="F651" s="26">
        <v>34.442999999999998</v>
      </c>
      <c r="G651" s="26">
        <f t="shared" si="10"/>
        <v>-56301.531000000003</v>
      </c>
    </row>
    <row r="652" spans="1:7" x14ac:dyDescent="0.2">
      <c r="A652" s="26">
        <v>34</v>
      </c>
      <c r="B652" s="26">
        <v>35</v>
      </c>
      <c r="C652" s="26">
        <v>69</v>
      </c>
      <c r="D652" s="26" t="s">
        <v>1407</v>
      </c>
      <c r="E652" s="26" t="s">
        <v>1272</v>
      </c>
      <c r="F652" s="26" t="s">
        <v>1273</v>
      </c>
      <c r="G652" s="26">
        <f t="shared" si="10"/>
        <v>-46476.01</v>
      </c>
    </row>
    <row r="653" spans="1:7" x14ac:dyDescent="0.2">
      <c r="A653" s="26">
        <v>33</v>
      </c>
      <c r="B653" s="26">
        <v>36</v>
      </c>
      <c r="C653" s="26">
        <v>69</v>
      </c>
      <c r="D653" s="26" t="s">
        <v>1408</v>
      </c>
      <c r="E653" s="26" t="s">
        <v>1274</v>
      </c>
      <c r="F653" s="26" t="s">
        <v>1723</v>
      </c>
      <c r="G653" s="26">
        <f t="shared" si="10"/>
        <v>-32435.01</v>
      </c>
    </row>
    <row r="654" spans="1:7" x14ac:dyDescent="0.2">
      <c r="A654" s="26">
        <v>44</v>
      </c>
      <c r="B654" s="26">
        <v>26</v>
      </c>
      <c r="C654" s="26">
        <v>70</v>
      </c>
      <c r="D654" s="26" t="s">
        <v>1398</v>
      </c>
      <c r="E654" s="26" t="s">
        <v>1275</v>
      </c>
      <c r="F654" s="26" t="s">
        <v>1505</v>
      </c>
      <c r="G654" s="26">
        <f t="shared" si="10"/>
        <v>-35900.01</v>
      </c>
    </row>
    <row r="655" spans="1:7" x14ac:dyDescent="0.2">
      <c r="A655" s="26">
        <v>43</v>
      </c>
      <c r="B655" s="26">
        <v>27</v>
      </c>
      <c r="C655" s="26">
        <v>70</v>
      </c>
      <c r="D655" s="26" t="s">
        <v>1399</v>
      </c>
      <c r="E655" s="26">
        <v>-45643.205999999998</v>
      </c>
      <c r="F655" s="26">
        <v>838.34500000000003</v>
      </c>
      <c r="G655" s="26">
        <f t="shared" si="10"/>
        <v>-45643.205999999998</v>
      </c>
    </row>
    <row r="656" spans="1:7" x14ac:dyDescent="0.2">
      <c r="A656" s="26">
        <v>42</v>
      </c>
      <c r="B656" s="26">
        <v>28</v>
      </c>
      <c r="C656" s="26">
        <v>70</v>
      </c>
      <c r="D656" s="26" t="s">
        <v>1400</v>
      </c>
      <c r="E656" s="26">
        <v>-59149.87</v>
      </c>
      <c r="F656" s="26">
        <v>345.8</v>
      </c>
      <c r="G656" s="26">
        <f t="shared" si="10"/>
        <v>-59149.87</v>
      </c>
    </row>
    <row r="657" spans="1:7" x14ac:dyDescent="0.2">
      <c r="A657" s="26">
        <v>41</v>
      </c>
      <c r="B657" s="26">
        <v>29</v>
      </c>
      <c r="C657" s="26">
        <v>70</v>
      </c>
      <c r="D657" s="26" t="s">
        <v>1401</v>
      </c>
      <c r="E657" s="26">
        <v>-62976.127</v>
      </c>
      <c r="F657" s="26">
        <v>1.5840000000000001</v>
      </c>
      <c r="G657" s="26">
        <f t="shared" si="10"/>
        <v>-62976.127</v>
      </c>
    </row>
    <row r="658" spans="1:7" x14ac:dyDescent="0.2">
      <c r="A658" s="26">
        <v>40</v>
      </c>
      <c r="B658" s="26">
        <v>30</v>
      </c>
      <c r="C658" s="26">
        <v>70</v>
      </c>
      <c r="D658" s="26" t="s">
        <v>1402</v>
      </c>
      <c r="E658" s="26">
        <v>-69564.648000000001</v>
      </c>
      <c r="F658" s="26">
        <v>1.952</v>
      </c>
      <c r="G658" s="26">
        <f t="shared" si="10"/>
        <v>-69564.648000000001</v>
      </c>
    </row>
    <row r="659" spans="1:7" x14ac:dyDescent="0.2">
      <c r="A659" s="26">
        <v>39</v>
      </c>
      <c r="B659" s="26">
        <v>31</v>
      </c>
      <c r="C659" s="26">
        <v>70</v>
      </c>
      <c r="D659" s="26" t="s">
        <v>1403</v>
      </c>
      <c r="E659" s="26">
        <v>-68910.089000000007</v>
      </c>
      <c r="F659" s="26">
        <v>1.208</v>
      </c>
      <c r="G659" s="26">
        <f t="shared" si="10"/>
        <v>-68910.089000000007</v>
      </c>
    </row>
    <row r="660" spans="1:7" x14ac:dyDescent="0.2">
      <c r="A660" s="26">
        <v>38</v>
      </c>
      <c r="B660" s="26">
        <v>32</v>
      </c>
      <c r="C660" s="26">
        <v>70</v>
      </c>
      <c r="D660" s="26" t="s">
        <v>1404</v>
      </c>
      <c r="E660" s="26">
        <v>-70563.111000000004</v>
      </c>
      <c r="F660" s="26">
        <v>1.0269999999999999</v>
      </c>
      <c r="G660" s="26">
        <f t="shared" si="10"/>
        <v>-70563.111000000004</v>
      </c>
    </row>
    <row r="661" spans="1:7" x14ac:dyDescent="0.2">
      <c r="A661" s="26">
        <v>37</v>
      </c>
      <c r="B661" s="26">
        <v>33</v>
      </c>
      <c r="C661" s="26">
        <v>70</v>
      </c>
      <c r="D661" s="26" t="s">
        <v>1405</v>
      </c>
      <c r="E661" s="26">
        <v>-64343.110999999997</v>
      </c>
      <c r="F661" s="26">
        <v>50.011000000000003</v>
      </c>
      <c r="G661" s="26">
        <f t="shared" si="10"/>
        <v>-64343.110999999997</v>
      </c>
    </row>
    <row r="662" spans="1:7" x14ac:dyDescent="0.2">
      <c r="A662" s="26">
        <v>36</v>
      </c>
      <c r="B662" s="26">
        <v>34</v>
      </c>
      <c r="C662" s="26">
        <v>70</v>
      </c>
      <c r="D662" s="26" t="s">
        <v>1406</v>
      </c>
      <c r="E662" s="26">
        <v>-62046.216</v>
      </c>
      <c r="F662" s="26">
        <v>61.582000000000001</v>
      </c>
      <c r="G662" s="26">
        <f t="shared" si="10"/>
        <v>-62046.216</v>
      </c>
    </row>
    <row r="663" spans="1:7" x14ac:dyDescent="0.2">
      <c r="A663" s="26">
        <v>35</v>
      </c>
      <c r="B663" s="26">
        <v>35</v>
      </c>
      <c r="C663" s="26">
        <v>70</v>
      </c>
      <c r="D663" s="26" t="s">
        <v>1407</v>
      </c>
      <c r="E663" s="26" t="s">
        <v>1276</v>
      </c>
      <c r="F663" s="26" t="s">
        <v>1277</v>
      </c>
      <c r="G663" s="26">
        <f t="shared" si="10"/>
        <v>-51426.01</v>
      </c>
    </row>
    <row r="664" spans="1:7" x14ac:dyDescent="0.2">
      <c r="A664" s="26">
        <v>34</v>
      </c>
      <c r="B664" s="26">
        <v>36</v>
      </c>
      <c r="C664" s="26">
        <v>70</v>
      </c>
      <c r="D664" s="26" t="s">
        <v>1408</v>
      </c>
      <c r="E664" s="26" t="s">
        <v>1278</v>
      </c>
      <c r="F664" s="26" t="s">
        <v>1279</v>
      </c>
      <c r="G664" s="26">
        <f t="shared" si="10"/>
        <v>-41676.01</v>
      </c>
    </row>
    <row r="665" spans="1:7" x14ac:dyDescent="0.2">
      <c r="A665" s="26">
        <v>45</v>
      </c>
      <c r="B665" s="26">
        <v>26</v>
      </c>
      <c r="C665" s="26">
        <v>71</v>
      </c>
      <c r="D665" s="26" t="s">
        <v>1398</v>
      </c>
      <c r="E665" s="26" t="s">
        <v>1280</v>
      </c>
      <c r="F665" s="26" t="s">
        <v>1725</v>
      </c>
      <c r="G665" s="26">
        <f t="shared" si="10"/>
        <v>-31000.01</v>
      </c>
    </row>
    <row r="666" spans="1:7" x14ac:dyDescent="0.2">
      <c r="A666" s="26">
        <v>44</v>
      </c>
      <c r="B666" s="26">
        <v>27</v>
      </c>
      <c r="C666" s="26">
        <v>71</v>
      </c>
      <c r="D666" s="26" t="s">
        <v>1399</v>
      </c>
      <c r="E666" s="26">
        <v>-43873.368000000002</v>
      </c>
      <c r="F666" s="26">
        <v>838.34500000000003</v>
      </c>
      <c r="G666" s="26">
        <f t="shared" si="10"/>
        <v>-43873.368000000002</v>
      </c>
    </row>
    <row r="667" spans="1:7" x14ac:dyDescent="0.2">
      <c r="A667" s="26">
        <v>43</v>
      </c>
      <c r="B667" s="26">
        <v>28</v>
      </c>
      <c r="C667" s="26">
        <v>71</v>
      </c>
      <c r="D667" s="26" t="s">
        <v>1400</v>
      </c>
      <c r="E667" s="26">
        <v>-55203.796999999999</v>
      </c>
      <c r="F667" s="26">
        <v>368.036</v>
      </c>
      <c r="G667" s="26">
        <f t="shared" si="10"/>
        <v>-55203.796999999999</v>
      </c>
    </row>
    <row r="668" spans="1:7" x14ac:dyDescent="0.2">
      <c r="A668" s="26">
        <v>42</v>
      </c>
      <c r="B668" s="26">
        <v>29</v>
      </c>
      <c r="C668" s="26">
        <v>71</v>
      </c>
      <c r="D668" s="26" t="s">
        <v>1401</v>
      </c>
      <c r="E668" s="26">
        <v>-62711.127</v>
      </c>
      <c r="F668" s="26">
        <v>1.49</v>
      </c>
      <c r="G668" s="26">
        <f t="shared" si="10"/>
        <v>-62711.127</v>
      </c>
    </row>
    <row r="669" spans="1:7" x14ac:dyDescent="0.2">
      <c r="A669" s="26">
        <v>41</v>
      </c>
      <c r="B669" s="26">
        <v>30</v>
      </c>
      <c r="C669" s="26">
        <v>71</v>
      </c>
      <c r="D669" s="26" t="s">
        <v>1402</v>
      </c>
      <c r="E669" s="26">
        <v>-67326.896999999997</v>
      </c>
      <c r="F669" s="26">
        <v>10.189</v>
      </c>
      <c r="G669" s="26">
        <f t="shared" si="10"/>
        <v>-67326.896999999997</v>
      </c>
    </row>
    <row r="670" spans="1:7" x14ac:dyDescent="0.2">
      <c r="A670" s="26">
        <v>40</v>
      </c>
      <c r="B670" s="26">
        <v>31</v>
      </c>
      <c r="C670" s="26">
        <v>71</v>
      </c>
      <c r="D670" s="26" t="s">
        <v>1403</v>
      </c>
      <c r="E670" s="26">
        <v>-70140.241999999998</v>
      </c>
      <c r="F670" s="26">
        <v>1.018</v>
      </c>
      <c r="G670" s="26">
        <f t="shared" si="10"/>
        <v>-70140.241999999998</v>
      </c>
    </row>
    <row r="671" spans="1:7" x14ac:dyDescent="0.2">
      <c r="A671" s="26">
        <v>39</v>
      </c>
      <c r="B671" s="26">
        <v>32</v>
      </c>
      <c r="C671" s="26">
        <v>71</v>
      </c>
      <c r="D671" s="26" t="s">
        <v>1404</v>
      </c>
      <c r="E671" s="26">
        <v>-69907.736000000004</v>
      </c>
      <c r="F671" s="26">
        <v>1.0249999999999999</v>
      </c>
      <c r="G671" s="26">
        <f t="shared" si="10"/>
        <v>-69907.736000000004</v>
      </c>
    </row>
    <row r="672" spans="1:7" x14ac:dyDescent="0.2">
      <c r="A672" s="26">
        <v>38</v>
      </c>
      <c r="B672" s="26">
        <v>33</v>
      </c>
      <c r="C672" s="26">
        <v>71</v>
      </c>
      <c r="D672" s="26" t="s">
        <v>1405</v>
      </c>
      <c r="E672" s="26">
        <v>-67894.335999999996</v>
      </c>
      <c r="F672" s="26">
        <v>4.2089999999999996</v>
      </c>
      <c r="G672" s="26">
        <f t="shared" si="10"/>
        <v>-67894.335999999996</v>
      </c>
    </row>
    <row r="673" spans="1:7" x14ac:dyDescent="0.2">
      <c r="A673" s="26">
        <v>37</v>
      </c>
      <c r="B673" s="26">
        <v>34</v>
      </c>
      <c r="C673" s="26">
        <v>71</v>
      </c>
      <c r="D673" s="26" t="s">
        <v>1406</v>
      </c>
      <c r="E673" s="26">
        <v>-63116.336000000003</v>
      </c>
      <c r="F673" s="26">
        <v>31.587</v>
      </c>
      <c r="G673" s="26">
        <f t="shared" si="10"/>
        <v>-63116.336000000003</v>
      </c>
    </row>
    <row r="674" spans="1:7" x14ac:dyDescent="0.2">
      <c r="A674" s="26">
        <v>36</v>
      </c>
      <c r="B674" s="26">
        <v>35</v>
      </c>
      <c r="C674" s="26">
        <v>71</v>
      </c>
      <c r="D674" s="26" t="s">
        <v>1407</v>
      </c>
      <c r="E674" s="26">
        <v>-57063.322999999997</v>
      </c>
      <c r="F674" s="26">
        <v>568.21100000000001</v>
      </c>
      <c r="G674" s="26">
        <f t="shared" si="10"/>
        <v>-57063.322999999997</v>
      </c>
    </row>
    <row r="675" spans="1:7" x14ac:dyDescent="0.2">
      <c r="A675" s="26">
        <v>35</v>
      </c>
      <c r="B675" s="26">
        <v>36</v>
      </c>
      <c r="C675" s="26">
        <v>71</v>
      </c>
      <c r="D675" s="26" t="s">
        <v>1408</v>
      </c>
      <c r="E675" s="26">
        <v>-46923.322999999997</v>
      </c>
      <c r="F675" s="26">
        <v>652.12300000000005</v>
      </c>
      <c r="G675" s="26">
        <f t="shared" si="10"/>
        <v>-46923.322999999997</v>
      </c>
    </row>
    <row r="676" spans="1:7" x14ac:dyDescent="0.2">
      <c r="A676" s="26">
        <v>34</v>
      </c>
      <c r="B676" s="26">
        <v>37</v>
      </c>
      <c r="C676" s="26">
        <v>71</v>
      </c>
      <c r="D676" s="26" t="s">
        <v>1409</v>
      </c>
      <c r="E676" s="26" t="s">
        <v>1257</v>
      </c>
      <c r="F676" s="26" t="s">
        <v>1728</v>
      </c>
      <c r="G676" s="26">
        <f t="shared" si="10"/>
        <v>-32304.01</v>
      </c>
    </row>
    <row r="677" spans="1:7" x14ac:dyDescent="0.2">
      <c r="A677" s="26">
        <v>46</v>
      </c>
      <c r="B677" s="26">
        <v>26</v>
      </c>
      <c r="C677" s="26">
        <v>72</v>
      </c>
      <c r="D677" s="26" t="s">
        <v>1398</v>
      </c>
      <c r="E677" s="26" t="s">
        <v>1438</v>
      </c>
      <c r="F677" s="26" t="s">
        <v>1725</v>
      </c>
      <c r="G677" s="26">
        <f t="shared" si="10"/>
        <v>-28299.01</v>
      </c>
    </row>
    <row r="678" spans="1:7" x14ac:dyDescent="0.2">
      <c r="A678" s="26">
        <v>45</v>
      </c>
      <c r="B678" s="26">
        <v>27</v>
      </c>
      <c r="C678" s="26">
        <v>72</v>
      </c>
      <c r="D678" s="26" t="s">
        <v>1399</v>
      </c>
      <c r="E678" s="26" t="s">
        <v>1281</v>
      </c>
      <c r="F678" s="26" t="s">
        <v>1505</v>
      </c>
      <c r="G678" s="26">
        <f t="shared" si="10"/>
        <v>-39300.01</v>
      </c>
    </row>
    <row r="679" spans="1:7" x14ac:dyDescent="0.2">
      <c r="A679" s="26">
        <v>44</v>
      </c>
      <c r="B679" s="26">
        <v>28</v>
      </c>
      <c r="C679" s="26">
        <v>72</v>
      </c>
      <c r="D679" s="26" t="s">
        <v>1400</v>
      </c>
      <c r="E679" s="26">
        <v>-53940.319000000003</v>
      </c>
      <c r="F679" s="26">
        <v>436.42500000000001</v>
      </c>
      <c r="G679" s="26">
        <f t="shared" si="10"/>
        <v>-53940.319000000003</v>
      </c>
    </row>
    <row r="680" spans="1:7" x14ac:dyDescent="0.2">
      <c r="A680" s="26">
        <v>43</v>
      </c>
      <c r="B680" s="26">
        <v>29</v>
      </c>
      <c r="C680" s="26">
        <v>72</v>
      </c>
      <c r="D680" s="26" t="s">
        <v>1401</v>
      </c>
      <c r="E680" s="26">
        <v>-59782.999000000003</v>
      </c>
      <c r="F680" s="26">
        <v>1.397</v>
      </c>
      <c r="G680" s="26">
        <f t="shared" si="10"/>
        <v>-59782.999000000003</v>
      </c>
    </row>
    <row r="681" spans="1:7" x14ac:dyDescent="0.2">
      <c r="A681" s="26">
        <v>42</v>
      </c>
      <c r="B681" s="26">
        <v>30</v>
      </c>
      <c r="C681" s="26">
        <v>72</v>
      </c>
      <c r="D681" s="26" t="s">
        <v>1402</v>
      </c>
      <c r="E681" s="26">
        <v>-68131.38</v>
      </c>
      <c r="F681" s="26">
        <v>6.0860000000000003</v>
      </c>
      <c r="G681" s="26">
        <f t="shared" si="10"/>
        <v>-68131.38</v>
      </c>
    </row>
    <row r="682" spans="1:7" x14ac:dyDescent="0.2">
      <c r="A682" s="26">
        <v>41</v>
      </c>
      <c r="B682" s="26">
        <v>31</v>
      </c>
      <c r="C682" s="26">
        <v>72</v>
      </c>
      <c r="D682" s="26" t="s">
        <v>1403</v>
      </c>
      <c r="E682" s="26">
        <v>-68589.38</v>
      </c>
      <c r="F682" s="26">
        <v>1.0169999999999999</v>
      </c>
      <c r="G682" s="26">
        <f t="shared" si="10"/>
        <v>-68589.38</v>
      </c>
    </row>
    <row r="683" spans="1:7" x14ac:dyDescent="0.2">
      <c r="A683" s="26">
        <v>40</v>
      </c>
      <c r="B683" s="26">
        <v>32</v>
      </c>
      <c r="C683" s="26">
        <v>72</v>
      </c>
      <c r="D683" s="26" t="s">
        <v>1404</v>
      </c>
      <c r="E683" s="26">
        <v>-72585.910999999993</v>
      </c>
      <c r="F683" s="26">
        <v>1.635</v>
      </c>
      <c r="G683" s="26">
        <f t="shared" si="10"/>
        <v>-72585.910999999993</v>
      </c>
    </row>
    <row r="684" spans="1:7" x14ac:dyDescent="0.2">
      <c r="A684" s="26">
        <v>39</v>
      </c>
      <c r="B684" s="26">
        <v>33</v>
      </c>
      <c r="C684" s="26">
        <v>72</v>
      </c>
      <c r="D684" s="26" t="s">
        <v>1405</v>
      </c>
      <c r="E684" s="26">
        <v>-68229.808999999994</v>
      </c>
      <c r="F684" s="26">
        <v>4.3979999999999997</v>
      </c>
      <c r="G684" s="26">
        <f t="shared" si="10"/>
        <v>-68229.808999999994</v>
      </c>
    </row>
    <row r="685" spans="1:7" x14ac:dyDescent="0.2">
      <c r="A685" s="26">
        <v>38</v>
      </c>
      <c r="B685" s="26">
        <v>34</v>
      </c>
      <c r="C685" s="26">
        <v>72</v>
      </c>
      <c r="D685" s="26" t="s">
        <v>1406</v>
      </c>
      <c r="E685" s="26">
        <v>-67894.407000000007</v>
      </c>
      <c r="F685" s="26">
        <v>12.057</v>
      </c>
      <c r="G685" s="26">
        <f t="shared" si="10"/>
        <v>-67894.407000000007</v>
      </c>
    </row>
    <row r="686" spans="1:7" x14ac:dyDescent="0.2">
      <c r="A686" s="26">
        <v>37</v>
      </c>
      <c r="B686" s="26">
        <v>35</v>
      </c>
      <c r="C686" s="26">
        <v>72</v>
      </c>
      <c r="D686" s="26" t="s">
        <v>1407</v>
      </c>
      <c r="E686" s="26">
        <v>-59015.201000000001</v>
      </c>
      <c r="F686" s="26">
        <v>59.61</v>
      </c>
      <c r="G686" s="26">
        <f t="shared" si="10"/>
        <v>-59015.201000000001</v>
      </c>
    </row>
    <row r="687" spans="1:7" x14ac:dyDescent="0.2">
      <c r="A687" s="26">
        <v>36</v>
      </c>
      <c r="B687" s="26">
        <v>36</v>
      </c>
      <c r="C687" s="26">
        <v>72</v>
      </c>
      <c r="D687" s="26" t="s">
        <v>1408</v>
      </c>
      <c r="E687" s="26">
        <v>-53940.919000000002</v>
      </c>
      <c r="F687" s="26">
        <v>7.9930000000000003</v>
      </c>
      <c r="G687" s="26">
        <f t="shared" si="10"/>
        <v>-53940.919000000002</v>
      </c>
    </row>
    <row r="688" spans="1:7" x14ac:dyDescent="0.2">
      <c r="A688" s="26">
        <v>35</v>
      </c>
      <c r="B688" s="26">
        <v>37</v>
      </c>
      <c r="C688" s="26">
        <v>72</v>
      </c>
      <c r="D688" s="26" t="s">
        <v>1409</v>
      </c>
      <c r="E688" s="26" t="s">
        <v>1259</v>
      </c>
      <c r="F688" s="26" t="s">
        <v>1728</v>
      </c>
      <c r="G688" s="26">
        <f t="shared" si="10"/>
        <v>-38117.01</v>
      </c>
    </row>
    <row r="689" spans="1:7" x14ac:dyDescent="0.2">
      <c r="A689" s="26">
        <v>46</v>
      </c>
      <c r="B689" s="26">
        <v>27</v>
      </c>
      <c r="C689" s="26">
        <v>73</v>
      </c>
      <c r="D689" s="26" t="s">
        <v>1399</v>
      </c>
      <c r="E689" s="26" t="s">
        <v>1282</v>
      </c>
      <c r="F689" s="26" t="s">
        <v>1508</v>
      </c>
      <c r="G689" s="26">
        <f t="shared" si="10"/>
        <v>-37036.01</v>
      </c>
    </row>
    <row r="690" spans="1:7" x14ac:dyDescent="0.2">
      <c r="A690" s="26">
        <v>45</v>
      </c>
      <c r="B690" s="26">
        <v>28</v>
      </c>
      <c r="C690" s="26">
        <v>73</v>
      </c>
      <c r="D690" s="26" t="s">
        <v>1400</v>
      </c>
      <c r="E690" s="26" t="s">
        <v>1283</v>
      </c>
      <c r="F690" s="26" t="s">
        <v>1730</v>
      </c>
      <c r="G690" s="26">
        <f t="shared" si="10"/>
        <v>-49863.01</v>
      </c>
    </row>
    <row r="691" spans="1:7" x14ac:dyDescent="0.2">
      <c r="A691" s="26">
        <v>44</v>
      </c>
      <c r="B691" s="26">
        <v>29</v>
      </c>
      <c r="C691" s="26">
        <v>73</v>
      </c>
      <c r="D691" s="26" t="s">
        <v>1401</v>
      </c>
      <c r="E691" s="26">
        <v>-58986.595000000001</v>
      </c>
      <c r="F691" s="26">
        <v>3.9119999999999999</v>
      </c>
      <c r="G691" s="26">
        <f t="shared" si="10"/>
        <v>-58986.595000000001</v>
      </c>
    </row>
    <row r="692" spans="1:7" x14ac:dyDescent="0.2">
      <c r="A692" s="26">
        <v>43</v>
      </c>
      <c r="B692" s="26">
        <v>30</v>
      </c>
      <c r="C692" s="26">
        <v>73</v>
      </c>
      <c r="D692" s="26" t="s">
        <v>1402</v>
      </c>
      <c r="E692" s="26">
        <v>-65410.343000000001</v>
      </c>
      <c r="F692" s="26">
        <v>40.033999999999999</v>
      </c>
      <c r="G692" s="26">
        <f t="shared" si="10"/>
        <v>-65410.343000000001</v>
      </c>
    </row>
    <row r="693" spans="1:7" x14ac:dyDescent="0.2">
      <c r="A693" s="26">
        <v>42</v>
      </c>
      <c r="B693" s="26">
        <v>31</v>
      </c>
      <c r="C693" s="26">
        <v>73</v>
      </c>
      <c r="D693" s="26" t="s">
        <v>1403</v>
      </c>
      <c r="E693" s="26">
        <v>-69699.335000000006</v>
      </c>
      <c r="F693" s="26">
        <v>1.677</v>
      </c>
      <c r="G693" s="26">
        <f t="shared" si="10"/>
        <v>-69699.335000000006</v>
      </c>
    </row>
    <row r="694" spans="1:7" x14ac:dyDescent="0.2">
      <c r="A694" s="26">
        <v>41</v>
      </c>
      <c r="B694" s="26">
        <v>32</v>
      </c>
      <c r="C694" s="26">
        <v>73</v>
      </c>
      <c r="D694" s="26" t="s">
        <v>1404</v>
      </c>
      <c r="E694" s="26">
        <v>-71297.534</v>
      </c>
      <c r="F694" s="26">
        <v>1.635</v>
      </c>
      <c r="G694" s="26">
        <f t="shared" si="10"/>
        <v>-71297.534</v>
      </c>
    </row>
    <row r="695" spans="1:7" x14ac:dyDescent="0.2">
      <c r="A695" s="26">
        <v>40</v>
      </c>
      <c r="B695" s="26">
        <v>33</v>
      </c>
      <c r="C695" s="26">
        <v>73</v>
      </c>
      <c r="D695" s="26" t="s">
        <v>1405</v>
      </c>
      <c r="E695" s="26">
        <v>-70956.701000000001</v>
      </c>
      <c r="F695" s="26">
        <v>3.9279999999999999</v>
      </c>
      <c r="G695" s="26">
        <f t="shared" si="10"/>
        <v>-70956.701000000001</v>
      </c>
    </row>
    <row r="696" spans="1:7" x14ac:dyDescent="0.2">
      <c r="A696" s="26">
        <v>39</v>
      </c>
      <c r="B696" s="26">
        <v>34</v>
      </c>
      <c r="C696" s="26">
        <v>73</v>
      </c>
      <c r="D696" s="26" t="s">
        <v>1406</v>
      </c>
      <c r="E696" s="26">
        <v>-68217.642000000007</v>
      </c>
      <c r="F696" s="26">
        <v>10.689</v>
      </c>
      <c r="G696" s="26">
        <f t="shared" si="10"/>
        <v>-68217.642000000007</v>
      </c>
    </row>
    <row r="697" spans="1:7" x14ac:dyDescent="0.2">
      <c r="A697" s="26">
        <v>38</v>
      </c>
      <c r="B697" s="26">
        <v>35</v>
      </c>
      <c r="C697" s="26">
        <v>73</v>
      </c>
      <c r="D697" s="26" t="s">
        <v>1407</v>
      </c>
      <c r="E697" s="26">
        <v>-63628.936000000002</v>
      </c>
      <c r="F697" s="26">
        <v>50.79</v>
      </c>
      <c r="G697" s="26">
        <f t="shared" si="10"/>
        <v>-63628.936000000002</v>
      </c>
    </row>
    <row r="698" spans="1:7" x14ac:dyDescent="0.2">
      <c r="A698" s="26">
        <v>37</v>
      </c>
      <c r="B698" s="26">
        <v>36</v>
      </c>
      <c r="C698" s="26">
        <v>73</v>
      </c>
      <c r="D698" s="26" t="s">
        <v>1408</v>
      </c>
      <c r="E698" s="26">
        <v>-56551.750999999997</v>
      </c>
      <c r="F698" s="26">
        <v>6.5780000000000003</v>
      </c>
      <c r="G698" s="26">
        <f t="shared" si="10"/>
        <v>-56551.750999999997</v>
      </c>
    </row>
    <row r="699" spans="1:7" x14ac:dyDescent="0.2">
      <c r="A699" s="26">
        <v>36</v>
      </c>
      <c r="B699" s="26">
        <v>37</v>
      </c>
      <c r="C699" s="26">
        <v>73</v>
      </c>
      <c r="D699" s="26" t="s">
        <v>1409</v>
      </c>
      <c r="E699" s="26" t="s">
        <v>1284</v>
      </c>
      <c r="F699" s="26" t="s">
        <v>1285</v>
      </c>
      <c r="G699" s="26">
        <f t="shared" si="10"/>
        <v>-46052.01</v>
      </c>
    </row>
    <row r="700" spans="1:7" x14ac:dyDescent="0.2">
      <c r="A700" s="26">
        <v>35</v>
      </c>
      <c r="B700" s="26">
        <v>38</v>
      </c>
      <c r="C700" s="26">
        <v>73</v>
      </c>
      <c r="D700" s="26" t="s">
        <v>1410</v>
      </c>
      <c r="E700" s="26" t="s">
        <v>1261</v>
      </c>
      <c r="F700" s="26" t="s">
        <v>1505</v>
      </c>
      <c r="G700" s="26">
        <f t="shared" si="10"/>
        <v>-31699.01</v>
      </c>
    </row>
    <row r="701" spans="1:7" x14ac:dyDescent="0.2">
      <c r="A701" s="26">
        <v>47</v>
      </c>
      <c r="B701" s="26">
        <v>27</v>
      </c>
      <c r="C701" s="26">
        <v>74</v>
      </c>
      <c r="D701" s="26" t="s">
        <v>1399</v>
      </c>
      <c r="E701" s="26" t="s">
        <v>1286</v>
      </c>
      <c r="F701" s="26" t="s">
        <v>1725</v>
      </c>
      <c r="G701" s="26">
        <f t="shared" si="10"/>
        <v>-32248.01</v>
      </c>
    </row>
    <row r="702" spans="1:7" x14ac:dyDescent="0.2">
      <c r="A702" s="26">
        <v>46</v>
      </c>
      <c r="B702" s="26">
        <v>28</v>
      </c>
      <c r="C702" s="26">
        <v>74</v>
      </c>
      <c r="D702" s="26" t="s">
        <v>1400</v>
      </c>
      <c r="E702" s="26" t="s">
        <v>1287</v>
      </c>
      <c r="F702" s="26" t="s">
        <v>1723</v>
      </c>
      <c r="G702" s="26">
        <f t="shared" si="10"/>
        <v>-48372.01</v>
      </c>
    </row>
    <row r="703" spans="1:7" x14ac:dyDescent="0.2">
      <c r="A703" s="26">
        <v>45</v>
      </c>
      <c r="B703" s="26">
        <v>29</v>
      </c>
      <c r="C703" s="26">
        <v>74</v>
      </c>
      <c r="D703" s="26" t="s">
        <v>1401</v>
      </c>
      <c r="E703" s="26">
        <v>-56006.205000000002</v>
      </c>
      <c r="F703" s="26">
        <v>6.1479999999999997</v>
      </c>
      <c r="G703" s="26">
        <f t="shared" si="10"/>
        <v>-56006.205000000002</v>
      </c>
    </row>
    <row r="704" spans="1:7" x14ac:dyDescent="0.2">
      <c r="A704" s="26">
        <v>44</v>
      </c>
      <c r="B704" s="26">
        <v>30</v>
      </c>
      <c r="C704" s="26">
        <v>74</v>
      </c>
      <c r="D704" s="26" t="s">
        <v>1402</v>
      </c>
      <c r="E704" s="26">
        <v>-65708.883000000002</v>
      </c>
      <c r="F704" s="26">
        <v>47.137999999999998</v>
      </c>
      <c r="G704" s="26">
        <f t="shared" si="10"/>
        <v>-65708.883000000002</v>
      </c>
    </row>
    <row r="705" spans="1:7" x14ac:dyDescent="0.2">
      <c r="A705" s="26">
        <v>43</v>
      </c>
      <c r="B705" s="26">
        <v>31</v>
      </c>
      <c r="C705" s="26">
        <v>74</v>
      </c>
      <c r="D705" s="26" t="s">
        <v>1403</v>
      </c>
      <c r="E705" s="26">
        <v>-68049.585000000006</v>
      </c>
      <c r="F705" s="26">
        <v>3.726</v>
      </c>
      <c r="G705" s="26">
        <f t="shared" si="10"/>
        <v>-68049.585000000006</v>
      </c>
    </row>
    <row r="706" spans="1:7" x14ac:dyDescent="0.2">
      <c r="A706" s="26">
        <v>42</v>
      </c>
      <c r="B706" s="26">
        <v>32</v>
      </c>
      <c r="C706" s="26">
        <v>74</v>
      </c>
      <c r="D706" s="26" t="s">
        <v>1404</v>
      </c>
      <c r="E706" s="26">
        <v>-73422.437000000005</v>
      </c>
      <c r="F706" s="26">
        <v>1.635</v>
      </c>
      <c r="G706" s="26">
        <f t="shared" si="10"/>
        <v>-73422.437000000005</v>
      </c>
    </row>
    <row r="707" spans="1:7" x14ac:dyDescent="0.2">
      <c r="A707" s="26">
        <v>41</v>
      </c>
      <c r="B707" s="26">
        <v>33</v>
      </c>
      <c r="C707" s="26">
        <v>74</v>
      </c>
      <c r="D707" s="26" t="s">
        <v>1405</v>
      </c>
      <c r="E707" s="26">
        <v>-70859.967000000004</v>
      </c>
      <c r="F707" s="26">
        <v>2.3490000000000002</v>
      </c>
      <c r="G707" s="26">
        <f t="shared" si="10"/>
        <v>-70859.967000000004</v>
      </c>
    </row>
    <row r="708" spans="1:7" x14ac:dyDescent="0.2">
      <c r="A708" s="26">
        <v>40</v>
      </c>
      <c r="B708" s="26">
        <v>34</v>
      </c>
      <c r="C708" s="26">
        <v>74</v>
      </c>
      <c r="D708" s="26" t="s">
        <v>1406</v>
      </c>
      <c r="E708" s="26">
        <v>-72212.735000000001</v>
      </c>
      <c r="F708" s="26">
        <v>1.6759999999999999</v>
      </c>
      <c r="G708" s="26">
        <f t="shared" si="10"/>
        <v>-72212.735000000001</v>
      </c>
    </row>
    <row r="709" spans="1:7" x14ac:dyDescent="0.2">
      <c r="A709" s="26">
        <v>39</v>
      </c>
      <c r="B709" s="26">
        <v>35</v>
      </c>
      <c r="C709" s="26">
        <v>74</v>
      </c>
      <c r="D709" s="26" t="s">
        <v>1407</v>
      </c>
      <c r="E709" s="26">
        <v>-65306.080999999998</v>
      </c>
      <c r="F709" s="26">
        <v>15.093</v>
      </c>
      <c r="G709" s="26">
        <f t="shared" si="10"/>
        <v>-65306.080999999998</v>
      </c>
    </row>
    <row r="710" spans="1:7" x14ac:dyDescent="0.2">
      <c r="A710" s="26">
        <v>38</v>
      </c>
      <c r="B710" s="26">
        <v>36</v>
      </c>
      <c r="C710" s="26">
        <v>74</v>
      </c>
      <c r="D710" s="26" t="s">
        <v>1408</v>
      </c>
      <c r="E710" s="26">
        <v>-62331.508999999998</v>
      </c>
      <c r="F710" s="26">
        <v>2.04</v>
      </c>
      <c r="G710" s="26">
        <f t="shared" si="10"/>
        <v>-62331.508999999998</v>
      </c>
    </row>
    <row r="711" spans="1:7" x14ac:dyDescent="0.2">
      <c r="A711" s="26">
        <v>37</v>
      </c>
      <c r="B711" s="26">
        <v>37</v>
      </c>
      <c r="C711" s="26">
        <v>74</v>
      </c>
      <c r="D711" s="26" t="s">
        <v>1409</v>
      </c>
      <c r="E711" s="26">
        <v>-51917.05</v>
      </c>
      <c r="F711" s="26">
        <v>3.6749999999999998</v>
      </c>
      <c r="G711" s="26">
        <f t="shared" si="10"/>
        <v>-51917.05</v>
      </c>
    </row>
    <row r="712" spans="1:7" x14ac:dyDescent="0.2">
      <c r="A712" s="26">
        <v>36</v>
      </c>
      <c r="B712" s="26">
        <v>38</v>
      </c>
      <c r="C712" s="26">
        <v>74</v>
      </c>
      <c r="D712" s="26" t="s">
        <v>1410</v>
      </c>
      <c r="E712" s="26" t="s">
        <v>1575</v>
      </c>
      <c r="F712" s="26" t="s">
        <v>1728</v>
      </c>
      <c r="G712" s="26">
        <f t="shared" si="10"/>
        <v>-40697.01</v>
      </c>
    </row>
    <row r="713" spans="1:7" x14ac:dyDescent="0.2">
      <c r="A713" s="26">
        <v>48</v>
      </c>
      <c r="B713" s="26">
        <v>27</v>
      </c>
      <c r="C713" s="26">
        <v>75</v>
      </c>
      <c r="D713" s="26" t="s">
        <v>1399</v>
      </c>
      <c r="E713" s="26" t="s">
        <v>1288</v>
      </c>
      <c r="F713" s="26" t="s">
        <v>1725</v>
      </c>
      <c r="G713" s="26">
        <f t="shared" si="10"/>
        <v>-29500.01</v>
      </c>
    </row>
    <row r="714" spans="1:7" x14ac:dyDescent="0.2">
      <c r="A714" s="26">
        <v>47</v>
      </c>
      <c r="B714" s="26">
        <v>28</v>
      </c>
      <c r="C714" s="26">
        <v>75</v>
      </c>
      <c r="D714" s="26" t="s">
        <v>1400</v>
      </c>
      <c r="E714" s="26" t="s">
        <v>1651</v>
      </c>
      <c r="F714" s="26" t="s">
        <v>1723</v>
      </c>
      <c r="G714" s="26">
        <f t="shared" ref="G714:G777" si="11">IF(ISNUMBER(E714),E714,VALUE(SUBSTITUTE(E714,"#",".01")))</f>
        <v>-43901.01</v>
      </c>
    </row>
    <row r="715" spans="1:7" x14ac:dyDescent="0.2">
      <c r="A715" s="26">
        <v>46</v>
      </c>
      <c r="B715" s="26">
        <v>29</v>
      </c>
      <c r="C715" s="26">
        <v>75</v>
      </c>
      <c r="D715" s="26" t="s">
        <v>1401</v>
      </c>
      <c r="E715" s="26">
        <v>-54119.802000000003</v>
      </c>
      <c r="F715" s="26">
        <v>978.06899999999996</v>
      </c>
      <c r="G715" s="26">
        <f t="shared" si="11"/>
        <v>-54119.802000000003</v>
      </c>
    </row>
    <row r="716" spans="1:7" x14ac:dyDescent="0.2">
      <c r="A716" s="26">
        <v>45</v>
      </c>
      <c r="B716" s="26">
        <v>30</v>
      </c>
      <c r="C716" s="26">
        <v>75</v>
      </c>
      <c r="D716" s="26" t="s">
        <v>1402</v>
      </c>
      <c r="E716" s="26">
        <v>-62469.023000000001</v>
      </c>
      <c r="F716" s="26">
        <v>70.63</v>
      </c>
      <c r="G716" s="26">
        <f t="shared" si="11"/>
        <v>-62469.023000000001</v>
      </c>
    </row>
    <row r="717" spans="1:7" x14ac:dyDescent="0.2">
      <c r="A717" s="26">
        <v>44</v>
      </c>
      <c r="B717" s="26">
        <v>31</v>
      </c>
      <c r="C717" s="26">
        <v>75</v>
      </c>
      <c r="D717" s="26" t="s">
        <v>1403</v>
      </c>
      <c r="E717" s="26">
        <v>-68464.58</v>
      </c>
      <c r="F717" s="26">
        <v>2.4220000000000002</v>
      </c>
      <c r="G717" s="26">
        <f t="shared" si="11"/>
        <v>-68464.58</v>
      </c>
    </row>
    <row r="718" spans="1:7" x14ac:dyDescent="0.2">
      <c r="A718" s="26">
        <v>43</v>
      </c>
      <c r="B718" s="26">
        <v>32</v>
      </c>
      <c r="C718" s="26">
        <v>75</v>
      </c>
      <c r="D718" s="26" t="s">
        <v>1404</v>
      </c>
      <c r="E718" s="26">
        <v>-71856.426999999996</v>
      </c>
      <c r="F718" s="26">
        <v>1.6359999999999999</v>
      </c>
      <c r="G718" s="26">
        <f t="shared" si="11"/>
        <v>-71856.426999999996</v>
      </c>
    </row>
    <row r="719" spans="1:7" x14ac:dyDescent="0.2">
      <c r="A719" s="26">
        <v>42</v>
      </c>
      <c r="B719" s="26">
        <v>33</v>
      </c>
      <c r="C719" s="26">
        <v>75</v>
      </c>
      <c r="D719" s="26" t="s">
        <v>1405</v>
      </c>
      <c r="E719" s="26">
        <v>-73032.41</v>
      </c>
      <c r="F719" s="26">
        <v>1.8180000000000001</v>
      </c>
      <c r="G719" s="26">
        <f t="shared" si="11"/>
        <v>-73032.41</v>
      </c>
    </row>
    <row r="720" spans="1:7" x14ac:dyDescent="0.2">
      <c r="A720" s="26">
        <v>41</v>
      </c>
      <c r="B720" s="26">
        <v>34</v>
      </c>
      <c r="C720" s="26">
        <v>75</v>
      </c>
      <c r="D720" s="26" t="s">
        <v>1406</v>
      </c>
      <c r="E720" s="26">
        <v>-72169.017999999996</v>
      </c>
      <c r="F720" s="26">
        <v>1.6739999999999999</v>
      </c>
      <c r="G720" s="26">
        <f t="shared" si="11"/>
        <v>-72169.017999999996</v>
      </c>
    </row>
    <row r="721" spans="1:7" x14ac:dyDescent="0.2">
      <c r="A721" s="26">
        <v>40</v>
      </c>
      <c r="B721" s="26">
        <v>35</v>
      </c>
      <c r="C721" s="26">
        <v>75</v>
      </c>
      <c r="D721" s="26" t="s">
        <v>1407</v>
      </c>
      <c r="E721" s="26">
        <v>-69139.017999999996</v>
      </c>
      <c r="F721" s="26">
        <v>14.241</v>
      </c>
      <c r="G721" s="26">
        <f t="shared" si="11"/>
        <v>-69139.017999999996</v>
      </c>
    </row>
    <row r="722" spans="1:7" x14ac:dyDescent="0.2">
      <c r="A722" s="26">
        <v>39</v>
      </c>
      <c r="B722" s="26">
        <v>36</v>
      </c>
      <c r="C722" s="26">
        <v>75</v>
      </c>
      <c r="D722" s="26" t="s">
        <v>1408</v>
      </c>
      <c r="E722" s="26">
        <v>-64323.624000000003</v>
      </c>
      <c r="F722" s="26">
        <v>8.1039999999999992</v>
      </c>
      <c r="G722" s="26">
        <f t="shared" si="11"/>
        <v>-64323.624000000003</v>
      </c>
    </row>
    <row r="723" spans="1:7" x14ac:dyDescent="0.2">
      <c r="A723" s="26">
        <v>38</v>
      </c>
      <c r="B723" s="26">
        <v>37</v>
      </c>
      <c r="C723" s="26">
        <v>75</v>
      </c>
      <c r="D723" s="26" t="s">
        <v>1409</v>
      </c>
      <c r="E723" s="26">
        <v>-57221.677000000003</v>
      </c>
      <c r="F723" s="26">
        <v>7.452</v>
      </c>
      <c r="G723" s="26">
        <f t="shared" si="11"/>
        <v>-57221.677000000003</v>
      </c>
    </row>
    <row r="724" spans="1:7" x14ac:dyDescent="0.2">
      <c r="A724" s="26">
        <v>37</v>
      </c>
      <c r="B724" s="26">
        <v>38</v>
      </c>
      <c r="C724" s="26">
        <v>75</v>
      </c>
      <c r="D724" s="26" t="s">
        <v>1410</v>
      </c>
      <c r="E724" s="26">
        <v>-46621.677000000003</v>
      </c>
      <c r="F724" s="26">
        <v>220.126</v>
      </c>
      <c r="G724" s="26">
        <f t="shared" si="11"/>
        <v>-46621.677000000003</v>
      </c>
    </row>
    <row r="725" spans="1:7" x14ac:dyDescent="0.2">
      <c r="A725" s="26">
        <v>48</v>
      </c>
      <c r="B725" s="26">
        <v>28</v>
      </c>
      <c r="C725" s="26">
        <v>76</v>
      </c>
      <c r="D725" s="26" t="s">
        <v>1400</v>
      </c>
      <c r="E725" s="26" t="s">
        <v>1577</v>
      </c>
      <c r="F725" s="26" t="s">
        <v>1731</v>
      </c>
      <c r="G725" s="26">
        <f t="shared" si="11"/>
        <v>-41610.01</v>
      </c>
    </row>
    <row r="726" spans="1:7" x14ac:dyDescent="0.2">
      <c r="A726" s="26">
        <v>47</v>
      </c>
      <c r="B726" s="26">
        <v>29</v>
      </c>
      <c r="C726" s="26">
        <v>76</v>
      </c>
      <c r="D726" s="26" t="s">
        <v>1401</v>
      </c>
      <c r="E726" s="26">
        <v>-50975.985000000001</v>
      </c>
      <c r="F726" s="26">
        <v>6.7069999999999999</v>
      </c>
      <c r="G726" s="26">
        <f t="shared" si="11"/>
        <v>-50975.985000000001</v>
      </c>
    </row>
    <row r="727" spans="1:7" x14ac:dyDescent="0.2">
      <c r="A727" s="26">
        <v>46</v>
      </c>
      <c r="B727" s="26">
        <v>30</v>
      </c>
      <c r="C727" s="26">
        <v>76</v>
      </c>
      <c r="D727" s="26" t="s">
        <v>1402</v>
      </c>
      <c r="E727" s="26">
        <v>-62136.639999999999</v>
      </c>
      <c r="F727" s="26">
        <v>80.024000000000001</v>
      </c>
      <c r="G727" s="26">
        <f t="shared" si="11"/>
        <v>-62136.639999999999</v>
      </c>
    </row>
    <row r="728" spans="1:7" x14ac:dyDescent="0.2">
      <c r="A728" s="26">
        <v>45</v>
      </c>
      <c r="B728" s="26">
        <v>31</v>
      </c>
      <c r="C728" s="26">
        <v>76</v>
      </c>
      <c r="D728" s="26" t="s">
        <v>1403</v>
      </c>
      <c r="E728" s="26">
        <v>-66296.639999999999</v>
      </c>
      <c r="F728" s="26">
        <v>1.956</v>
      </c>
      <c r="G728" s="26">
        <f t="shared" si="11"/>
        <v>-66296.639999999999</v>
      </c>
    </row>
    <row r="729" spans="1:7" x14ac:dyDescent="0.2">
      <c r="A729" s="26">
        <v>44</v>
      </c>
      <c r="B729" s="26">
        <v>32</v>
      </c>
      <c r="C729" s="26">
        <v>76</v>
      </c>
      <c r="D729" s="26" t="s">
        <v>1404</v>
      </c>
      <c r="E729" s="26">
        <v>-73213.046000000002</v>
      </c>
      <c r="F729" s="26">
        <v>1.651</v>
      </c>
      <c r="G729" s="26">
        <f t="shared" si="11"/>
        <v>-73213.046000000002</v>
      </c>
    </row>
    <row r="730" spans="1:7" x14ac:dyDescent="0.2">
      <c r="A730" s="26">
        <v>43</v>
      </c>
      <c r="B730" s="26">
        <v>33</v>
      </c>
      <c r="C730" s="26">
        <v>76</v>
      </c>
      <c r="D730" s="26" t="s">
        <v>1405</v>
      </c>
      <c r="E730" s="26">
        <v>-72289.504000000001</v>
      </c>
      <c r="F730" s="26">
        <v>1.819</v>
      </c>
      <c r="G730" s="26">
        <f t="shared" si="11"/>
        <v>-72289.504000000001</v>
      </c>
    </row>
    <row r="731" spans="1:7" x14ac:dyDescent="0.2">
      <c r="A731" s="26">
        <v>42</v>
      </c>
      <c r="B731" s="26">
        <v>34</v>
      </c>
      <c r="C731" s="26">
        <v>76</v>
      </c>
      <c r="D731" s="26" t="s">
        <v>1406</v>
      </c>
      <c r="E731" s="26">
        <v>-75252.05</v>
      </c>
      <c r="F731" s="26">
        <v>1.651</v>
      </c>
      <c r="G731" s="26">
        <f t="shared" si="11"/>
        <v>-75252.05</v>
      </c>
    </row>
    <row r="732" spans="1:7" x14ac:dyDescent="0.2">
      <c r="A732" s="26">
        <v>41</v>
      </c>
      <c r="B732" s="26">
        <v>35</v>
      </c>
      <c r="C732" s="26">
        <v>76</v>
      </c>
      <c r="D732" s="26" t="s">
        <v>1407</v>
      </c>
      <c r="E732" s="26">
        <v>-70289.168999999994</v>
      </c>
      <c r="F732" s="26">
        <v>9.4670000000000005</v>
      </c>
      <c r="G732" s="26">
        <f t="shared" si="11"/>
        <v>-70289.168999999994</v>
      </c>
    </row>
    <row r="733" spans="1:7" x14ac:dyDescent="0.2">
      <c r="A733" s="26">
        <v>40</v>
      </c>
      <c r="B733" s="26">
        <v>36</v>
      </c>
      <c r="C733" s="26">
        <v>76</v>
      </c>
      <c r="D733" s="26" t="s">
        <v>1408</v>
      </c>
      <c r="E733" s="26">
        <v>-69014.317999999999</v>
      </c>
      <c r="F733" s="26">
        <v>4.032</v>
      </c>
      <c r="G733" s="26">
        <f t="shared" si="11"/>
        <v>-69014.317999999999</v>
      </c>
    </row>
    <row r="734" spans="1:7" x14ac:dyDescent="0.2">
      <c r="A734" s="26">
        <v>39</v>
      </c>
      <c r="B734" s="26">
        <v>37</v>
      </c>
      <c r="C734" s="26">
        <v>76</v>
      </c>
      <c r="D734" s="26" t="s">
        <v>1409</v>
      </c>
      <c r="E734" s="26">
        <v>-60479.832000000002</v>
      </c>
      <c r="F734" s="26">
        <v>1.863</v>
      </c>
      <c r="G734" s="26">
        <f t="shared" si="11"/>
        <v>-60479.832000000002</v>
      </c>
    </row>
    <row r="735" spans="1:7" x14ac:dyDescent="0.2">
      <c r="A735" s="26">
        <v>38</v>
      </c>
      <c r="B735" s="26">
        <v>38</v>
      </c>
      <c r="C735" s="26">
        <v>76</v>
      </c>
      <c r="D735" s="26" t="s">
        <v>1410</v>
      </c>
      <c r="E735" s="26">
        <v>-54243.892999999996</v>
      </c>
      <c r="F735" s="26">
        <v>37.26</v>
      </c>
      <c r="G735" s="26">
        <f t="shared" si="11"/>
        <v>-54243.892999999996</v>
      </c>
    </row>
    <row r="736" spans="1:7" x14ac:dyDescent="0.2">
      <c r="A736" s="26">
        <v>37</v>
      </c>
      <c r="B736" s="26">
        <v>39</v>
      </c>
      <c r="C736" s="26">
        <v>76</v>
      </c>
      <c r="D736" s="26" t="s">
        <v>1411</v>
      </c>
      <c r="E736" s="26" t="s">
        <v>1289</v>
      </c>
      <c r="F736" s="26" t="s">
        <v>1728</v>
      </c>
      <c r="G736" s="26">
        <f t="shared" si="11"/>
        <v>-38704.01</v>
      </c>
    </row>
    <row r="737" spans="1:7" x14ac:dyDescent="0.2">
      <c r="A737" s="26">
        <v>49</v>
      </c>
      <c r="B737" s="26">
        <v>28</v>
      </c>
      <c r="C737" s="26">
        <v>77</v>
      </c>
      <c r="D737" s="26" t="s">
        <v>1400</v>
      </c>
      <c r="E737" s="26" t="s">
        <v>1290</v>
      </c>
      <c r="F737" s="26" t="s">
        <v>1728</v>
      </c>
      <c r="G737" s="26">
        <f t="shared" si="11"/>
        <v>-36747.01</v>
      </c>
    </row>
    <row r="738" spans="1:7" x14ac:dyDescent="0.2">
      <c r="A738" s="26">
        <v>48</v>
      </c>
      <c r="B738" s="26">
        <v>29</v>
      </c>
      <c r="C738" s="26">
        <v>77</v>
      </c>
      <c r="D738" s="26" t="s">
        <v>1401</v>
      </c>
      <c r="E738" s="26" t="s">
        <v>1291</v>
      </c>
      <c r="F738" s="26" t="s">
        <v>1723</v>
      </c>
      <c r="G738" s="26">
        <f t="shared" si="11"/>
        <v>-48577.01</v>
      </c>
    </row>
    <row r="739" spans="1:7" x14ac:dyDescent="0.2">
      <c r="A739" s="26">
        <v>47</v>
      </c>
      <c r="B739" s="26">
        <v>30</v>
      </c>
      <c r="C739" s="26">
        <v>77</v>
      </c>
      <c r="D739" s="26" t="s">
        <v>1402</v>
      </c>
      <c r="E739" s="26">
        <v>-58722.343999999997</v>
      </c>
      <c r="F739" s="26">
        <v>120.024</v>
      </c>
      <c r="G739" s="26">
        <f t="shared" si="11"/>
        <v>-58722.343999999997</v>
      </c>
    </row>
    <row r="740" spans="1:7" x14ac:dyDescent="0.2">
      <c r="A740" s="26">
        <v>46</v>
      </c>
      <c r="B740" s="26">
        <v>31</v>
      </c>
      <c r="C740" s="26">
        <v>77</v>
      </c>
      <c r="D740" s="26" t="s">
        <v>1403</v>
      </c>
      <c r="E740" s="26">
        <v>-65992.343999999997</v>
      </c>
      <c r="F740" s="26">
        <v>2.4220000000000002</v>
      </c>
      <c r="G740" s="26">
        <f t="shared" si="11"/>
        <v>-65992.343999999997</v>
      </c>
    </row>
    <row r="741" spans="1:7" x14ac:dyDescent="0.2">
      <c r="A741" s="26">
        <v>45</v>
      </c>
      <c r="B741" s="26">
        <v>32</v>
      </c>
      <c r="C741" s="26">
        <v>77</v>
      </c>
      <c r="D741" s="26" t="s">
        <v>1404</v>
      </c>
      <c r="E741" s="26">
        <v>-71214.028999999995</v>
      </c>
      <c r="F741" s="26">
        <v>1.6990000000000001</v>
      </c>
      <c r="G741" s="26">
        <f t="shared" si="11"/>
        <v>-71214.028999999995</v>
      </c>
    </row>
    <row r="742" spans="1:7" x14ac:dyDescent="0.2">
      <c r="A742" s="26">
        <v>44</v>
      </c>
      <c r="B742" s="26">
        <v>33</v>
      </c>
      <c r="C742" s="26">
        <v>77</v>
      </c>
      <c r="D742" s="26" t="s">
        <v>1405</v>
      </c>
      <c r="E742" s="26">
        <v>-73916.577000000005</v>
      </c>
      <c r="F742" s="26">
        <v>2.3039999999999998</v>
      </c>
      <c r="G742" s="26">
        <f t="shared" si="11"/>
        <v>-73916.577000000005</v>
      </c>
    </row>
    <row r="743" spans="1:7" x14ac:dyDescent="0.2">
      <c r="A743" s="26">
        <v>43</v>
      </c>
      <c r="B743" s="26">
        <v>34</v>
      </c>
      <c r="C743" s="26">
        <v>77</v>
      </c>
      <c r="D743" s="26" t="s">
        <v>1406</v>
      </c>
      <c r="E743" s="26">
        <v>-74599.593999999997</v>
      </c>
      <c r="F743" s="26">
        <v>1.6519999999999999</v>
      </c>
      <c r="G743" s="26">
        <f t="shared" si="11"/>
        <v>-74599.593999999997</v>
      </c>
    </row>
    <row r="744" spans="1:7" x14ac:dyDescent="0.2">
      <c r="A744" s="26">
        <v>42</v>
      </c>
      <c r="B744" s="26">
        <v>35</v>
      </c>
      <c r="C744" s="26">
        <v>77</v>
      </c>
      <c r="D744" s="26" t="s">
        <v>1407</v>
      </c>
      <c r="E744" s="26">
        <v>-73234.914000000004</v>
      </c>
      <c r="F744" s="26">
        <v>3.26</v>
      </c>
      <c r="G744" s="26">
        <f t="shared" si="11"/>
        <v>-73234.914000000004</v>
      </c>
    </row>
    <row r="745" spans="1:7" x14ac:dyDescent="0.2">
      <c r="A745" s="26">
        <v>41</v>
      </c>
      <c r="B745" s="26">
        <v>36</v>
      </c>
      <c r="C745" s="26">
        <v>77</v>
      </c>
      <c r="D745" s="26" t="s">
        <v>1408</v>
      </c>
      <c r="E745" s="26">
        <v>-70169.442999999999</v>
      </c>
      <c r="F745" s="26">
        <v>1.956</v>
      </c>
      <c r="G745" s="26">
        <f t="shared" si="11"/>
        <v>-70169.442999999999</v>
      </c>
    </row>
    <row r="746" spans="1:7" x14ac:dyDescent="0.2">
      <c r="A746" s="26">
        <v>40</v>
      </c>
      <c r="B746" s="26">
        <v>37</v>
      </c>
      <c r="C746" s="26">
        <v>77</v>
      </c>
      <c r="D746" s="26" t="s">
        <v>1409</v>
      </c>
      <c r="E746" s="26">
        <v>-64824.531000000003</v>
      </c>
      <c r="F746" s="26">
        <v>7.452</v>
      </c>
      <c r="G746" s="26">
        <f t="shared" si="11"/>
        <v>-64824.531000000003</v>
      </c>
    </row>
    <row r="747" spans="1:7" x14ac:dyDescent="0.2">
      <c r="A747" s="26">
        <v>39</v>
      </c>
      <c r="B747" s="26">
        <v>38</v>
      </c>
      <c r="C747" s="26">
        <v>77</v>
      </c>
      <c r="D747" s="26" t="s">
        <v>1410</v>
      </c>
      <c r="E747" s="26">
        <v>-57804.063000000002</v>
      </c>
      <c r="F747" s="26">
        <v>9.3149999999999995</v>
      </c>
      <c r="G747" s="26">
        <f t="shared" si="11"/>
        <v>-57804.063000000002</v>
      </c>
    </row>
    <row r="748" spans="1:7" x14ac:dyDescent="0.2">
      <c r="A748" s="26">
        <v>38</v>
      </c>
      <c r="B748" s="26">
        <v>39</v>
      </c>
      <c r="C748" s="26">
        <v>77</v>
      </c>
      <c r="D748" s="26" t="s">
        <v>1411</v>
      </c>
      <c r="E748" s="26" t="s">
        <v>1292</v>
      </c>
      <c r="F748" s="26" t="s">
        <v>1293</v>
      </c>
      <c r="G748" s="26">
        <f t="shared" si="11"/>
        <v>-46905.01</v>
      </c>
    </row>
    <row r="749" spans="1:7" x14ac:dyDescent="0.2">
      <c r="A749" s="26">
        <v>50</v>
      </c>
      <c r="B749" s="26">
        <v>28</v>
      </c>
      <c r="C749" s="26">
        <v>78</v>
      </c>
      <c r="D749" s="26" t="s">
        <v>1400</v>
      </c>
      <c r="E749" s="26" t="s">
        <v>1294</v>
      </c>
      <c r="F749" s="26" t="s">
        <v>1580</v>
      </c>
      <c r="G749" s="26">
        <f t="shared" si="11"/>
        <v>-34298.01</v>
      </c>
    </row>
    <row r="750" spans="1:7" x14ac:dyDescent="0.2">
      <c r="A750" s="26">
        <v>49</v>
      </c>
      <c r="B750" s="26">
        <v>29</v>
      </c>
      <c r="C750" s="26">
        <v>78</v>
      </c>
      <c r="D750" s="26" t="s">
        <v>1401</v>
      </c>
      <c r="E750" s="26" t="s">
        <v>1295</v>
      </c>
      <c r="F750" s="26" t="s">
        <v>1723</v>
      </c>
      <c r="G750" s="26">
        <f t="shared" si="11"/>
        <v>-44749.01</v>
      </c>
    </row>
    <row r="751" spans="1:7" x14ac:dyDescent="0.2">
      <c r="A751" s="26">
        <v>48</v>
      </c>
      <c r="B751" s="26">
        <v>30</v>
      </c>
      <c r="C751" s="26">
        <v>78</v>
      </c>
      <c r="D751" s="26" t="s">
        <v>1402</v>
      </c>
      <c r="E751" s="26">
        <v>-57342.57</v>
      </c>
      <c r="F751" s="26">
        <v>90.033000000000001</v>
      </c>
      <c r="G751" s="26">
        <f t="shared" si="11"/>
        <v>-57342.57</v>
      </c>
    </row>
    <row r="752" spans="1:7" x14ac:dyDescent="0.2">
      <c r="A752" s="26">
        <v>47</v>
      </c>
      <c r="B752" s="26">
        <v>31</v>
      </c>
      <c r="C752" s="26">
        <v>78</v>
      </c>
      <c r="D752" s="26" t="s">
        <v>1403</v>
      </c>
      <c r="E752" s="26">
        <v>-63706.57</v>
      </c>
      <c r="F752" s="26">
        <v>2.4220000000000002</v>
      </c>
      <c r="G752" s="26">
        <f t="shared" si="11"/>
        <v>-63706.57</v>
      </c>
    </row>
    <row r="753" spans="1:7" x14ac:dyDescent="0.2">
      <c r="A753" s="26">
        <v>46</v>
      </c>
      <c r="B753" s="26">
        <v>32</v>
      </c>
      <c r="C753" s="26">
        <v>78</v>
      </c>
      <c r="D753" s="26" t="s">
        <v>1404</v>
      </c>
      <c r="E753" s="26">
        <v>-71862.210999999996</v>
      </c>
      <c r="F753" s="26">
        <v>3.9020000000000001</v>
      </c>
      <c r="G753" s="26">
        <f t="shared" si="11"/>
        <v>-71862.210999999996</v>
      </c>
    </row>
    <row r="754" spans="1:7" x14ac:dyDescent="0.2">
      <c r="A754" s="26">
        <v>45</v>
      </c>
      <c r="B754" s="26">
        <v>33</v>
      </c>
      <c r="C754" s="26">
        <v>78</v>
      </c>
      <c r="D754" s="26" t="s">
        <v>1405</v>
      </c>
      <c r="E754" s="26">
        <v>-72817.418999999994</v>
      </c>
      <c r="F754" s="26">
        <v>9.9339999999999993</v>
      </c>
      <c r="G754" s="26">
        <f t="shared" si="11"/>
        <v>-72817.418999999994</v>
      </c>
    </row>
    <row r="755" spans="1:7" x14ac:dyDescent="0.2">
      <c r="A755" s="26">
        <v>44</v>
      </c>
      <c r="B755" s="26">
        <v>34</v>
      </c>
      <c r="C755" s="26">
        <v>78</v>
      </c>
      <c r="D755" s="26" t="s">
        <v>1406</v>
      </c>
      <c r="E755" s="26">
        <v>-77026.085999999996</v>
      </c>
      <c r="F755" s="26">
        <v>1.655</v>
      </c>
      <c r="G755" s="26">
        <f t="shared" si="11"/>
        <v>-77026.085999999996</v>
      </c>
    </row>
    <row r="756" spans="1:7" x14ac:dyDescent="0.2">
      <c r="A756" s="26">
        <v>43</v>
      </c>
      <c r="B756" s="26">
        <v>35</v>
      </c>
      <c r="C756" s="26">
        <v>78</v>
      </c>
      <c r="D756" s="26" t="s">
        <v>1407</v>
      </c>
      <c r="E756" s="26">
        <v>-73452.301999999996</v>
      </c>
      <c r="F756" s="26">
        <v>3.94</v>
      </c>
      <c r="G756" s="26">
        <f t="shared" si="11"/>
        <v>-73452.301999999996</v>
      </c>
    </row>
    <row r="757" spans="1:7" x14ac:dyDescent="0.2">
      <c r="A757" s="26">
        <v>42</v>
      </c>
      <c r="B757" s="26">
        <v>36</v>
      </c>
      <c r="C757" s="26">
        <v>78</v>
      </c>
      <c r="D757" s="26" t="s">
        <v>1408</v>
      </c>
      <c r="E757" s="26">
        <v>-74179.726999999999</v>
      </c>
      <c r="F757" s="26">
        <v>1.075</v>
      </c>
      <c r="G757" s="26">
        <f t="shared" si="11"/>
        <v>-74179.726999999999</v>
      </c>
    </row>
    <row r="758" spans="1:7" x14ac:dyDescent="0.2">
      <c r="A758" s="26">
        <v>41</v>
      </c>
      <c r="B758" s="26">
        <v>37</v>
      </c>
      <c r="C758" s="26">
        <v>78</v>
      </c>
      <c r="D758" s="26" t="s">
        <v>1409</v>
      </c>
      <c r="E758" s="26">
        <v>-66936.228000000003</v>
      </c>
      <c r="F758" s="26">
        <v>7.452</v>
      </c>
      <c r="G758" s="26">
        <f t="shared" si="11"/>
        <v>-66936.228000000003</v>
      </c>
    </row>
    <row r="759" spans="1:7" x14ac:dyDescent="0.2">
      <c r="A759" s="26">
        <v>40</v>
      </c>
      <c r="B759" s="26">
        <v>38</v>
      </c>
      <c r="C759" s="26">
        <v>78</v>
      </c>
      <c r="D759" s="26" t="s">
        <v>1410</v>
      </c>
      <c r="E759" s="26">
        <v>-63173.923999999999</v>
      </c>
      <c r="F759" s="26">
        <v>7.452</v>
      </c>
      <c r="G759" s="26">
        <f t="shared" si="11"/>
        <v>-63173.923999999999</v>
      </c>
    </row>
    <row r="760" spans="1:7" x14ac:dyDescent="0.2">
      <c r="A760" s="26">
        <v>39</v>
      </c>
      <c r="B760" s="26">
        <v>39</v>
      </c>
      <c r="C760" s="26">
        <v>78</v>
      </c>
      <c r="D760" s="26" t="s">
        <v>1411</v>
      </c>
      <c r="E760" s="26" t="s">
        <v>1296</v>
      </c>
      <c r="F760" s="26" t="s">
        <v>1723</v>
      </c>
      <c r="G760" s="26">
        <f t="shared" si="11"/>
        <v>-52527.01</v>
      </c>
    </row>
    <row r="761" spans="1:7" x14ac:dyDescent="0.2">
      <c r="A761" s="26">
        <v>38</v>
      </c>
      <c r="B761" s="26">
        <v>40</v>
      </c>
      <c r="C761" s="26">
        <v>78</v>
      </c>
      <c r="D761" s="26" t="s">
        <v>1412</v>
      </c>
      <c r="E761" s="26" t="s">
        <v>1376</v>
      </c>
      <c r="F761" s="26" t="s">
        <v>1728</v>
      </c>
      <c r="G761" s="26">
        <f t="shared" si="11"/>
        <v>-41703.01</v>
      </c>
    </row>
    <row r="762" spans="1:7" x14ac:dyDescent="0.2">
      <c r="A762" s="26">
        <v>50</v>
      </c>
      <c r="B762" s="26">
        <v>29</v>
      </c>
      <c r="C762" s="26">
        <v>79</v>
      </c>
      <c r="D762" s="26" t="s">
        <v>1401</v>
      </c>
      <c r="E762" s="26" t="s">
        <v>1297</v>
      </c>
      <c r="F762" s="26" t="s">
        <v>1728</v>
      </c>
      <c r="G762" s="26">
        <f t="shared" si="11"/>
        <v>-42327.01</v>
      </c>
    </row>
    <row r="763" spans="1:7" x14ac:dyDescent="0.2">
      <c r="A763" s="26">
        <v>49</v>
      </c>
      <c r="B763" s="26">
        <v>30</v>
      </c>
      <c r="C763" s="26">
        <v>79</v>
      </c>
      <c r="D763" s="26" t="s">
        <v>1402</v>
      </c>
      <c r="E763" s="26" t="s">
        <v>1298</v>
      </c>
      <c r="F763" s="26" t="s">
        <v>1299</v>
      </c>
      <c r="G763" s="26">
        <f t="shared" si="11"/>
        <v>-53420.01</v>
      </c>
    </row>
    <row r="764" spans="1:7" x14ac:dyDescent="0.2">
      <c r="A764" s="26">
        <v>48</v>
      </c>
      <c r="B764" s="26">
        <v>31</v>
      </c>
      <c r="C764" s="26">
        <v>79</v>
      </c>
      <c r="D764" s="26" t="s">
        <v>1403</v>
      </c>
      <c r="E764" s="26">
        <v>-62509.525999999998</v>
      </c>
      <c r="F764" s="26">
        <v>98.14</v>
      </c>
      <c r="G764" s="26">
        <f t="shared" si="11"/>
        <v>-62509.525999999998</v>
      </c>
    </row>
    <row r="765" spans="1:7" x14ac:dyDescent="0.2">
      <c r="A765" s="26">
        <v>47</v>
      </c>
      <c r="B765" s="26">
        <v>32</v>
      </c>
      <c r="C765" s="26">
        <v>79</v>
      </c>
      <c r="D765" s="26" t="s">
        <v>1404</v>
      </c>
      <c r="E765" s="26">
        <v>-69488.525999999998</v>
      </c>
      <c r="F765" s="26">
        <v>89.619</v>
      </c>
      <c r="G765" s="26">
        <f t="shared" si="11"/>
        <v>-69488.525999999998</v>
      </c>
    </row>
    <row r="766" spans="1:7" x14ac:dyDescent="0.2">
      <c r="A766" s="26">
        <v>46</v>
      </c>
      <c r="B766" s="26">
        <v>33</v>
      </c>
      <c r="C766" s="26">
        <v>79</v>
      </c>
      <c r="D766" s="26" t="s">
        <v>1405</v>
      </c>
      <c r="E766" s="26">
        <v>-73636.525999999998</v>
      </c>
      <c r="F766" s="26">
        <v>5.6109999999999998</v>
      </c>
      <c r="G766" s="26">
        <f t="shared" si="11"/>
        <v>-73636.525999999998</v>
      </c>
    </row>
    <row r="767" spans="1:7" x14ac:dyDescent="0.2">
      <c r="A767" s="26">
        <v>45</v>
      </c>
      <c r="B767" s="26">
        <v>34</v>
      </c>
      <c r="C767" s="26">
        <v>79</v>
      </c>
      <c r="D767" s="26" t="s">
        <v>1406</v>
      </c>
      <c r="E767" s="26">
        <v>-75917.601999999999</v>
      </c>
      <c r="F767" s="26">
        <v>1.661</v>
      </c>
      <c r="G767" s="26">
        <f t="shared" si="11"/>
        <v>-75917.601999999999</v>
      </c>
    </row>
    <row r="768" spans="1:7" x14ac:dyDescent="0.2">
      <c r="A768" s="26">
        <v>44</v>
      </c>
      <c r="B768" s="26">
        <v>35</v>
      </c>
      <c r="C768" s="26">
        <v>79</v>
      </c>
      <c r="D768" s="26" t="s">
        <v>1407</v>
      </c>
      <c r="E768" s="26">
        <v>-76068.513999999996</v>
      </c>
      <c r="F768" s="26">
        <v>2.0169999999999999</v>
      </c>
      <c r="G768" s="26">
        <f t="shared" si="11"/>
        <v>-76068.513999999996</v>
      </c>
    </row>
    <row r="769" spans="1:7" x14ac:dyDescent="0.2">
      <c r="A769" s="26">
        <v>43</v>
      </c>
      <c r="B769" s="26">
        <v>36</v>
      </c>
      <c r="C769" s="26">
        <v>79</v>
      </c>
      <c r="D769" s="26" t="s">
        <v>1408</v>
      </c>
      <c r="E769" s="26">
        <v>-74442.736000000004</v>
      </c>
      <c r="F769" s="26">
        <v>3.8959999999999999</v>
      </c>
      <c r="G769" s="26">
        <f t="shared" si="11"/>
        <v>-74442.736000000004</v>
      </c>
    </row>
    <row r="770" spans="1:7" x14ac:dyDescent="0.2">
      <c r="A770" s="26">
        <v>42</v>
      </c>
      <c r="B770" s="26">
        <v>37</v>
      </c>
      <c r="C770" s="26">
        <v>79</v>
      </c>
      <c r="D770" s="26" t="s">
        <v>1409</v>
      </c>
      <c r="E770" s="26">
        <v>-70803.361999999994</v>
      </c>
      <c r="F770" s="26">
        <v>5.9880000000000004</v>
      </c>
      <c r="G770" s="26">
        <f t="shared" si="11"/>
        <v>-70803.361999999994</v>
      </c>
    </row>
    <row r="771" spans="1:7" x14ac:dyDescent="0.2">
      <c r="A771" s="26">
        <v>41</v>
      </c>
      <c r="B771" s="26">
        <v>38</v>
      </c>
      <c r="C771" s="26">
        <v>79</v>
      </c>
      <c r="D771" s="26" t="s">
        <v>1410</v>
      </c>
      <c r="E771" s="26">
        <v>-65476.576999999997</v>
      </c>
      <c r="F771" s="26">
        <v>8.3829999999999991</v>
      </c>
      <c r="G771" s="26">
        <f t="shared" si="11"/>
        <v>-65476.576999999997</v>
      </c>
    </row>
    <row r="772" spans="1:7" x14ac:dyDescent="0.2">
      <c r="A772" s="26">
        <v>40</v>
      </c>
      <c r="B772" s="26">
        <v>39</v>
      </c>
      <c r="C772" s="26">
        <v>79</v>
      </c>
      <c r="D772" s="26" t="s">
        <v>1411</v>
      </c>
      <c r="E772" s="26">
        <v>-58356.576999999997</v>
      </c>
      <c r="F772" s="26">
        <v>450.07799999999997</v>
      </c>
      <c r="G772" s="26">
        <f t="shared" si="11"/>
        <v>-58356.576999999997</v>
      </c>
    </row>
    <row r="773" spans="1:7" x14ac:dyDescent="0.2">
      <c r="A773" s="26">
        <v>39</v>
      </c>
      <c r="B773" s="26">
        <v>40</v>
      </c>
      <c r="C773" s="26">
        <v>79</v>
      </c>
      <c r="D773" s="26" t="s">
        <v>1412</v>
      </c>
      <c r="E773" s="26" t="s">
        <v>1581</v>
      </c>
      <c r="F773" s="26" t="s">
        <v>1723</v>
      </c>
      <c r="G773" s="26">
        <f t="shared" si="11"/>
        <v>-47357.01</v>
      </c>
    </row>
    <row r="774" spans="1:7" x14ac:dyDescent="0.2">
      <c r="A774" s="26">
        <v>51</v>
      </c>
      <c r="B774" s="26">
        <v>29</v>
      </c>
      <c r="C774" s="26">
        <v>80</v>
      </c>
      <c r="D774" s="26" t="s">
        <v>1401</v>
      </c>
      <c r="E774" s="26" t="s">
        <v>1300</v>
      </c>
      <c r="F774" s="26" t="s">
        <v>1505</v>
      </c>
      <c r="G774" s="26">
        <f t="shared" si="11"/>
        <v>-36449.01</v>
      </c>
    </row>
    <row r="775" spans="1:7" x14ac:dyDescent="0.2">
      <c r="A775" s="26">
        <v>50</v>
      </c>
      <c r="B775" s="26">
        <v>30</v>
      </c>
      <c r="C775" s="26">
        <v>80</v>
      </c>
      <c r="D775" s="26" t="s">
        <v>1402</v>
      </c>
      <c r="E775" s="26">
        <v>-51844.769</v>
      </c>
      <c r="F775" s="26">
        <v>172.05099999999999</v>
      </c>
      <c r="G775" s="26">
        <f t="shared" si="11"/>
        <v>-51844.769</v>
      </c>
    </row>
    <row r="776" spans="1:7" x14ac:dyDescent="0.2">
      <c r="A776" s="26">
        <v>49</v>
      </c>
      <c r="B776" s="26">
        <v>31</v>
      </c>
      <c r="C776" s="26">
        <v>80</v>
      </c>
      <c r="D776" s="26" t="s">
        <v>1403</v>
      </c>
      <c r="E776" s="26">
        <v>-59135.169000000002</v>
      </c>
      <c r="F776" s="26">
        <v>123.295</v>
      </c>
      <c r="G776" s="26">
        <f t="shared" si="11"/>
        <v>-59135.169000000002</v>
      </c>
    </row>
    <row r="777" spans="1:7" x14ac:dyDescent="0.2">
      <c r="A777" s="26">
        <v>48</v>
      </c>
      <c r="B777" s="26">
        <v>32</v>
      </c>
      <c r="C777" s="26">
        <v>80</v>
      </c>
      <c r="D777" s="26" t="s">
        <v>1404</v>
      </c>
      <c r="E777" s="26">
        <v>-69515.168999999994</v>
      </c>
      <c r="F777" s="26">
        <v>28.312000000000001</v>
      </c>
      <c r="G777" s="26">
        <f t="shared" si="11"/>
        <v>-69515.168999999994</v>
      </c>
    </row>
    <row r="778" spans="1:7" x14ac:dyDescent="0.2">
      <c r="A778" s="26">
        <v>47</v>
      </c>
      <c r="B778" s="26">
        <v>33</v>
      </c>
      <c r="C778" s="26">
        <v>80</v>
      </c>
      <c r="D778" s="26" t="s">
        <v>1405</v>
      </c>
      <c r="E778" s="26">
        <v>-72159.285999999993</v>
      </c>
      <c r="F778" s="26">
        <v>23.332000000000001</v>
      </c>
      <c r="G778" s="26">
        <f t="shared" ref="G778:G841" si="12">IF(ISNUMBER(E778),E778,VALUE(SUBSTITUTE(E778,"#",".01")))</f>
        <v>-72159.285999999993</v>
      </c>
    </row>
    <row r="779" spans="1:7" x14ac:dyDescent="0.2">
      <c r="A779" s="26">
        <v>46</v>
      </c>
      <c r="B779" s="26">
        <v>34</v>
      </c>
      <c r="C779" s="26">
        <v>80</v>
      </c>
      <c r="D779" s="26" t="s">
        <v>1406</v>
      </c>
      <c r="E779" s="26">
        <v>-77759.936000000002</v>
      </c>
      <c r="F779" s="26">
        <v>1.9890000000000001</v>
      </c>
      <c r="G779" s="26">
        <f t="shared" si="12"/>
        <v>-77759.936000000002</v>
      </c>
    </row>
    <row r="780" spans="1:7" x14ac:dyDescent="0.2">
      <c r="A780" s="26">
        <v>45</v>
      </c>
      <c r="B780" s="26">
        <v>35</v>
      </c>
      <c r="C780" s="26">
        <v>80</v>
      </c>
      <c r="D780" s="26" t="s">
        <v>1407</v>
      </c>
      <c r="E780" s="26">
        <v>-75889.471999999994</v>
      </c>
      <c r="F780" s="26">
        <v>2.0129999999999999</v>
      </c>
      <c r="G780" s="26">
        <f t="shared" si="12"/>
        <v>-75889.471999999994</v>
      </c>
    </row>
    <row r="781" spans="1:7" x14ac:dyDescent="0.2">
      <c r="A781" s="26">
        <v>44</v>
      </c>
      <c r="B781" s="26">
        <v>36</v>
      </c>
      <c r="C781" s="26">
        <v>80</v>
      </c>
      <c r="D781" s="26" t="s">
        <v>1408</v>
      </c>
      <c r="E781" s="26">
        <v>-77892.491999999998</v>
      </c>
      <c r="F781" s="26">
        <v>1.47</v>
      </c>
      <c r="G781" s="26">
        <f t="shared" si="12"/>
        <v>-77892.491999999998</v>
      </c>
    </row>
    <row r="782" spans="1:7" x14ac:dyDescent="0.2">
      <c r="A782" s="26">
        <v>43</v>
      </c>
      <c r="B782" s="26">
        <v>37</v>
      </c>
      <c r="C782" s="26">
        <v>80</v>
      </c>
      <c r="D782" s="26" t="s">
        <v>1409</v>
      </c>
      <c r="E782" s="26">
        <v>-72172.854000000007</v>
      </c>
      <c r="F782" s="26">
        <v>6.9749999999999996</v>
      </c>
      <c r="G782" s="26">
        <f t="shared" si="12"/>
        <v>-72172.854000000007</v>
      </c>
    </row>
    <row r="783" spans="1:7" x14ac:dyDescent="0.2">
      <c r="A783" s="26">
        <v>42</v>
      </c>
      <c r="B783" s="26">
        <v>38</v>
      </c>
      <c r="C783" s="26">
        <v>80</v>
      </c>
      <c r="D783" s="26" t="s">
        <v>1410</v>
      </c>
      <c r="E783" s="26">
        <v>-70308.222999999998</v>
      </c>
      <c r="F783" s="26">
        <v>6.5750000000000002</v>
      </c>
      <c r="G783" s="26">
        <f t="shared" si="12"/>
        <v>-70308.222999999998</v>
      </c>
    </row>
    <row r="784" spans="1:7" x14ac:dyDescent="0.2">
      <c r="A784" s="26">
        <v>41</v>
      </c>
      <c r="B784" s="26">
        <v>39</v>
      </c>
      <c r="C784" s="26">
        <v>80</v>
      </c>
      <c r="D784" s="26" t="s">
        <v>1411</v>
      </c>
      <c r="E784" s="26">
        <v>-61217.786</v>
      </c>
      <c r="F784" s="26">
        <v>176.98400000000001</v>
      </c>
      <c r="G784" s="26">
        <f t="shared" si="12"/>
        <v>-61217.786</v>
      </c>
    </row>
    <row r="785" spans="1:7" x14ac:dyDescent="0.2">
      <c r="A785" s="26">
        <v>40</v>
      </c>
      <c r="B785" s="26">
        <v>40</v>
      </c>
      <c r="C785" s="26">
        <v>80</v>
      </c>
      <c r="D785" s="26" t="s">
        <v>1412</v>
      </c>
      <c r="E785" s="26">
        <v>-55517.042999999998</v>
      </c>
      <c r="F785" s="26">
        <v>1490.39</v>
      </c>
      <c r="G785" s="26">
        <f t="shared" si="12"/>
        <v>-55517.042999999998</v>
      </c>
    </row>
    <row r="786" spans="1:7" x14ac:dyDescent="0.2">
      <c r="A786" s="26">
        <v>51</v>
      </c>
      <c r="B786" s="26">
        <v>30</v>
      </c>
      <c r="C786" s="26">
        <v>81</v>
      </c>
      <c r="D786" s="26" t="s">
        <v>1402</v>
      </c>
      <c r="E786" s="26" t="s">
        <v>1582</v>
      </c>
      <c r="F786" s="26" t="s">
        <v>1730</v>
      </c>
      <c r="G786" s="26">
        <f t="shared" si="12"/>
        <v>-46128.01</v>
      </c>
    </row>
    <row r="787" spans="1:7" x14ac:dyDescent="0.2">
      <c r="A787" s="26">
        <v>50</v>
      </c>
      <c r="B787" s="26">
        <v>31</v>
      </c>
      <c r="C787" s="26">
        <v>81</v>
      </c>
      <c r="D787" s="26" t="s">
        <v>1403</v>
      </c>
      <c r="E787" s="26">
        <v>-57983.307999999997</v>
      </c>
      <c r="F787" s="26">
        <v>192.173</v>
      </c>
      <c r="G787" s="26">
        <f t="shared" si="12"/>
        <v>-57983.307999999997</v>
      </c>
    </row>
    <row r="788" spans="1:7" x14ac:dyDescent="0.2">
      <c r="A788" s="26">
        <v>49</v>
      </c>
      <c r="B788" s="26">
        <v>32</v>
      </c>
      <c r="C788" s="26">
        <v>81</v>
      </c>
      <c r="D788" s="26" t="s">
        <v>1404</v>
      </c>
      <c r="E788" s="26">
        <v>-66303.308000000005</v>
      </c>
      <c r="F788" s="26">
        <v>120.127</v>
      </c>
      <c r="G788" s="26">
        <f t="shared" si="12"/>
        <v>-66303.308000000005</v>
      </c>
    </row>
    <row r="789" spans="1:7" x14ac:dyDescent="0.2">
      <c r="A789" s="26">
        <v>48</v>
      </c>
      <c r="B789" s="26">
        <v>33</v>
      </c>
      <c r="C789" s="26">
        <v>81</v>
      </c>
      <c r="D789" s="26" t="s">
        <v>1405</v>
      </c>
      <c r="E789" s="26">
        <v>-72533.308000000005</v>
      </c>
      <c r="F789" s="26">
        <v>5.5270000000000001</v>
      </c>
      <c r="G789" s="26">
        <f t="shared" si="12"/>
        <v>-72533.308000000005</v>
      </c>
    </row>
    <row r="790" spans="1:7" x14ac:dyDescent="0.2">
      <c r="A790" s="26">
        <v>47</v>
      </c>
      <c r="B790" s="26">
        <v>34</v>
      </c>
      <c r="C790" s="26">
        <v>81</v>
      </c>
      <c r="D790" s="26" t="s">
        <v>1406</v>
      </c>
      <c r="E790" s="26">
        <v>-76389.519</v>
      </c>
      <c r="F790" s="26">
        <v>2.02</v>
      </c>
      <c r="G790" s="26">
        <f t="shared" si="12"/>
        <v>-76389.519</v>
      </c>
    </row>
    <row r="791" spans="1:7" x14ac:dyDescent="0.2">
      <c r="A791" s="26">
        <v>46</v>
      </c>
      <c r="B791" s="26">
        <v>35</v>
      </c>
      <c r="C791" s="26">
        <v>81</v>
      </c>
      <c r="D791" s="26" t="s">
        <v>1407</v>
      </c>
      <c r="E791" s="26">
        <v>-77974.839000000007</v>
      </c>
      <c r="F791" s="26">
        <v>1.952</v>
      </c>
      <c r="G791" s="26">
        <f t="shared" si="12"/>
        <v>-77974.839000000007</v>
      </c>
    </row>
    <row r="792" spans="1:7" x14ac:dyDescent="0.2">
      <c r="A792" s="26">
        <v>45</v>
      </c>
      <c r="B792" s="26">
        <v>36</v>
      </c>
      <c r="C792" s="26">
        <v>81</v>
      </c>
      <c r="D792" s="26" t="s">
        <v>1408</v>
      </c>
      <c r="E792" s="26">
        <v>-77694.038</v>
      </c>
      <c r="F792" s="26">
        <v>1.9870000000000001</v>
      </c>
      <c r="G792" s="26">
        <f t="shared" si="12"/>
        <v>-77694.038</v>
      </c>
    </row>
    <row r="793" spans="1:7" x14ac:dyDescent="0.2">
      <c r="A793" s="26">
        <v>44</v>
      </c>
      <c r="B793" s="26">
        <v>37</v>
      </c>
      <c r="C793" s="26">
        <v>81</v>
      </c>
      <c r="D793" s="26" t="s">
        <v>1409</v>
      </c>
      <c r="E793" s="26">
        <v>-75454.820999999996</v>
      </c>
      <c r="F793" s="26">
        <v>5.9980000000000002</v>
      </c>
      <c r="G793" s="26">
        <f t="shared" si="12"/>
        <v>-75454.820999999996</v>
      </c>
    </row>
    <row r="794" spans="1:7" x14ac:dyDescent="0.2">
      <c r="A794" s="26">
        <v>43</v>
      </c>
      <c r="B794" s="26">
        <v>38</v>
      </c>
      <c r="C794" s="26">
        <v>81</v>
      </c>
      <c r="D794" s="26" t="s">
        <v>1410</v>
      </c>
      <c r="E794" s="26">
        <v>-71527.705000000002</v>
      </c>
      <c r="F794" s="26">
        <v>6.2</v>
      </c>
      <c r="G794" s="26">
        <f t="shared" si="12"/>
        <v>-71527.705000000002</v>
      </c>
    </row>
    <row r="795" spans="1:7" x14ac:dyDescent="0.2">
      <c r="A795" s="26">
        <v>42</v>
      </c>
      <c r="B795" s="26">
        <v>39</v>
      </c>
      <c r="C795" s="26">
        <v>81</v>
      </c>
      <c r="D795" s="26" t="s">
        <v>1411</v>
      </c>
      <c r="E795" s="26">
        <v>-66017.338000000003</v>
      </c>
      <c r="F795" s="26">
        <v>62.155000000000001</v>
      </c>
      <c r="G795" s="26">
        <f t="shared" si="12"/>
        <v>-66017.338000000003</v>
      </c>
    </row>
    <row r="796" spans="1:7" x14ac:dyDescent="0.2">
      <c r="A796" s="26">
        <v>41</v>
      </c>
      <c r="B796" s="26">
        <v>40</v>
      </c>
      <c r="C796" s="26">
        <v>81</v>
      </c>
      <c r="D796" s="26" t="s">
        <v>1412</v>
      </c>
      <c r="E796" s="26">
        <v>-58488.483999999997</v>
      </c>
      <c r="F796" s="26">
        <v>166.54</v>
      </c>
      <c r="G796" s="26">
        <f t="shared" si="12"/>
        <v>-58488.483999999997</v>
      </c>
    </row>
    <row r="797" spans="1:7" x14ac:dyDescent="0.2">
      <c r="A797" s="26">
        <v>40</v>
      </c>
      <c r="B797" s="26">
        <v>41</v>
      </c>
      <c r="C797" s="26">
        <v>81</v>
      </c>
      <c r="D797" s="26" t="s">
        <v>1413</v>
      </c>
      <c r="E797" s="26" t="s">
        <v>1301</v>
      </c>
      <c r="F797" s="26" t="s">
        <v>1302</v>
      </c>
      <c r="G797" s="26">
        <f t="shared" si="12"/>
        <v>-47478.01</v>
      </c>
    </row>
    <row r="798" spans="1:7" x14ac:dyDescent="0.2">
      <c r="A798" s="26">
        <v>52</v>
      </c>
      <c r="B798" s="26">
        <v>30</v>
      </c>
      <c r="C798" s="26">
        <v>82</v>
      </c>
      <c r="D798" s="26" t="s">
        <v>1402</v>
      </c>
      <c r="E798" s="26" t="s">
        <v>1303</v>
      </c>
      <c r="F798" s="26" t="s">
        <v>1728</v>
      </c>
      <c r="G798" s="26">
        <f t="shared" si="12"/>
        <v>-42457.01</v>
      </c>
    </row>
    <row r="799" spans="1:7" x14ac:dyDescent="0.2">
      <c r="A799" s="26">
        <v>51</v>
      </c>
      <c r="B799" s="26">
        <v>31</v>
      </c>
      <c r="C799" s="26">
        <v>82</v>
      </c>
      <c r="D799" s="26" t="s">
        <v>1403</v>
      </c>
      <c r="E799" s="26" t="s">
        <v>1379</v>
      </c>
      <c r="F799" s="26" t="s">
        <v>1730</v>
      </c>
      <c r="G799" s="26">
        <f t="shared" si="12"/>
        <v>-53104.01</v>
      </c>
    </row>
    <row r="800" spans="1:7" x14ac:dyDescent="0.2">
      <c r="A800" s="26">
        <v>50</v>
      </c>
      <c r="B800" s="26">
        <v>32</v>
      </c>
      <c r="C800" s="26">
        <v>82</v>
      </c>
      <c r="D800" s="26" t="s">
        <v>1404</v>
      </c>
      <c r="E800" s="26">
        <v>-65624.008000000002</v>
      </c>
      <c r="F800" s="26">
        <v>244.13900000000001</v>
      </c>
      <c r="G800" s="26">
        <f t="shared" si="12"/>
        <v>-65624.008000000002</v>
      </c>
    </row>
    <row r="801" spans="1:7" x14ac:dyDescent="0.2">
      <c r="A801" s="26">
        <v>49</v>
      </c>
      <c r="B801" s="26">
        <v>33</v>
      </c>
      <c r="C801" s="26">
        <v>82</v>
      </c>
      <c r="D801" s="26" t="s">
        <v>1405</v>
      </c>
      <c r="E801" s="26">
        <v>-70324.008000000002</v>
      </c>
      <c r="F801" s="26">
        <v>200.01</v>
      </c>
      <c r="G801" s="26">
        <f t="shared" si="12"/>
        <v>-70324.008000000002</v>
      </c>
    </row>
    <row r="802" spans="1:7" x14ac:dyDescent="0.2">
      <c r="A802" s="26">
        <v>48</v>
      </c>
      <c r="B802" s="26">
        <v>34</v>
      </c>
      <c r="C802" s="26">
        <v>82</v>
      </c>
      <c r="D802" s="26" t="s">
        <v>1406</v>
      </c>
      <c r="E802" s="26">
        <v>-77594.008000000002</v>
      </c>
      <c r="F802" s="26">
        <v>2.02</v>
      </c>
      <c r="G802" s="26">
        <f t="shared" si="12"/>
        <v>-77594.008000000002</v>
      </c>
    </row>
    <row r="803" spans="1:7" x14ac:dyDescent="0.2">
      <c r="A803" s="26">
        <v>47</v>
      </c>
      <c r="B803" s="26">
        <v>35</v>
      </c>
      <c r="C803" s="26">
        <v>82</v>
      </c>
      <c r="D803" s="26" t="s">
        <v>1407</v>
      </c>
      <c r="E803" s="26">
        <v>-77496.464999999997</v>
      </c>
      <c r="F803" s="26">
        <v>1.95</v>
      </c>
      <c r="G803" s="26">
        <f t="shared" si="12"/>
        <v>-77496.464999999997</v>
      </c>
    </row>
    <row r="804" spans="1:7" x14ac:dyDescent="0.2">
      <c r="A804" s="26">
        <v>46</v>
      </c>
      <c r="B804" s="26">
        <v>36</v>
      </c>
      <c r="C804" s="26">
        <v>82</v>
      </c>
      <c r="D804" s="26" t="s">
        <v>1408</v>
      </c>
      <c r="E804" s="26">
        <v>-80589.508000000002</v>
      </c>
      <c r="F804" s="26">
        <v>1.78</v>
      </c>
      <c r="G804" s="26">
        <f t="shared" si="12"/>
        <v>-80589.508000000002</v>
      </c>
    </row>
    <row r="805" spans="1:7" x14ac:dyDescent="0.2">
      <c r="A805" s="26">
        <v>45</v>
      </c>
      <c r="B805" s="26">
        <v>37</v>
      </c>
      <c r="C805" s="26">
        <v>82</v>
      </c>
      <c r="D805" s="26" t="s">
        <v>1409</v>
      </c>
      <c r="E805" s="26">
        <v>-76188.201000000001</v>
      </c>
      <c r="F805" s="26">
        <v>2.758</v>
      </c>
      <c r="G805" s="26">
        <f t="shared" si="12"/>
        <v>-76188.201000000001</v>
      </c>
    </row>
    <row r="806" spans="1:7" x14ac:dyDescent="0.2">
      <c r="A806" s="26">
        <v>44</v>
      </c>
      <c r="B806" s="26">
        <v>38</v>
      </c>
      <c r="C806" s="26">
        <v>82</v>
      </c>
      <c r="D806" s="26" t="s">
        <v>1410</v>
      </c>
      <c r="E806" s="26">
        <v>-76008.384000000005</v>
      </c>
      <c r="F806" s="26">
        <v>5.57</v>
      </c>
      <c r="G806" s="26">
        <f t="shared" si="12"/>
        <v>-76008.384000000005</v>
      </c>
    </row>
    <row r="807" spans="1:7" x14ac:dyDescent="0.2">
      <c r="A807" s="26">
        <v>43</v>
      </c>
      <c r="B807" s="26">
        <v>39</v>
      </c>
      <c r="C807" s="26">
        <v>82</v>
      </c>
      <c r="D807" s="26" t="s">
        <v>1411</v>
      </c>
      <c r="E807" s="26">
        <v>-68192.392999999996</v>
      </c>
      <c r="F807" s="26">
        <v>102.57899999999999</v>
      </c>
      <c r="G807" s="26">
        <f t="shared" si="12"/>
        <v>-68192.392999999996</v>
      </c>
    </row>
    <row r="808" spans="1:7" x14ac:dyDescent="0.2">
      <c r="A808" s="26">
        <v>42</v>
      </c>
      <c r="B808" s="26">
        <v>40</v>
      </c>
      <c r="C808" s="26">
        <v>82</v>
      </c>
      <c r="D808" s="26" t="s">
        <v>1412</v>
      </c>
      <c r="E808" s="26" t="s">
        <v>1304</v>
      </c>
      <c r="F808" s="26" t="s">
        <v>999</v>
      </c>
      <c r="G808" s="26">
        <f t="shared" si="12"/>
        <v>-64192.01</v>
      </c>
    </row>
    <row r="809" spans="1:7" x14ac:dyDescent="0.2">
      <c r="A809" s="26">
        <v>41</v>
      </c>
      <c r="B809" s="26">
        <v>41</v>
      </c>
      <c r="C809" s="26">
        <v>82</v>
      </c>
      <c r="D809" s="26" t="s">
        <v>1413</v>
      </c>
      <c r="E809" s="26" t="s">
        <v>1584</v>
      </c>
      <c r="F809" s="26" t="s">
        <v>1730</v>
      </c>
      <c r="G809" s="26">
        <f t="shared" si="12"/>
        <v>-52974.01</v>
      </c>
    </row>
    <row r="810" spans="1:7" x14ac:dyDescent="0.2">
      <c r="A810" s="26">
        <v>53</v>
      </c>
      <c r="B810" s="26">
        <v>30</v>
      </c>
      <c r="C810" s="26">
        <v>83</v>
      </c>
      <c r="D810" s="26" t="s">
        <v>1402</v>
      </c>
      <c r="E810" s="26" t="s">
        <v>1000</v>
      </c>
      <c r="F810" s="26" t="s">
        <v>1728</v>
      </c>
      <c r="G810" s="26">
        <f t="shared" si="12"/>
        <v>-36300.01</v>
      </c>
    </row>
    <row r="811" spans="1:7" x14ac:dyDescent="0.2">
      <c r="A811" s="26">
        <v>52</v>
      </c>
      <c r="B811" s="26">
        <v>31</v>
      </c>
      <c r="C811" s="26">
        <v>83</v>
      </c>
      <c r="D811" s="26" t="s">
        <v>1403</v>
      </c>
      <c r="E811" s="26" t="s">
        <v>1001</v>
      </c>
      <c r="F811" s="26" t="s">
        <v>1730</v>
      </c>
      <c r="G811" s="26">
        <f t="shared" si="12"/>
        <v>-49388.01</v>
      </c>
    </row>
    <row r="812" spans="1:7" x14ac:dyDescent="0.2">
      <c r="A812" s="26">
        <v>51</v>
      </c>
      <c r="B812" s="26">
        <v>32</v>
      </c>
      <c r="C812" s="26">
        <v>83</v>
      </c>
      <c r="D812" s="26" t="s">
        <v>1404</v>
      </c>
      <c r="E812" s="26" t="s">
        <v>1002</v>
      </c>
      <c r="F812" s="26" t="s">
        <v>1480</v>
      </c>
      <c r="G812" s="26">
        <f t="shared" si="12"/>
        <v>-60901.01</v>
      </c>
    </row>
    <row r="813" spans="1:7" x14ac:dyDescent="0.2">
      <c r="A813" s="26">
        <v>50</v>
      </c>
      <c r="B813" s="26">
        <v>33</v>
      </c>
      <c r="C813" s="26">
        <v>83</v>
      </c>
      <c r="D813" s="26" t="s">
        <v>1405</v>
      </c>
      <c r="E813" s="26">
        <v>-69880.657000000007</v>
      </c>
      <c r="F813" s="26">
        <v>220.03</v>
      </c>
      <c r="G813" s="26">
        <f t="shared" si="12"/>
        <v>-69880.657000000007</v>
      </c>
    </row>
    <row r="814" spans="1:7" x14ac:dyDescent="0.2">
      <c r="A814" s="26">
        <v>49</v>
      </c>
      <c r="B814" s="26">
        <v>34</v>
      </c>
      <c r="C814" s="26">
        <v>83</v>
      </c>
      <c r="D814" s="26" t="s">
        <v>1406</v>
      </c>
      <c r="E814" s="26">
        <v>-75340.657000000007</v>
      </c>
      <c r="F814" s="26">
        <v>3.6160000000000001</v>
      </c>
      <c r="G814" s="26">
        <f t="shared" si="12"/>
        <v>-75340.657000000007</v>
      </c>
    </row>
    <row r="815" spans="1:7" x14ac:dyDescent="0.2">
      <c r="A815" s="26">
        <v>48</v>
      </c>
      <c r="B815" s="26">
        <v>35</v>
      </c>
      <c r="C815" s="26">
        <v>83</v>
      </c>
      <c r="D815" s="26" t="s">
        <v>1407</v>
      </c>
      <c r="E815" s="26">
        <v>-79008.929999999993</v>
      </c>
      <c r="F815" s="26">
        <v>4.2210000000000001</v>
      </c>
      <c r="G815" s="26">
        <f t="shared" si="12"/>
        <v>-79008.929999999993</v>
      </c>
    </row>
    <row r="816" spans="1:7" x14ac:dyDescent="0.2">
      <c r="A816" s="26">
        <v>47</v>
      </c>
      <c r="B816" s="26">
        <v>36</v>
      </c>
      <c r="C816" s="26">
        <v>83</v>
      </c>
      <c r="D816" s="26" t="s">
        <v>1408</v>
      </c>
      <c r="E816" s="26">
        <v>-79981.709000000003</v>
      </c>
      <c r="F816" s="26">
        <v>2.8119999999999998</v>
      </c>
      <c r="G816" s="26">
        <f t="shared" si="12"/>
        <v>-79981.709000000003</v>
      </c>
    </row>
    <row r="817" spans="1:7" x14ac:dyDescent="0.2">
      <c r="A817" s="26">
        <v>46</v>
      </c>
      <c r="B817" s="26">
        <v>37</v>
      </c>
      <c r="C817" s="26">
        <v>83</v>
      </c>
      <c r="D817" s="26" t="s">
        <v>1409</v>
      </c>
      <c r="E817" s="26">
        <v>-79074.804999999993</v>
      </c>
      <c r="F817" s="26">
        <v>6.0090000000000003</v>
      </c>
      <c r="G817" s="26">
        <f t="shared" si="12"/>
        <v>-79074.804999999993</v>
      </c>
    </row>
    <row r="818" spans="1:7" x14ac:dyDescent="0.2">
      <c r="A818" s="26">
        <v>45</v>
      </c>
      <c r="B818" s="26">
        <v>38</v>
      </c>
      <c r="C818" s="26">
        <v>83</v>
      </c>
      <c r="D818" s="26" t="s">
        <v>1410</v>
      </c>
      <c r="E818" s="26">
        <v>-76795.438999999998</v>
      </c>
      <c r="F818" s="26">
        <v>10.315</v>
      </c>
      <c r="G818" s="26">
        <f t="shared" si="12"/>
        <v>-76795.438999999998</v>
      </c>
    </row>
    <row r="819" spans="1:7" x14ac:dyDescent="0.2">
      <c r="A819" s="26">
        <v>44</v>
      </c>
      <c r="B819" s="26">
        <v>39</v>
      </c>
      <c r="C819" s="26">
        <v>83</v>
      </c>
      <c r="D819" s="26" t="s">
        <v>1411</v>
      </c>
      <c r="E819" s="26">
        <v>-72326.557000000001</v>
      </c>
      <c r="F819" s="26">
        <v>44.314</v>
      </c>
      <c r="G819" s="26">
        <f t="shared" si="12"/>
        <v>-72326.557000000001</v>
      </c>
    </row>
    <row r="820" spans="1:7" x14ac:dyDescent="0.2">
      <c r="A820" s="26">
        <v>43</v>
      </c>
      <c r="B820" s="26">
        <v>40</v>
      </c>
      <c r="C820" s="26">
        <v>83</v>
      </c>
      <c r="D820" s="26" t="s">
        <v>1412</v>
      </c>
      <c r="E820" s="26">
        <v>-66458.557000000001</v>
      </c>
      <c r="F820" s="26">
        <v>95.858000000000004</v>
      </c>
      <c r="G820" s="26">
        <f t="shared" si="12"/>
        <v>-66458.557000000001</v>
      </c>
    </row>
    <row r="821" spans="1:7" x14ac:dyDescent="0.2">
      <c r="A821" s="26">
        <v>42</v>
      </c>
      <c r="B821" s="26">
        <v>41</v>
      </c>
      <c r="C821" s="26">
        <v>83</v>
      </c>
      <c r="D821" s="26" t="s">
        <v>1413</v>
      </c>
      <c r="E821" s="26">
        <v>-58958.557000000001</v>
      </c>
      <c r="F821" s="26">
        <v>314.94200000000001</v>
      </c>
      <c r="G821" s="26">
        <f t="shared" si="12"/>
        <v>-58958.557000000001</v>
      </c>
    </row>
    <row r="822" spans="1:7" x14ac:dyDescent="0.2">
      <c r="A822" s="26">
        <v>41</v>
      </c>
      <c r="B822" s="26">
        <v>42</v>
      </c>
      <c r="C822" s="26">
        <v>83</v>
      </c>
      <c r="D822" s="26" t="s">
        <v>1414</v>
      </c>
      <c r="E822" s="26" t="s">
        <v>1585</v>
      </c>
      <c r="F822" s="26" t="s">
        <v>1728</v>
      </c>
      <c r="G822" s="26">
        <f t="shared" si="12"/>
        <v>-47748.01</v>
      </c>
    </row>
    <row r="823" spans="1:7" x14ac:dyDescent="0.2">
      <c r="A823" s="26">
        <v>53</v>
      </c>
      <c r="B823" s="26">
        <v>31</v>
      </c>
      <c r="C823" s="26">
        <v>84</v>
      </c>
      <c r="D823" s="26" t="s">
        <v>1403</v>
      </c>
      <c r="E823" s="26" t="s">
        <v>1369</v>
      </c>
      <c r="F823" s="26" t="s">
        <v>1723</v>
      </c>
      <c r="G823" s="26">
        <f t="shared" si="12"/>
        <v>-44106.01</v>
      </c>
    </row>
    <row r="824" spans="1:7" x14ac:dyDescent="0.2">
      <c r="A824" s="26">
        <v>52</v>
      </c>
      <c r="B824" s="26">
        <v>32</v>
      </c>
      <c r="C824" s="26">
        <v>84</v>
      </c>
      <c r="D824" s="26" t="s">
        <v>1404</v>
      </c>
      <c r="E824" s="26" t="s">
        <v>1003</v>
      </c>
      <c r="F824" s="26" t="s">
        <v>1730</v>
      </c>
      <c r="G824" s="26">
        <f t="shared" si="12"/>
        <v>-58246.01</v>
      </c>
    </row>
    <row r="825" spans="1:7" x14ac:dyDescent="0.2">
      <c r="A825" s="26">
        <v>51</v>
      </c>
      <c r="B825" s="26">
        <v>33</v>
      </c>
      <c r="C825" s="26">
        <v>84</v>
      </c>
      <c r="D825" s="26" t="s">
        <v>1405</v>
      </c>
      <c r="E825" s="26" t="s">
        <v>1004</v>
      </c>
      <c r="F825" s="26" t="s">
        <v>1258</v>
      </c>
      <c r="G825" s="26">
        <f t="shared" si="12"/>
        <v>-66082.009999999995</v>
      </c>
    </row>
    <row r="826" spans="1:7" x14ac:dyDescent="0.2">
      <c r="A826" s="26">
        <v>50</v>
      </c>
      <c r="B826" s="26">
        <v>34</v>
      </c>
      <c r="C826" s="26">
        <v>84</v>
      </c>
      <c r="D826" s="26" t="s">
        <v>1406</v>
      </c>
      <c r="E826" s="26">
        <v>-75951.828999999998</v>
      </c>
      <c r="F826" s="26">
        <v>14.541</v>
      </c>
      <c r="G826" s="26">
        <f t="shared" si="12"/>
        <v>-75951.828999999998</v>
      </c>
    </row>
    <row r="827" spans="1:7" x14ac:dyDescent="0.2">
      <c r="A827" s="26">
        <v>49</v>
      </c>
      <c r="B827" s="26">
        <v>35</v>
      </c>
      <c r="C827" s="26">
        <v>84</v>
      </c>
      <c r="D827" s="26" t="s">
        <v>1407</v>
      </c>
      <c r="E827" s="26">
        <v>-77799.335000000006</v>
      </c>
      <c r="F827" s="26">
        <v>14.651</v>
      </c>
      <c r="G827" s="26">
        <f t="shared" si="12"/>
        <v>-77799.335000000006</v>
      </c>
    </row>
    <row r="828" spans="1:7" x14ac:dyDescent="0.2">
      <c r="A828" s="26">
        <v>48</v>
      </c>
      <c r="B828" s="26">
        <v>36</v>
      </c>
      <c r="C828" s="26">
        <v>84</v>
      </c>
      <c r="D828" s="26" t="s">
        <v>1408</v>
      </c>
      <c r="E828" s="26">
        <v>-82430.990999999995</v>
      </c>
      <c r="F828" s="26">
        <v>2.8050000000000002</v>
      </c>
      <c r="G828" s="26">
        <f t="shared" si="12"/>
        <v>-82430.990999999995</v>
      </c>
    </row>
    <row r="829" spans="1:7" x14ac:dyDescent="0.2">
      <c r="A829" s="26">
        <v>47</v>
      </c>
      <c r="B829" s="26">
        <v>37</v>
      </c>
      <c r="C829" s="26">
        <v>84</v>
      </c>
      <c r="D829" s="26" t="s">
        <v>1409</v>
      </c>
      <c r="E829" s="26">
        <v>-79750.024999999994</v>
      </c>
      <c r="F829" s="26">
        <v>2.8050000000000002</v>
      </c>
      <c r="G829" s="26">
        <f t="shared" si="12"/>
        <v>-79750.024999999994</v>
      </c>
    </row>
    <row r="830" spans="1:7" x14ac:dyDescent="0.2">
      <c r="A830" s="26">
        <v>46</v>
      </c>
      <c r="B830" s="26">
        <v>38</v>
      </c>
      <c r="C830" s="26">
        <v>84</v>
      </c>
      <c r="D830" s="26" t="s">
        <v>1410</v>
      </c>
      <c r="E830" s="26">
        <v>-80643.837</v>
      </c>
      <c r="F830" s="26">
        <v>3.202</v>
      </c>
      <c r="G830" s="26">
        <f t="shared" si="12"/>
        <v>-80643.837</v>
      </c>
    </row>
    <row r="831" spans="1:7" x14ac:dyDescent="0.2">
      <c r="A831" s="26">
        <v>45</v>
      </c>
      <c r="B831" s="26">
        <v>39</v>
      </c>
      <c r="C831" s="26">
        <v>84</v>
      </c>
      <c r="D831" s="26" t="s">
        <v>1411</v>
      </c>
      <c r="E831" s="26">
        <v>-74157.854999999996</v>
      </c>
      <c r="F831" s="26">
        <v>91.379000000000005</v>
      </c>
      <c r="G831" s="26">
        <f t="shared" si="12"/>
        <v>-74157.854999999996</v>
      </c>
    </row>
    <row r="832" spans="1:7" x14ac:dyDescent="0.2">
      <c r="A832" s="26">
        <v>44</v>
      </c>
      <c r="B832" s="26">
        <v>40</v>
      </c>
      <c r="C832" s="26">
        <v>84</v>
      </c>
      <c r="D832" s="26" t="s">
        <v>1412</v>
      </c>
      <c r="E832" s="26" t="s">
        <v>1586</v>
      </c>
      <c r="F832" s="26" t="s">
        <v>1480</v>
      </c>
      <c r="G832" s="26">
        <f t="shared" si="12"/>
        <v>-71492.009999999995</v>
      </c>
    </row>
    <row r="833" spans="1:7" x14ac:dyDescent="0.2">
      <c r="A833" s="26">
        <v>43</v>
      </c>
      <c r="B833" s="26">
        <v>41</v>
      </c>
      <c r="C833" s="26">
        <v>84</v>
      </c>
      <c r="D833" s="26" t="s">
        <v>1413</v>
      </c>
      <c r="E833" s="26" t="s">
        <v>1587</v>
      </c>
      <c r="F833" s="26" t="s">
        <v>1730</v>
      </c>
      <c r="G833" s="26">
        <f t="shared" si="12"/>
        <v>-61879.01</v>
      </c>
    </row>
    <row r="834" spans="1:7" x14ac:dyDescent="0.2">
      <c r="A834" s="26">
        <v>42</v>
      </c>
      <c r="B834" s="26">
        <v>42</v>
      </c>
      <c r="C834" s="26">
        <v>84</v>
      </c>
      <c r="D834" s="26" t="s">
        <v>1414</v>
      </c>
      <c r="E834" s="26" t="s">
        <v>1588</v>
      </c>
      <c r="F834" s="26" t="s">
        <v>1723</v>
      </c>
      <c r="G834" s="26">
        <f t="shared" si="12"/>
        <v>-55806.01</v>
      </c>
    </row>
    <row r="835" spans="1:7" x14ac:dyDescent="0.2">
      <c r="A835" s="26">
        <v>54</v>
      </c>
      <c r="B835" s="26">
        <v>31</v>
      </c>
      <c r="C835" s="26">
        <v>85</v>
      </c>
      <c r="D835" s="26" t="s">
        <v>1403</v>
      </c>
      <c r="E835" s="26" t="s">
        <v>1005</v>
      </c>
      <c r="F835" s="26" t="s">
        <v>1728</v>
      </c>
      <c r="G835" s="26">
        <f t="shared" si="12"/>
        <v>-40054.01</v>
      </c>
    </row>
    <row r="836" spans="1:7" x14ac:dyDescent="0.2">
      <c r="A836" s="26">
        <v>53</v>
      </c>
      <c r="B836" s="26">
        <v>32</v>
      </c>
      <c r="C836" s="26">
        <v>85</v>
      </c>
      <c r="D836" s="26" t="s">
        <v>1404</v>
      </c>
      <c r="E836" s="26" t="s">
        <v>1006</v>
      </c>
      <c r="F836" s="26" t="s">
        <v>1723</v>
      </c>
      <c r="G836" s="26">
        <f t="shared" si="12"/>
        <v>-53067.01</v>
      </c>
    </row>
    <row r="837" spans="1:7" x14ac:dyDescent="0.2">
      <c r="A837" s="26">
        <v>52</v>
      </c>
      <c r="B837" s="26">
        <v>33</v>
      </c>
      <c r="C837" s="26">
        <v>85</v>
      </c>
      <c r="D837" s="26" t="s">
        <v>1405</v>
      </c>
      <c r="E837" s="26" t="s">
        <v>1007</v>
      </c>
      <c r="F837" s="26" t="s">
        <v>1480</v>
      </c>
      <c r="G837" s="26">
        <f t="shared" si="12"/>
        <v>-63323.01</v>
      </c>
    </row>
    <row r="838" spans="1:7" x14ac:dyDescent="0.2">
      <c r="A838" s="26">
        <v>51</v>
      </c>
      <c r="B838" s="26">
        <v>34</v>
      </c>
      <c r="C838" s="26">
        <v>85</v>
      </c>
      <c r="D838" s="26" t="s">
        <v>1406</v>
      </c>
      <c r="E838" s="26">
        <v>-72428.267000000007</v>
      </c>
      <c r="F838" s="26">
        <v>29.896000000000001</v>
      </c>
      <c r="G838" s="26">
        <f t="shared" si="12"/>
        <v>-72428.267000000007</v>
      </c>
    </row>
    <row r="839" spans="1:7" x14ac:dyDescent="0.2">
      <c r="A839" s="26">
        <v>50</v>
      </c>
      <c r="B839" s="26">
        <v>35</v>
      </c>
      <c r="C839" s="26">
        <v>85</v>
      </c>
      <c r="D839" s="26" t="s">
        <v>1407</v>
      </c>
      <c r="E839" s="26">
        <v>-78610.267000000007</v>
      </c>
      <c r="F839" s="26">
        <v>19.100000000000001</v>
      </c>
      <c r="G839" s="26">
        <f t="shared" si="12"/>
        <v>-78610.267000000007</v>
      </c>
    </row>
    <row r="840" spans="1:7" x14ac:dyDescent="0.2">
      <c r="A840" s="26">
        <v>49</v>
      </c>
      <c r="B840" s="26">
        <v>36</v>
      </c>
      <c r="C840" s="26">
        <v>85</v>
      </c>
      <c r="D840" s="26" t="s">
        <v>1408</v>
      </c>
      <c r="E840" s="26">
        <v>-81480.267000000007</v>
      </c>
      <c r="F840" s="26">
        <v>1.9470000000000001</v>
      </c>
      <c r="G840" s="26">
        <f t="shared" si="12"/>
        <v>-81480.267000000007</v>
      </c>
    </row>
    <row r="841" spans="1:7" x14ac:dyDescent="0.2">
      <c r="A841" s="26">
        <v>48</v>
      </c>
      <c r="B841" s="26">
        <v>37</v>
      </c>
      <c r="C841" s="26">
        <v>85</v>
      </c>
      <c r="D841" s="26" t="s">
        <v>1409</v>
      </c>
      <c r="E841" s="26">
        <v>-82167.331000000006</v>
      </c>
      <c r="F841" s="26">
        <v>1.0999999999999999E-2</v>
      </c>
      <c r="G841" s="26">
        <f t="shared" si="12"/>
        <v>-82167.331000000006</v>
      </c>
    </row>
    <row r="842" spans="1:7" x14ac:dyDescent="0.2">
      <c r="A842" s="26">
        <v>47</v>
      </c>
      <c r="B842" s="26">
        <v>38</v>
      </c>
      <c r="C842" s="26">
        <v>85</v>
      </c>
      <c r="D842" s="26" t="s">
        <v>1410</v>
      </c>
      <c r="E842" s="26">
        <v>-81102.572</v>
      </c>
      <c r="F842" s="26">
        <v>2.8370000000000002</v>
      </c>
      <c r="G842" s="26">
        <f t="shared" ref="G842:G905" si="13">IF(ISNUMBER(E842),E842,VALUE(SUBSTITUTE(E842,"#",".01")))</f>
        <v>-81102.572</v>
      </c>
    </row>
    <row r="843" spans="1:7" x14ac:dyDescent="0.2">
      <c r="A843" s="26">
        <v>46</v>
      </c>
      <c r="B843" s="26">
        <v>39</v>
      </c>
      <c r="C843" s="26">
        <v>85</v>
      </c>
      <c r="D843" s="26" t="s">
        <v>1411</v>
      </c>
      <c r="E843" s="26">
        <v>-77842.123000000007</v>
      </c>
      <c r="F843" s="26">
        <v>18.965</v>
      </c>
      <c r="G843" s="26">
        <f t="shared" si="13"/>
        <v>-77842.123000000007</v>
      </c>
    </row>
    <row r="844" spans="1:7" x14ac:dyDescent="0.2">
      <c r="A844" s="26">
        <v>45</v>
      </c>
      <c r="B844" s="26">
        <v>40</v>
      </c>
      <c r="C844" s="26">
        <v>85</v>
      </c>
      <c r="D844" s="26" t="s">
        <v>1412</v>
      </c>
      <c r="E844" s="26">
        <v>-73149.123000000007</v>
      </c>
      <c r="F844" s="26">
        <v>100.8</v>
      </c>
      <c r="G844" s="26">
        <f t="shared" si="13"/>
        <v>-73149.123000000007</v>
      </c>
    </row>
    <row r="845" spans="1:7" x14ac:dyDescent="0.2">
      <c r="A845" s="26">
        <v>44</v>
      </c>
      <c r="B845" s="26">
        <v>41</v>
      </c>
      <c r="C845" s="26">
        <v>85</v>
      </c>
      <c r="D845" s="26" t="s">
        <v>1413</v>
      </c>
      <c r="E845" s="26">
        <v>-67149.123000000007</v>
      </c>
      <c r="F845" s="26">
        <v>223.96600000000001</v>
      </c>
      <c r="G845" s="26">
        <f t="shared" si="13"/>
        <v>-67149.123000000007</v>
      </c>
    </row>
    <row r="846" spans="1:7" x14ac:dyDescent="0.2">
      <c r="A846" s="26">
        <v>43</v>
      </c>
      <c r="B846" s="26">
        <v>42</v>
      </c>
      <c r="C846" s="26">
        <v>85</v>
      </c>
      <c r="D846" s="26" t="s">
        <v>1414</v>
      </c>
      <c r="E846" s="26" t="s">
        <v>1596</v>
      </c>
      <c r="F846" s="26" t="s">
        <v>1008</v>
      </c>
      <c r="G846" s="26">
        <f t="shared" si="13"/>
        <v>-59103.01</v>
      </c>
    </row>
    <row r="847" spans="1:7" x14ac:dyDescent="0.2">
      <c r="A847" s="26">
        <v>42</v>
      </c>
      <c r="B847" s="26">
        <v>43</v>
      </c>
      <c r="C847" s="26">
        <v>85</v>
      </c>
      <c r="D847" s="26" t="s">
        <v>1415</v>
      </c>
      <c r="E847" s="26" t="s">
        <v>1009</v>
      </c>
      <c r="F847" s="26" t="s">
        <v>1723</v>
      </c>
      <c r="G847" s="26">
        <f t="shared" si="13"/>
        <v>-47665.01</v>
      </c>
    </row>
    <row r="848" spans="1:7" x14ac:dyDescent="0.2">
      <c r="A848" s="26">
        <v>55</v>
      </c>
      <c r="B848" s="26">
        <v>31</v>
      </c>
      <c r="C848" s="26">
        <v>86</v>
      </c>
      <c r="D848" s="26" t="s">
        <v>1403</v>
      </c>
      <c r="E848" s="26" t="s">
        <v>1010</v>
      </c>
      <c r="F848" s="26" t="s">
        <v>1725</v>
      </c>
      <c r="G848" s="26">
        <f t="shared" si="13"/>
        <v>-34353.01</v>
      </c>
    </row>
    <row r="849" spans="1:7" x14ac:dyDescent="0.2">
      <c r="A849" s="26">
        <v>54</v>
      </c>
      <c r="B849" s="26">
        <v>32</v>
      </c>
      <c r="C849" s="26">
        <v>86</v>
      </c>
      <c r="D849" s="26" t="s">
        <v>1404</v>
      </c>
      <c r="E849" s="26" t="s">
        <v>1011</v>
      </c>
      <c r="F849" s="26" t="s">
        <v>1728</v>
      </c>
      <c r="G849" s="26">
        <f t="shared" si="13"/>
        <v>-49844.01</v>
      </c>
    </row>
    <row r="850" spans="1:7" x14ac:dyDescent="0.2">
      <c r="A850" s="26">
        <v>53</v>
      </c>
      <c r="B850" s="26">
        <v>33</v>
      </c>
      <c r="C850" s="26">
        <v>86</v>
      </c>
      <c r="D850" s="26" t="s">
        <v>1405</v>
      </c>
      <c r="E850" s="26" t="s">
        <v>1012</v>
      </c>
      <c r="F850" s="26" t="s">
        <v>1730</v>
      </c>
      <c r="G850" s="26">
        <f t="shared" si="13"/>
        <v>-59150.01</v>
      </c>
    </row>
    <row r="851" spans="1:7" x14ac:dyDescent="0.2">
      <c r="A851" s="26">
        <v>52</v>
      </c>
      <c r="B851" s="26">
        <v>34</v>
      </c>
      <c r="C851" s="26">
        <v>86</v>
      </c>
      <c r="D851" s="26" t="s">
        <v>1406</v>
      </c>
      <c r="E851" s="26">
        <v>-70540.570000000007</v>
      </c>
      <c r="F851" s="26">
        <v>15.557</v>
      </c>
      <c r="G851" s="26">
        <f t="shared" si="13"/>
        <v>-70540.570000000007</v>
      </c>
    </row>
    <row r="852" spans="1:7" x14ac:dyDescent="0.2">
      <c r="A852" s="26">
        <v>51</v>
      </c>
      <c r="B852" s="26">
        <v>35</v>
      </c>
      <c r="C852" s="26">
        <v>86</v>
      </c>
      <c r="D852" s="26" t="s">
        <v>1407</v>
      </c>
      <c r="E852" s="26">
        <v>-75639.570000000007</v>
      </c>
      <c r="F852" s="26">
        <v>11</v>
      </c>
      <c r="G852" s="26">
        <f t="shared" si="13"/>
        <v>-75639.570000000007</v>
      </c>
    </row>
    <row r="853" spans="1:7" x14ac:dyDescent="0.2">
      <c r="A853" s="26">
        <v>50</v>
      </c>
      <c r="B853" s="26">
        <v>36</v>
      </c>
      <c r="C853" s="26">
        <v>86</v>
      </c>
      <c r="D853" s="26" t="s">
        <v>1408</v>
      </c>
      <c r="E853" s="26">
        <v>-83265.570000000007</v>
      </c>
      <c r="F853" s="26">
        <v>0.10199999999999999</v>
      </c>
      <c r="G853" s="26">
        <f t="shared" si="13"/>
        <v>-83265.570000000007</v>
      </c>
    </row>
    <row r="854" spans="1:7" x14ac:dyDescent="0.2">
      <c r="A854" s="26">
        <v>49</v>
      </c>
      <c r="B854" s="26">
        <v>37</v>
      </c>
      <c r="C854" s="26">
        <v>86</v>
      </c>
      <c r="D854" s="26" t="s">
        <v>1409</v>
      </c>
      <c r="E854" s="26">
        <v>-82747.017000000007</v>
      </c>
      <c r="F854" s="26">
        <v>0.19900000000000001</v>
      </c>
      <c r="G854" s="26">
        <f t="shared" si="13"/>
        <v>-82747.017000000007</v>
      </c>
    </row>
    <row r="855" spans="1:7" x14ac:dyDescent="0.2">
      <c r="A855" s="26">
        <v>48</v>
      </c>
      <c r="B855" s="26">
        <v>38</v>
      </c>
      <c r="C855" s="26">
        <v>86</v>
      </c>
      <c r="D855" s="26" t="s">
        <v>1410</v>
      </c>
      <c r="E855" s="26">
        <v>-84523.576000000001</v>
      </c>
      <c r="F855" s="26">
        <v>1.0740000000000001</v>
      </c>
      <c r="G855" s="26">
        <f t="shared" si="13"/>
        <v>-84523.576000000001</v>
      </c>
    </row>
    <row r="856" spans="1:7" x14ac:dyDescent="0.2">
      <c r="A856" s="26">
        <v>47</v>
      </c>
      <c r="B856" s="26">
        <v>39</v>
      </c>
      <c r="C856" s="26">
        <v>86</v>
      </c>
      <c r="D856" s="26" t="s">
        <v>1411</v>
      </c>
      <c r="E856" s="26">
        <v>-79283.576000000001</v>
      </c>
      <c r="F856" s="26">
        <v>14.183</v>
      </c>
      <c r="G856" s="26">
        <f t="shared" si="13"/>
        <v>-79283.576000000001</v>
      </c>
    </row>
    <row r="857" spans="1:7" x14ac:dyDescent="0.2">
      <c r="A857" s="26">
        <v>46</v>
      </c>
      <c r="B857" s="26">
        <v>40</v>
      </c>
      <c r="C857" s="26">
        <v>86</v>
      </c>
      <c r="D857" s="26" t="s">
        <v>1412</v>
      </c>
      <c r="E857" s="26">
        <v>-77804.350000000006</v>
      </c>
      <c r="F857" s="26">
        <v>30.093</v>
      </c>
      <c r="G857" s="26">
        <f t="shared" si="13"/>
        <v>-77804.350000000006</v>
      </c>
    </row>
    <row r="858" spans="1:7" x14ac:dyDescent="0.2">
      <c r="A858" s="26">
        <v>45</v>
      </c>
      <c r="B858" s="26">
        <v>41</v>
      </c>
      <c r="C858" s="26">
        <v>86</v>
      </c>
      <c r="D858" s="26" t="s">
        <v>1413</v>
      </c>
      <c r="E858" s="26">
        <v>-69826.350000000006</v>
      </c>
      <c r="F858" s="26">
        <v>85.472999999999999</v>
      </c>
      <c r="G858" s="26">
        <f t="shared" si="13"/>
        <v>-69826.350000000006</v>
      </c>
    </row>
    <row r="859" spans="1:7" x14ac:dyDescent="0.2">
      <c r="A859" s="26">
        <v>44</v>
      </c>
      <c r="B859" s="26">
        <v>42</v>
      </c>
      <c r="C859" s="26">
        <v>86</v>
      </c>
      <c r="D859" s="26" t="s">
        <v>1414</v>
      </c>
      <c r="E859" s="26">
        <v>-64556.35</v>
      </c>
      <c r="F859" s="26">
        <v>438.41300000000001</v>
      </c>
      <c r="G859" s="26">
        <f t="shared" si="13"/>
        <v>-64556.35</v>
      </c>
    </row>
    <row r="860" spans="1:7" x14ac:dyDescent="0.2">
      <c r="A860" s="26">
        <v>43</v>
      </c>
      <c r="B860" s="26">
        <v>43</v>
      </c>
      <c r="C860" s="26">
        <v>86</v>
      </c>
      <c r="D860" s="26" t="s">
        <v>1415</v>
      </c>
      <c r="E860" s="26" t="s">
        <v>1589</v>
      </c>
      <c r="F860" s="26" t="s">
        <v>1730</v>
      </c>
      <c r="G860" s="26">
        <f t="shared" si="13"/>
        <v>-53207.01</v>
      </c>
    </row>
    <row r="861" spans="1:7" x14ac:dyDescent="0.2">
      <c r="A861" s="26">
        <v>55</v>
      </c>
      <c r="B861" s="26">
        <v>32</v>
      </c>
      <c r="C861" s="26">
        <v>87</v>
      </c>
      <c r="D861" s="26" t="s">
        <v>1404</v>
      </c>
      <c r="E861" s="26" t="s">
        <v>1256</v>
      </c>
      <c r="F861" s="26" t="s">
        <v>1728</v>
      </c>
      <c r="G861" s="26">
        <f t="shared" si="13"/>
        <v>-44237.01</v>
      </c>
    </row>
    <row r="862" spans="1:7" x14ac:dyDescent="0.2">
      <c r="A862" s="26">
        <v>54</v>
      </c>
      <c r="B862" s="26">
        <v>33</v>
      </c>
      <c r="C862" s="26">
        <v>87</v>
      </c>
      <c r="D862" s="26" t="s">
        <v>1405</v>
      </c>
      <c r="E862" s="26" t="s">
        <v>1013</v>
      </c>
      <c r="F862" s="26" t="s">
        <v>1730</v>
      </c>
      <c r="G862" s="26">
        <f t="shared" si="13"/>
        <v>-55983.01</v>
      </c>
    </row>
    <row r="863" spans="1:7" x14ac:dyDescent="0.2">
      <c r="A863" s="26">
        <v>53</v>
      </c>
      <c r="B863" s="26">
        <v>34</v>
      </c>
      <c r="C863" s="26">
        <v>87</v>
      </c>
      <c r="D863" s="26" t="s">
        <v>1406</v>
      </c>
      <c r="E863" s="26">
        <v>-66581.926000000007</v>
      </c>
      <c r="F863" s="26">
        <v>39.212000000000003</v>
      </c>
      <c r="G863" s="26">
        <f t="shared" si="13"/>
        <v>-66581.926000000007</v>
      </c>
    </row>
    <row r="864" spans="1:7" x14ac:dyDescent="0.2">
      <c r="A864" s="26">
        <v>52</v>
      </c>
      <c r="B864" s="26">
        <v>35</v>
      </c>
      <c r="C864" s="26">
        <v>87</v>
      </c>
      <c r="D864" s="26" t="s">
        <v>1407</v>
      </c>
      <c r="E864" s="26">
        <v>-73856.926000000007</v>
      </c>
      <c r="F864" s="26">
        <v>17.68</v>
      </c>
      <c r="G864" s="26">
        <f t="shared" si="13"/>
        <v>-73856.926000000007</v>
      </c>
    </row>
    <row r="865" spans="1:7" x14ac:dyDescent="0.2">
      <c r="A865" s="26">
        <v>51</v>
      </c>
      <c r="B865" s="26">
        <v>36</v>
      </c>
      <c r="C865" s="26">
        <v>87</v>
      </c>
      <c r="D865" s="26" t="s">
        <v>1408</v>
      </c>
      <c r="E865" s="26">
        <v>-80709.426000000007</v>
      </c>
      <c r="F865" s="26">
        <v>0.26700000000000002</v>
      </c>
      <c r="G865" s="26">
        <f t="shared" si="13"/>
        <v>-80709.426000000007</v>
      </c>
    </row>
    <row r="866" spans="1:7" x14ac:dyDescent="0.2">
      <c r="A866" s="26">
        <v>50</v>
      </c>
      <c r="B866" s="26">
        <v>37</v>
      </c>
      <c r="C866" s="26">
        <v>87</v>
      </c>
      <c r="D866" s="26" t="s">
        <v>1409</v>
      </c>
      <c r="E866" s="26">
        <v>-84597.794999999998</v>
      </c>
      <c r="F866" s="26">
        <v>1.2E-2</v>
      </c>
      <c r="G866" s="26">
        <f t="shared" si="13"/>
        <v>-84597.794999999998</v>
      </c>
    </row>
    <row r="867" spans="1:7" x14ac:dyDescent="0.2">
      <c r="A867" s="26">
        <v>49</v>
      </c>
      <c r="B867" s="26">
        <v>38</v>
      </c>
      <c r="C867" s="26">
        <v>87</v>
      </c>
      <c r="D867" s="26" t="s">
        <v>1410</v>
      </c>
      <c r="E867" s="26">
        <v>-84880.413</v>
      </c>
      <c r="F867" s="26">
        <v>1.073</v>
      </c>
      <c r="G867" s="26">
        <f t="shared" si="13"/>
        <v>-84880.413</v>
      </c>
    </row>
    <row r="868" spans="1:7" x14ac:dyDescent="0.2">
      <c r="A868" s="26">
        <v>48</v>
      </c>
      <c r="B868" s="26">
        <v>39</v>
      </c>
      <c r="C868" s="26">
        <v>87</v>
      </c>
      <c r="D868" s="26" t="s">
        <v>1411</v>
      </c>
      <c r="E868" s="26">
        <v>-83018.722999999998</v>
      </c>
      <c r="F868" s="26">
        <v>1.5569999999999999</v>
      </c>
      <c r="G868" s="26">
        <f t="shared" si="13"/>
        <v>-83018.722999999998</v>
      </c>
    </row>
    <row r="869" spans="1:7" x14ac:dyDescent="0.2">
      <c r="A869" s="26">
        <v>47</v>
      </c>
      <c r="B869" s="26">
        <v>40</v>
      </c>
      <c r="C869" s="26">
        <v>87</v>
      </c>
      <c r="D869" s="26" t="s">
        <v>1412</v>
      </c>
      <c r="E869" s="26">
        <v>-79348.149999999994</v>
      </c>
      <c r="F869" s="26">
        <v>8.343</v>
      </c>
      <c r="G869" s="26">
        <f t="shared" si="13"/>
        <v>-79348.149999999994</v>
      </c>
    </row>
    <row r="870" spans="1:7" x14ac:dyDescent="0.2">
      <c r="A870" s="26">
        <v>46</v>
      </c>
      <c r="B870" s="26">
        <v>41</v>
      </c>
      <c r="C870" s="26">
        <v>87</v>
      </c>
      <c r="D870" s="26" t="s">
        <v>1413</v>
      </c>
      <c r="E870" s="26">
        <v>-74183.149999999994</v>
      </c>
      <c r="F870" s="26">
        <v>60.576999999999998</v>
      </c>
      <c r="G870" s="26">
        <f t="shared" si="13"/>
        <v>-74183.149999999994</v>
      </c>
    </row>
    <row r="871" spans="1:7" x14ac:dyDescent="0.2">
      <c r="A871" s="26">
        <v>45</v>
      </c>
      <c r="B871" s="26">
        <v>42</v>
      </c>
      <c r="C871" s="26">
        <v>87</v>
      </c>
      <c r="D871" s="26" t="s">
        <v>1414</v>
      </c>
      <c r="E871" s="26">
        <v>-67694.926999999996</v>
      </c>
      <c r="F871" s="26">
        <v>223.279</v>
      </c>
      <c r="G871" s="26">
        <f t="shared" si="13"/>
        <v>-67694.926999999996</v>
      </c>
    </row>
    <row r="872" spans="1:7" x14ac:dyDescent="0.2">
      <c r="A872" s="26">
        <v>44</v>
      </c>
      <c r="B872" s="26">
        <v>43</v>
      </c>
      <c r="C872" s="26">
        <v>87</v>
      </c>
      <c r="D872" s="26" t="s">
        <v>1415</v>
      </c>
      <c r="E872" s="26" t="s">
        <v>1590</v>
      </c>
      <c r="F872" s="26" t="s">
        <v>1730</v>
      </c>
      <c r="G872" s="26">
        <f t="shared" si="13"/>
        <v>-59122.01</v>
      </c>
    </row>
    <row r="873" spans="1:7" x14ac:dyDescent="0.2">
      <c r="A873" s="26">
        <v>43</v>
      </c>
      <c r="B873" s="26">
        <v>44</v>
      </c>
      <c r="C873" s="26">
        <v>87</v>
      </c>
      <c r="D873" s="26" t="s">
        <v>1416</v>
      </c>
      <c r="E873" s="26" t="s">
        <v>1591</v>
      </c>
      <c r="F873" s="26" t="s">
        <v>1505</v>
      </c>
      <c r="G873" s="26">
        <f t="shared" si="13"/>
        <v>-47339.01</v>
      </c>
    </row>
    <row r="874" spans="1:7" x14ac:dyDescent="0.2">
      <c r="A874" s="26">
        <v>56</v>
      </c>
      <c r="B874" s="26">
        <v>32</v>
      </c>
      <c r="C874" s="26">
        <v>88</v>
      </c>
      <c r="D874" s="26" t="s">
        <v>1404</v>
      </c>
      <c r="E874" s="26" t="s">
        <v>1014</v>
      </c>
      <c r="F874" s="26" t="s">
        <v>1508</v>
      </c>
      <c r="G874" s="26">
        <f t="shared" si="13"/>
        <v>-40138.01</v>
      </c>
    </row>
    <row r="875" spans="1:7" x14ac:dyDescent="0.2">
      <c r="A875" s="26">
        <v>55</v>
      </c>
      <c r="B875" s="26">
        <v>33</v>
      </c>
      <c r="C875" s="26">
        <v>88</v>
      </c>
      <c r="D875" s="26" t="s">
        <v>1405</v>
      </c>
      <c r="E875" s="26" t="s">
        <v>1015</v>
      </c>
      <c r="F875" s="26" t="s">
        <v>1728</v>
      </c>
      <c r="G875" s="26">
        <f t="shared" si="13"/>
        <v>-51288.01</v>
      </c>
    </row>
    <row r="876" spans="1:7" x14ac:dyDescent="0.2">
      <c r="A876" s="26">
        <v>54</v>
      </c>
      <c r="B876" s="26">
        <v>34</v>
      </c>
      <c r="C876" s="26">
        <v>88</v>
      </c>
      <c r="D876" s="26" t="s">
        <v>1406</v>
      </c>
      <c r="E876" s="26">
        <v>-63878.135000000002</v>
      </c>
      <c r="F876" s="26">
        <v>49.366</v>
      </c>
      <c r="G876" s="26">
        <f t="shared" si="13"/>
        <v>-63878.135000000002</v>
      </c>
    </row>
    <row r="877" spans="1:7" x14ac:dyDescent="0.2">
      <c r="A877" s="26">
        <v>53</v>
      </c>
      <c r="B877" s="26">
        <v>35</v>
      </c>
      <c r="C877" s="26">
        <v>88</v>
      </c>
      <c r="D877" s="26" t="s">
        <v>1407</v>
      </c>
      <c r="E877" s="26">
        <v>-70732.134999999995</v>
      </c>
      <c r="F877" s="26">
        <v>38.418999999999997</v>
      </c>
      <c r="G877" s="26">
        <f t="shared" si="13"/>
        <v>-70732.134999999995</v>
      </c>
    </row>
    <row r="878" spans="1:7" x14ac:dyDescent="0.2">
      <c r="A878" s="26">
        <v>52</v>
      </c>
      <c r="B878" s="26">
        <v>36</v>
      </c>
      <c r="C878" s="26">
        <v>88</v>
      </c>
      <c r="D878" s="26" t="s">
        <v>1408</v>
      </c>
      <c r="E878" s="26">
        <v>-79692.134999999995</v>
      </c>
      <c r="F878" s="26">
        <v>13.417</v>
      </c>
      <c r="G878" s="26">
        <f t="shared" si="13"/>
        <v>-79692.134999999995</v>
      </c>
    </row>
    <row r="879" spans="1:7" x14ac:dyDescent="0.2">
      <c r="A879" s="26">
        <v>51</v>
      </c>
      <c r="B879" s="26">
        <v>37</v>
      </c>
      <c r="C879" s="26">
        <v>88</v>
      </c>
      <c r="D879" s="26" t="s">
        <v>1409</v>
      </c>
      <c r="E879" s="26">
        <v>-82608.998000000007</v>
      </c>
      <c r="F879" s="26">
        <v>0.16</v>
      </c>
      <c r="G879" s="26">
        <f t="shared" si="13"/>
        <v>-82608.998000000007</v>
      </c>
    </row>
    <row r="880" spans="1:7" x14ac:dyDescent="0.2">
      <c r="A880" s="26">
        <v>50</v>
      </c>
      <c r="B880" s="26">
        <v>38</v>
      </c>
      <c r="C880" s="26">
        <v>88</v>
      </c>
      <c r="D880" s="26" t="s">
        <v>1410</v>
      </c>
      <c r="E880" s="26">
        <v>-87921.74</v>
      </c>
      <c r="F880" s="26">
        <v>1.083</v>
      </c>
      <c r="G880" s="26">
        <f t="shared" si="13"/>
        <v>-87921.74</v>
      </c>
    </row>
    <row r="881" spans="1:7" x14ac:dyDescent="0.2">
      <c r="A881" s="26">
        <v>49</v>
      </c>
      <c r="B881" s="26">
        <v>39</v>
      </c>
      <c r="C881" s="26">
        <v>88</v>
      </c>
      <c r="D881" s="26" t="s">
        <v>1411</v>
      </c>
      <c r="E881" s="26">
        <v>-84299.14</v>
      </c>
      <c r="F881" s="26">
        <v>1.85</v>
      </c>
      <c r="G881" s="26">
        <f t="shared" si="13"/>
        <v>-84299.14</v>
      </c>
    </row>
    <row r="882" spans="1:7" x14ac:dyDescent="0.2">
      <c r="A882" s="26">
        <v>48</v>
      </c>
      <c r="B882" s="26">
        <v>40</v>
      </c>
      <c r="C882" s="26">
        <v>88</v>
      </c>
      <c r="D882" s="26" t="s">
        <v>1412</v>
      </c>
      <c r="E882" s="26">
        <v>-83623.100999999995</v>
      </c>
      <c r="F882" s="26">
        <v>10.276999999999999</v>
      </c>
      <c r="G882" s="26">
        <f t="shared" si="13"/>
        <v>-83623.100999999995</v>
      </c>
    </row>
    <row r="883" spans="1:7" x14ac:dyDescent="0.2">
      <c r="A883" s="26">
        <v>47</v>
      </c>
      <c r="B883" s="26">
        <v>41</v>
      </c>
      <c r="C883" s="26">
        <v>88</v>
      </c>
      <c r="D883" s="26" t="s">
        <v>1413</v>
      </c>
      <c r="E883" s="26">
        <v>-76073.100999999995</v>
      </c>
      <c r="F883" s="26">
        <v>100.527</v>
      </c>
      <c r="G883" s="26">
        <f t="shared" si="13"/>
        <v>-76073.100999999995</v>
      </c>
    </row>
    <row r="884" spans="1:7" x14ac:dyDescent="0.2">
      <c r="A884" s="26">
        <v>46</v>
      </c>
      <c r="B884" s="26">
        <v>42</v>
      </c>
      <c r="C884" s="26">
        <v>88</v>
      </c>
      <c r="D884" s="26" t="s">
        <v>1414</v>
      </c>
      <c r="E884" s="26">
        <v>-72700.088000000003</v>
      </c>
      <c r="F884" s="26">
        <v>20.359000000000002</v>
      </c>
      <c r="G884" s="26">
        <f t="shared" si="13"/>
        <v>-72700.088000000003</v>
      </c>
    </row>
    <row r="885" spans="1:7" x14ac:dyDescent="0.2">
      <c r="A885" s="26">
        <v>45</v>
      </c>
      <c r="B885" s="26">
        <v>43</v>
      </c>
      <c r="C885" s="26">
        <v>88</v>
      </c>
      <c r="D885" s="26" t="s">
        <v>1415</v>
      </c>
      <c r="E885" s="26" t="s">
        <v>1016</v>
      </c>
      <c r="F885" s="26" t="s">
        <v>1325</v>
      </c>
      <c r="G885" s="26">
        <f t="shared" si="13"/>
        <v>-62710.01</v>
      </c>
    </row>
    <row r="886" spans="1:7" x14ac:dyDescent="0.2">
      <c r="A886" s="26">
        <v>44</v>
      </c>
      <c r="B886" s="26">
        <v>44</v>
      </c>
      <c r="C886" s="26">
        <v>88</v>
      </c>
      <c r="D886" s="26" t="s">
        <v>1416</v>
      </c>
      <c r="E886" s="26" t="s">
        <v>1017</v>
      </c>
      <c r="F886" s="26" t="s">
        <v>1723</v>
      </c>
      <c r="G886" s="26">
        <f t="shared" si="13"/>
        <v>-55647.01</v>
      </c>
    </row>
    <row r="887" spans="1:7" x14ac:dyDescent="0.2">
      <c r="A887" s="26">
        <v>57</v>
      </c>
      <c r="B887" s="26">
        <v>32</v>
      </c>
      <c r="C887" s="26">
        <v>89</v>
      </c>
      <c r="D887" s="26" t="s">
        <v>1404</v>
      </c>
      <c r="E887" s="26" t="s">
        <v>1018</v>
      </c>
      <c r="F887" s="26" t="s">
        <v>1731</v>
      </c>
      <c r="G887" s="26">
        <f t="shared" si="13"/>
        <v>-33692.01</v>
      </c>
    </row>
    <row r="888" spans="1:7" x14ac:dyDescent="0.2">
      <c r="A888" s="26">
        <v>56</v>
      </c>
      <c r="B888" s="26">
        <v>33</v>
      </c>
      <c r="C888" s="26">
        <v>89</v>
      </c>
      <c r="D888" s="26" t="s">
        <v>1405</v>
      </c>
      <c r="E888" s="26" t="s">
        <v>1378</v>
      </c>
      <c r="F888" s="26" t="s">
        <v>1728</v>
      </c>
      <c r="G888" s="26">
        <f t="shared" si="13"/>
        <v>-47143.01</v>
      </c>
    </row>
    <row r="889" spans="1:7" x14ac:dyDescent="0.2">
      <c r="A889" s="26">
        <v>55</v>
      </c>
      <c r="B889" s="26">
        <v>34</v>
      </c>
      <c r="C889" s="26">
        <v>89</v>
      </c>
      <c r="D889" s="26" t="s">
        <v>1406</v>
      </c>
      <c r="E889" s="26" t="s">
        <v>1019</v>
      </c>
      <c r="F889" s="26" t="s">
        <v>1730</v>
      </c>
      <c r="G889" s="26">
        <f t="shared" si="13"/>
        <v>-59196.01</v>
      </c>
    </row>
    <row r="890" spans="1:7" x14ac:dyDescent="0.2">
      <c r="A890" s="26">
        <v>54</v>
      </c>
      <c r="B890" s="26">
        <v>35</v>
      </c>
      <c r="C890" s="26">
        <v>89</v>
      </c>
      <c r="D890" s="26" t="s">
        <v>1407</v>
      </c>
      <c r="E890" s="26">
        <v>-68571.62</v>
      </c>
      <c r="F890" s="26">
        <v>59.807000000000002</v>
      </c>
      <c r="G890" s="26">
        <f t="shared" si="13"/>
        <v>-68571.62</v>
      </c>
    </row>
    <row r="891" spans="1:7" x14ac:dyDescent="0.2">
      <c r="A891" s="26">
        <v>53</v>
      </c>
      <c r="B891" s="26">
        <v>36</v>
      </c>
      <c r="C891" s="26">
        <v>89</v>
      </c>
      <c r="D891" s="26" t="s">
        <v>1408</v>
      </c>
      <c r="E891" s="26">
        <v>-76726.62</v>
      </c>
      <c r="F891" s="26">
        <v>51.738999999999997</v>
      </c>
      <c r="G891" s="26">
        <f t="shared" si="13"/>
        <v>-76726.62</v>
      </c>
    </row>
    <row r="892" spans="1:7" x14ac:dyDescent="0.2">
      <c r="A892" s="26">
        <v>52</v>
      </c>
      <c r="B892" s="26">
        <v>37</v>
      </c>
      <c r="C892" s="26">
        <v>89</v>
      </c>
      <c r="D892" s="26" t="s">
        <v>1409</v>
      </c>
      <c r="E892" s="26">
        <v>-81712.501999999993</v>
      </c>
      <c r="F892" s="26">
        <v>5.4619999999999997</v>
      </c>
      <c r="G892" s="26">
        <f t="shared" si="13"/>
        <v>-81712.501999999993</v>
      </c>
    </row>
    <row r="893" spans="1:7" x14ac:dyDescent="0.2">
      <c r="A893" s="26">
        <v>51</v>
      </c>
      <c r="B893" s="26">
        <v>38</v>
      </c>
      <c r="C893" s="26">
        <v>89</v>
      </c>
      <c r="D893" s="26" t="s">
        <v>1410</v>
      </c>
      <c r="E893" s="26">
        <v>-86209.141000000003</v>
      </c>
      <c r="F893" s="26">
        <v>1.087</v>
      </c>
      <c r="G893" s="26">
        <f t="shared" si="13"/>
        <v>-86209.141000000003</v>
      </c>
    </row>
    <row r="894" spans="1:7" x14ac:dyDescent="0.2">
      <c r="A894" s="26">
        <v>50</v>
      </c>
      <c r="B894" s="26">
        <v>39</v>
      </c>
      <c r="C894" s="26">
        <v>89</v>
      </c>
      <c r="D894" s="26" t="s">
        <v>1411</v>
      </c>
      <c r="E894" s="26">
        <v>-87701.748999999996</v>
      </c>
      <c r="F894" s="26">
        <v>2.552</v>
      </c>
      <c r="G894" s="26">
        <f t="shared" si="13"/>
        <v>-87701.748999999996</v>
      </c>
    </row>
    <row r="895" spans="1:7" x14ac:dyDescent="0.2">
      <c r="A895" s="26">
        <v>49</v>
      </c>
      <c r="B895" s="26">
        <v>40</v>
      </c>
      <c r="C895" s="26">
        <v>89</v>
      </c>
      <c r="D895" s="26" t="s">
        <v>1412</v>
      </c>
      <c r="E895" s="26">
        <v>-84868.884000000005</v>
      </c>
      <c r="F895" s="26">
        <v>3.698</v>
      </c>
      <c r="G895" s="26">
        <f t="shared" si="13"/>
        <v>-84868.884000000005</v>
      </c>
    </row>
    <row r="896" spans="1:7" x14ac:dyDescent="0.2">
      <c r="A896" s="26">
        <v>48</v>
      </c>
      <c r="B896" s="26">
        <v>41</v>
      </c>
      <c r="C896" s="26">
        <v>89</v>
      </c>
      <c r="D896" s="26" t="s">
        <v>1413</v>
      </c>
      <c r="E896" s="26">
        <v>-80650.385999999999</v>
      </c>
      <c r="F896" s="26">
        <v>26.800999999999998</v>
      </c>
      <c r="G896" s="26">
        <f t="shared" si="13"/>
        <v>-80650.385999999999</v>
      </c>
    </row>
    <row r="897" spans="1:7" x14ac:dyDescent="0.2">
      <c r="A897" s="26">
        <v>47</v>
      </c>
      <c r="B897" s="26">
        <v>42</v>
      </c>
      <c r="C897" s="26">
        <v>89</v>
      </c>
      <c r="D897" s="26" t="s">
        <v>1414</v>
      </c>
      <c r="E897" s="26">
        <v>-75003.888999999996</v>
      </c>
      <c r="F897" s="26">
        <v>15.475</v>
      </c>
      <c r="G897" s="26">
        <f t="shared" si="13"/>
        <v>-75003.888999999996</v>
      </c>
    </row>
    <row r="898" spans="1:7" x14ac:dyDescent="0.2">
      <c r="A898" s="26">
        <v>46</v>
      </c>
      <c r="B898" s="26">
        <v>43</v>
      </c>
      <c r="C898" s="26">
        <v>89</v>
      </c>
      <c r="D898" s="26" t="s">
        <v>1415</v>
      </c>
      <c r="E898" s="26" t="s">
        <v>1020</v>
      </c>
      <c r="F898" s="26" t="s">
        <v>1325</v>
      </c>
      <c r="G898" s="26">
        <f t="shared" si="13"/>
        <v>-67844.009999999995</v>
      </c>
    </row>
    <row r="899" spans="1:7" x14ac:dyDescent="0.2">
      <c r="A899" s="26">
        <v>45</v>
      </c>
      <c r="B899" s="26">
        <v>44</v>
      </c>
      <c r="C899" s="26">
        <v>89</v>
      </c>
      <c r="D899" s="26" t="s">
        <v>1416</v>
      </c>
      <c r="E899" s="26" t="s">
        <v>1594</v>
      </c>
      <c r="F899" s="26" t="s">
        <v>1728</v>
      </c>
      <c r="G899" s="26">
        <f t="shared" si="13"/>
        <v>-59513.01</v>
      </c>
    </row>
    <row r="900" spans="1:7" x14ac:dyDescent="0.2">
      <c r="A900" s="26">
        <v>44</v>
      </c>
      <c r="B900" s="26">
        <v>45</v>
      </c>
      <c r="C900" s="26">
        <v>89</v>
      </c>
      <c r="D900" s="26" t="s">
        <v>1417</v>
      </c>
      <c r="E900" s="26" t="s">
        <v>1021</v>
      </c>
      <c r="F900" s="26" t="s">
        <v>1338</v>
      </c>
      <c r="G900" s="26">
        <f t="shared" si="13"/>
        <v>-47658.01</v>
      </c>
    </row>
    <row r="901" spans="1:7" x14ac:dyDescent="0.2">
      <c r="A901" s="26">
        <v>57</v>
      </c>
      <c r="B901" s="26">
        <v>33</v>
      </c>
      <c r="C901" s="26">
        <v>90</v>
      </c>
      <c r="D901" s="26" t="s">
        <v>1405</v>
      </c>
      <c r="E901" s="26" t="s">
        <v>1022</v>
      </c>
      <c r="F901" s="26" t="s">
        <v>1725</v>
      </c>
      <c r="G901" s="26">
        <f t="shared" si="13"/>
        <v>-41451.01</v>
      </c>
    </row>
    <row r="902" spans="1:7" x14ac:dyDescent="0.2">
      <c r="A902" s="26">
        <v>56</v>
      </c>
      <c r="B902" s="26">
        <v>34</v>
      </c>
      <c r="C902" s="26">
        <v>90</v>
      </c>
      <c r="D902" s="26" t="s">
        <v>1406</v>
      </c>
      <c r="E902" s="26" t="s">
        <v>1023</v>
      </c>
      <c r="F902" s="26" t="s">
        <v>1723</v>
      </c>
      <c r="G902" s="26">
        <f t="shared" si="13"/>
        <v>-55927.01</v>
      </c>
    </row>
    <row r="903" spans="1:7" x14ac:dyDescent="0.2">
      <c r="A903" s="26">
        <v>55</v>
      </c>
      <c r="B903" s="26">
        <v>35</v>
      </c>
      <c r="C903" s="26">
        <v>90</v>
      </c>
      <c r="D903" s="26" t="s">
        <v>1407</v>
      </c>
      <c r="E903" s="26">
        <v>-64619.845999999998</v>
      </c>
      <c r="F903" s="26">
        <v>77.248999999999995</v>
      </c>
      <c r="G903" s="26">
        <f t="shared" si="13"/>
        <v>-64619.845999999998</v>
      </c>
    </row>
    <row r="904" spans="1:7" x14ac:dyDescent="0.2">
      <c r="A904" s="26">
        <v>54</v>
      </c>
      <c r="B904" s="26">
        <v>36</v>
      </c>
      <c r="C904" s="26">
        <v>90</v>
      </c>
      <c r="D904" s="26" t="s">
        <v>1408</v>
      </c>
      <c r="E904" s="26">
        <v>-74969.846000000005</v>
      </c>
      <c r="F904" s="26">
        <v>18.504999999999999</v>
      </c>
      <c r="G904" s="26">
        <f t="shared" si="13"/>
        <v>-74969.846000000005</v>
      </c>
    </row>
    <row r="905" spans="1:7" x14ac:dyDescent="0.2">
      <c r="A905" s="26">
        <v>53</v>
      </c>
      <c r="B905" s="26">
        <v>37</v>
      </c>
      <c r="C905" s="26">
        <v>90</v>
      </c>
      <c r="D905" s="26" t="s">
        <v>1409</v>
      </c>
      <c r="E905" s="26">
        <v>-79361.712</v>
      </c>
      <c r="F905" s="26">
        <v>6.5339999999999998</v>
      </c>
      <c r="G905" s="26">
        <f t="shared" si="13"/>
        <v>-79361.712</v>
      </c>
    </row>
    <row r="906" spans="1:7" x14ac:dyDescent="0.2">
      <c r="A906" s="26">
        <v>52</v>
      </c>
      <c r="B906" s="26">
        <v>38</v>
      </c>
      <c r="C906" s="26">
        <v>90</v>
      </c>
      <c r="D906" s="26" t="s">
        <v>1410</v>
      </c>
      <c r="E906" s="26">
        <v>-85941.604000000007</v>
      </c>
      <c r="F906" s="26">
        <v>2.887</v>
      </c>
      <c r="G906" s="26">
        <f t="shared" ref="G906:G969" si="14">IF(ISNUMBER(E906),E906,VALUE(SUBSTITUTE(E906,"#",".01")))</f>
        <v>-85941.604000000007</v>
      </c>
    </row>
    <row r="907" spans="1:7" x14ac:dyDescent="0.2">
      <c r="A907" s="26">
        <v>51</v>
      </c>
      <c r="B907" s="26">
        <v>39</v>
      </c>
      <c r="C907" s="26">
        <v>90</v>
      </c>
      <c r="D907" s="26" t="s">
        <v>1411</v>
      </c>
      <c r="E907" s="26">
        <v>-86487.462</v>
      </c>
      <c r="F907" s="26">
        <v>2.552</v>
      </c>
      <c r="G907" s="26">
        <f t="shared" si="14"/>
        <v>-86487.462</v>
      </c>
    </row>
    <row r="908" spans="1:7" x14ac:dyDescent="0.2">
      <c r="A908" s="26">
        <v>50</v>
      </c>
      <c r="B908" s="26">
        <v>40</v>
      </c>
      <c r="C908" s="26">
        <v>90</v>
      </c>
      <c r="D908" s="26" t="s">
        <v>1412</v>
      </c>
      <c r="E908" s="26">
        <v>-88767.264999999999</v>
      </c>
      <c r="F908" s="26">
        <v>2.3679999999999999</v>
      </c>
      <c r="G908" s="26">
        <f t="shared" si="14"/>
        <v>-88767.264999999999</v>
      </c>
    </row>
    <row r="909" spans="1:7" x14ac:dyDescent="0.2">
      <c r="A909" s="26">
        <v>49</v>
      </c>
      <c r="B909" s="26">
        <v>41</v>
      </c>
      <c r="C909" s="26">
        <v>90</v>
      </c>
      <c r="D909" s="26" t="s">
        <v>1413</v>
      </c>
      <c r="E909" s="26">
        <v>-82656.264999999999</v>
      </c>
      <c r="F909" s="26">
        <v>4.6479999999999997</v>
      </c>
      <c r="G909" s="26">
        <f t="shared" si="14"/>
        <v>-82656.264999999999</v>
      </c>
    </row>
    <row r="910" spans="1:7" x14ac:dyDescent="0.2">
      <c r="A910" s="26">
        <v>48</v>
      </c>
      <c r="B910" s="26">
        <v>42</v>
      </c>
      <c r="C910" s="26">
        <v>90</v>
      </c>
      <c r="D910" s="26" t="s">
        <v>1414</v>
      </c>
      <c r="E910" s="26">
        <v>-80167.264999999999</v>
      </c>
      <c r="F910" s="26">
        <v>6.133</v>
      </c>
      <c r="G910" s="26">
        <f t="shared" si="14"/>
        <v>-80167.264999999999</v>
      </c>
    </row>
    <row r="911" spans="1:7" x14ac:dyDescent="0.2">
      <c r="A911" s="26">
        <v>47</v>
      </c>
      <c r="B911" s="26">
        <v>43</v>
      </c>
      <c r="C911" s="26">
        <v>90</v>
      </c>
      <c r="D911" s="26" t="s">
        <v>1415</v>
      </c>
      <c r="E911" s="26">
        <v>-71206.603000000003</v>
      </c>
      <c r="F911" s="26">
        <v>242.18700000000001</v>
      </c>
      <c r="G911" s="26">
        <f t="shared" si="14"/>
        <v>-71206.603000000003</v>
      </c>
    </row>
    <row r="912" spans="1:7" x14ac:dyDescent="0.2">
      <c r="A912" s="26">
        <v>46</v>
      </c>
      <c r="B912" s="26">
        <v>44</v>
      </c>
      <c r="C912" s="26">
        <v>90</v>
      </c>
      <c r="D912" s="26" t="s">
        <v>1416</v>
      </c>
      <c r="E912" s="26" t="s">
        <v>1024</v>
      </c>
      <c r="F912" s="26" t="s">
        <v>1730</v>
      </c>
      <c r="G912" s="26">
        <f t="shared" si="14"/>
        <v>-65307.01</v>
      </c>
    </row>
    <row r="913" spans="1:7" x14ac:dyDescent="0.2">
      <c r="A913" s="26">
        <v>45</v>
      </c>
      <c r="B913" s="26">
        <v>45</v>
      </c>
      <c r="C913" s="26">
        <v>90</v>
      </c>
      <c r="D913" s="26" t="s">
        <v>1417</v>
      </c>
      <c r="E913" s="26" t="s">
        <v>1595</v>
      </c>
      <c r="F913" s="26" t="s">
        <v>1728</v>
      </c>
      <c r="G913" s="26">
        <f t="shared" si="14"/>
        <v>-53216.01</v>
      </c>
    </row>
    <row r="914" spans="1:7" x14ac:dyDescent="0.2">
      <c r="A914" s="26">
        <v>58</v>
      </c>
      <c r="B914" s="26">
        <v>33</v>
      </c>
      <c r="C914" s="26">
        <v>91</v>
      </c>
      <c r="D914" s="26" t="s">
        <v>1405</v>
      </c>
      <c r="E914" s="26" t="s">
        <v>1025</v>
      </c>
      <c r="F914" s="26" t="s">
        <v>1731</v>
      </c>
      <c r="G914" s="26">
        <f t="shared" si="14"/>
        <v>-36859.01</v>
      </c>
    </row>
    <row r="915" spans="1:7" x14ac:dyDescent="0.2">
      <c r="A915" s="26">
        <v>57</v>
      </c>
      <c r="B915" s="26">
        <v>34</v>
      </c>
      <c r="C915" s="26">
        <v>91</v>
      </c>
      <c r="D915" s="26" t="s">
        <v>1406</v>
      </c>
      <c r="E915" s="26" t="s">
        <v>1635</v>
      </c>
      <c r="F915" s="26" t="s">
        <v>1728</v>
      </c>
      <c r="G915" s="26">
        <f t="shared" si="14"/>
        <v>-50338.01</v>
      </c>
    </row>
    <row r="916" spans="1:7" x14ac:dyDescent="0.2">
      <c r="A916" s="26">
        <v>56</v>
      </c>
      <c r="B916" s="26">
        <v>35</v>
      </c>
      <c r="C916" s="26">
        <v>91</v>
      </c>
      <c r="D916" s="26" t="s">
        <v>1407</v>
      </c>
      <c r="E916" s="26">
        <v>-61508.322999999997</v>
      </c>
      <c r="F916" s="26">
        <v>72.56</v>
      </c>
      <c r="G916" s="26">
        <f t="shared" si="14"/>
        <v>-61508.322999999997</v>
      </c>
    </row>
    <row r="917" spans="1:7" x14ac:dyDescent="0.2">
      <c r="A917" s="26">
        <v>55</v>
      </c>
      <c r="B917" s="26">
        <v>36</v>
      </c>
      <c r="C917" s="26">
        <v>91</v>
      </c>
      <c r="D917" s="26" t="s">
        <v>1408</v>
      </c>
      <c r="E917" s="26">
        <v>-71310.323000000004</v>
      </c>
      <c r="F917" s="26">
        <v>57.139000000000003</v>
      </c>
      <c r="G917" s="26">
        <f t="shared" si="14"/>
        <v>-71310.323000000004</v>
      </c>
    </row>
    <row r="918" spans="1:7" x14ac:dyDescent="0.2">
      <c r="A918" s="26">
        <v>54</v>
      </c>
      <c r="B918" s="26">
        <v>37</v>
      </c>
      <c r="C918" s="26">
        <v>91</v>
      </c>
      <c r="D918" s="26" t="s">
        <v>1409</v>
      </c>
      <c r="E918" s="26">
        <v>-77745.323000000004</v>
      </c>
      <c r="F918" s="26">
        <v>8.0549999999999997</v>
      </c>
      <c r="G918" s="26">
        <f t="shared" si="14"/>
        <v>-77745.323000000004</v>
      </c>
    </row>
    <row r="919" spans="1:7" x14ac:dyDescent="0.2">
      <c r="A919" s="26">
        <v>53</v>
      </c>
      <c r="B919" s="26">
        <v>38</v>
      </c>
      <c r="C919" s="26">
        <v>91</v>
      </c>
      <c r="D919" s="26" t="s">
        <v>1410</v>
      </c>
      <c r="E919" s="26">
        <v>-83645.278999999995</v>
      </c>
      <c r="F919" s="26">
        <v>4.5229999999999997</v>
      </c>
      <c r="G919" s="26">
        <f t="shared" si="14"/>
        <v>-83645.278999999995</v>
      </c>
    </row>
    <row r="920" spans="1:7" x14ac:dyDescent="0.2">
      <c r="A920" s="26">
        <v>52</v>
      </c>
      <c r="B920" s="26">
        <v>39</v>
      </c>
      <c r="C920" s="26">
        <v>91</v>
      </c>
      <c r="D920" s="26" t="s">
        <v>1411</v>
      </c>
      <c r="E920" s="26">
        <v>-86345.031000000003</v>
      </c>
      <c r="F920" s="26">
        <v>2.887</v>
      </c>
      <c r="G920" s="26">
        <f t="shared" si="14"/>
        <v>-86345.031000000003</v>
      </c>
    </row>
    <row r="921" spans="1:7" x14ac:dyDescent="0.2">
      <c r="A921" s="26">
        <v>51</v>
      </c>
      <c r="B921" s="26">
        <v>40</v>
      </c>
      <c r="C921" s="26">
        <v>91</v>
      </c>
      <c r="D921" s="26" t="s">
        <v>1412</v>
      </c>
      <c r="E921" s="26">
        <v>-87890.402000000002</v>
      </c>
      <c r="F921" s="26">
        <v>2.3460000000000001</v>
      </c>
      <c r="G921" s="26">
        <f t="shared" si="14"/>
        <v>-87890.402000000002</v>
      </c>
    </row>
    <row r="922" spans="1:7" x14ac:dyDescent="0.2">
      <c r="A922" s="26">
        <v>50</v>
      </c>
      <c r="B922" s="26">
        <v>41</v>
      </c>
      <c r="C922" s="26">
        <v>91</v>
      </c>
      <c r="D922" s="26" t="s">
        <v>1413</v>
      </c>
      <c r="E922" s="26">
        <v>-86632.441999999995</v>
      </c>
      <c r="F922" s="26">
        <v>3.7759999999999998</v>
      </c>
      <c r="G922" s="26">
        <f t="shared" si="14"/>
        <v>-86632.441999999995</v>
      </c>
    </row>
    <row r="923" spans="1:7" x14ac:dyDescent="0.2">
      <c r="A923" s="26">
        <v>49</v>
      </c>
      <c r="B923" s="26">
        <v>42</v>
      </c>
      <c r="C923" s="26">
        <v>91</v>
      </c>
      <c r="D923" s="26" t="s">
        <v>1414</v>
      </c>
      <c r="E923" s="26">
        <v>-82204.164999999994</v>
      </c>
      <c r="F923" s="26">
        <v>11.180999999999999</v>
      </c>
      <c r="G923" s="26">
        <f t="shared" si="14"/>
        <v>-82204.164999999994</v>
      </c>
    </row>
    <row r="924" spans="1:7" x14ac:dyDescent="0.2">
      <c r="A924" s="26">
        <v>48</v>
      </c>
      <c r="B924" s="26">
        <v>43</v>
      </c>
      <c r="C924" s="26">
        <v>91</v>
      </c>
      <c r="D924" s="26" t="s">
        <v>1415</v>
      </c>
      <c r="E924" s="26">
        <v>-75984.164999999994</v>
      </c>
      <c r="F924" s="26">
        <v>200.31200000000001</v>
      </c>
      <c r="G924" s="26">
        <f t="shared" si="14"/>
        <v>-75984.164999999994</v>
      </c>
    </row>
    <row r="925" spans="1:7" x14ac:dyDescent="0.2">
      <c r="A925" s="26">
        <v>47</v>
      </c>
      <c r="B925" s="26">
        <v>44</v>
      </c>
      <c r="C925" s="26">
        <v>91</v>
      </c>
      <c r="D925" s="26" t="s">
        <v>1416</v>
      </c>
      <c r="E925" s="26" t="s">
        <v>1026</v>
      </c>
      <c r="F925" s="26" t="s">
        <v>1027</v>
      </c>
      <c r="G925" s="26">
        <f t="shared" si="14"/>
        <v>-68658.009999999995</v>
      </c>
    </row>
    <row r="926" spans="1:7" x14ac:dyDescent="0.2">
      <c r="A926" s="26">
        <v>46</v>
      </c>
      <c r="B926" s="26">
        <v>45</v>
      </c>
      <c r="C926" s="26">
        <v>91</v>
      </c>
      <c r="D926" s="26" t="s">
        <v>1417</v>
      </c>
      <c r="E926" s="26" t="s">
        <v>1596</v>
      </c>
      <c r="F926" s="26" t="s">
        <v>1723</v>
      </c>
      <c r="G926" s="26">
        <f t="shared" si="14"/>
        <v>-59103.01</v>
      </c>
    </row>
    <row r="927" spans="1:7" x14ac:dyDescent="0.2">
      <c r="A927" s="26">
        <v>45</v>
      </c>
      <c r="B927" s="26">
        <v>46</v>
      </c>
      <c r="C927" s="26">
        <v>91</v>
      </c>
      <c r="D927" s="26" t="s">
        <v>1418</v>
      </c>
      <c r="E927" s="26" t="s">
        <v>1028</v>
      </c>
      <c r="F927" s="26" t="s">
        <v>1029</v>
      </c>
      <c r="G927" s="26">
        <f t="shared" si="14"/>
        <v>-47403.01</v>
      </c>
    </row>
    <row r="928" spans="1:7" x14ac:dyDescent="0.2">
      <c r="A928" s="26">
        <v>59</v>
      </c>
      <c r="B928" s="26">
        <v>33</v>
      </c>
      <c r="C928" s="26">
        <v>92</v>
      </c>
      <c r="D928" s="26" t="s">
        <v>1405</v>
      </c>
      <c r="E928" s="26" t="s">
        <v>1030</v>
      </c>
      <c r="F928" s="26" t="s">
        <v>1731</v>
      </c>
      <c r="G928" s="26">
        <f t="shared" si="14"/>
        <v>-30926.01</v>
      </c>
    </row>
    <row r="929" spans="1:7" x14ac:dyDescent="0.2">
      <c r="A929" s="26">
        <v>58</v>
      </c>
      <c r="B929" s="26">
        <v>34</v>
      </c>
      <c r="C929" s="26">
        <v>92</v>
      </c>
      <c r="D929" s="26" t="s">
        <v>1406</v>
      </c>
      <c r="E929" s="26" t="s">
        <v>1576</v>
      </c>
      <c r="F929" s="26" t="s">
        <v>1505</v>
      </c>
      <c r="G929" s="26">
        <f t="shared" si="14"/>
        <v>-46649.01</v>
      </c>
    </row>
    <row r="930" spans="1:7" x14ac:dyDescent="0.2">
      <c r="A930" s="26">
        <v>57</v>
      </c>
      <c r="B930" s="26">
        <v>35</v>
      </c>
      <c r="C930" s="26">
        <v>92</v>
      </c>
      <c r="D930" s="26" t="s">
        <v>1407</v>
      </c>
      <c r="E930" s="26">
        <v>-56580.144</v>
      </c>
      <c r="F930" s="26">
        <v>49.594999999999999</v>
      </c>
      <c r="G930" s="26">
        <f t="shared" si="14"/>
        <v>-56580.144</v>
      </c>
    </row>
    <row r="931" spans="1:7" x14ac:dyDescent="0.2">
      <c r="A931" s="26">
        <v>56</v>
      </c>
      <c r="B931" s="26">
        <v>36</v>
      </c>
      <c r="C931" s="26">
        <v>92</v>
      </c>
      <c r="D931" s="26" t="s">
        <v>1408</v>
      </c>
      <c r="E931" s="26">
        <v>-68785.047999999995</v>
      </c>
      <c r="F931" s="26">
        <v>11.715</v>
      </c>
      <c r="G931" s="26">
        <f t="shared" si="14"/>
        <v>-68785.047999999995</v>
      </c>
    </row>
    <row r="932" spans="1:7" x14ac:dyDescent="0.2">
      <c r="A932" s="26">
        <v>55</v>
      </c>
      <c r="B932" s="26">
        <v>37</v>
      </c>
      <c r="C932" s="26">
        <v>92</v>
      </c>
      <c r="D932" s="26" t="s">
        <v>1409</v>
      </c>
      <c r="E932" s="26">
        <v>-74772.047999999995</v>
      </c>
      <c r="F932" s="26">
        <v>6.1020000000000003</v>
      </c>
      <c r="G932" s="26">
        <f t="shared" si="14"/>
        <v>-74772.047999999995</v>
      </c>
    </row>
    <row r="933" spans="1:7" x14ac:dyDescent="0.2">
      <c r="A933" s="26">
        <v>54</v>
      </c>
      <c r="B933" s="26">
        <v>38</v>
      </c>
      <c r="C933" s="26">
        <v>92</v>
      </c>
      <c r="D933" s="26" t="s">
        <v>1410</v>
      </c>
      <c r="E933" s="26">
        <v>-82867.702000000005</v>
      </c>
      <c r="F933" s="26">
        <v>3.403</v>
      </c>
      <c r="G933" s="26">
        <f t="shared" si="14"/>
        <v>-82867.702000000005</v>
      </c>
    </row>
    <row r="934" spans="1:7" x14ac:dyDescent="0.2">
      <c r="A934" s="26">
        <v>53</v>
      </c>
      <c r="B934" s="26">
        <v>39</v>
      </c>
      <c r="C934" s="26">
        <v>92</v>
      </c>
      <c r="D934" s="26" t="s">
        <v>1411</v>
      </c>
      <c r="E934" s="26">
        <v>-84813.327000000005</v>
      </c>
      <c r="F934" s="26">
        <v>9.2639999999999993</v>
      </c>
      <c r="G934" s="26">
        <f t="shared" si="14"/>
        <v>-84813.327000000005</v>
      </c>
    </row>
    <row r="935" spans="1:7" x14ac:dyDescent="0.2">
      <c r="A935" s="26">
        <v>52</v>
      </c>
      <c r="B935" s="26">
        <v>40</v>
      </c>
      <c r="C935" s="26">
        <v>92</v>
      </c>
      <c r="D935" s="26" t="s">
        <v>1412</v>
      </c>
      <c r="E935" s="26">
        <v>-88453.881999999998</v>
      </c>
      <c r="F935" s="26">
        <v>2.3450000000000002</v>
      </c>
      <c r="G935" s="26">
        <f t="shared" si="14"/>
        <v>-88453.881999999998</v>
      </c>
    </row>
    <row r="936" spans="1:7" x14ac:dyDescent="0.2">
      <c r="A936" s="26">
        <v>51</v>
      </c>
      <c r="B936" s="26">
        <v>41</v>
      </c>
      <c r="C936" s="26">
        <v>92</v>
      </c>
      <c r="D936" s="26" t="s">
        <v>1413</v>
      </c>
      <c r="E936" s="26">
        <v>-86448.337</v>
      </c>
      <c r="F936" s="26">
        <v>2.8279999999999998</v>
      </c>
      <c r="G936" s="26">
        <f t="shared" si="14"/>
        <v>-86448.337</v>
      </c>
    </row>
    <row r="937" spans="1:7" x14ac:dyDescent="0.2">
      <c r="A937" s="26">
        <v>50</v>
      </c>
      <c r="B937" s="26">
        <v>42</v>
      </c>
      <c r="C937" s="26">
        <v>92</v>
      </c>
      <c r="D937" s="26" t="s">
        <v>1414</v>
      </c>
      <c r="E937" s="26">
        <v>-86805.002999999997</v>
      </c>
      <c r="F937" s="26">
        <v>3.8039999999999998</v>
      </c>
      <c r="G937" s="26">
        <f t="shared" si="14"/>
        <v>-86805.002999999997</v>
      </c>
    </row>
    <row r="938" spans="1:7" x14ac:dyDescent="0.2">
      <c r="A938" s="26">
        <v>49</v>
      </c>
      <c r="B938" s="26">
        <v>43</v>
      </c>
      <c r="C938" s="26">
        <v>92</v>
      </c>
      <c r="D938" s="26" t="s">
        <v>1415</v>
      </c>
      <c r="E938" s="26">
        <v>-78934.648000000001</v>
      </c>
      <c r="F938" s="26">
        <v>26.004000000000001</v>
      </c>
      <c r="G938" s="26">
        <f t="shared" si="14"/>
        <v>-78934.648000000001</v>
      </c>
    </row>
    <row r="939" spans="1:7" x14ac:dyDescent="0.2">
      <c r="A939" s="26">
        <v>48</v>
      </c>
      <c r="B939" s="26">
        <v>44</v>
      </c>
      <c r="C939" s="26">
        <v>92</v>
      </c>
      <c r="D939" s="26" t="s">
        <v>1416</v>
      </c>
      <c r="E939" s="26" t="s">
        <v>1599</v>
      </c>
      <c r="F939" s="26" t="s">
        <v>1730</v>
      </c>
      <c r="G939" s="26">
        <f t="shared" si="14"/>
        <v>-74408.009999999995</v>
      </c>
    </row>
    <row r="940" spans="1:7" x14ac:dyDescent="0.2">
      <c r="A940" s="26">
        <v>47</v>
      </c>
      <c r="B940" s="26">
        <v>45</v>
      </c>
      <c r="C940" s="26">
        <v>92</v>
      </c>
      <c r="D940" s="26" t="s">
        <v>1417</v>
      </c>
      <c r="E940" s="26" t="s">
        <v>1600</v>
      </c>
      <c r="F940" s="26" t="s">
        <v>1723</v>
      </c>
      <c r="G940" s="26">
        <f t="shared" si="14"/>
        <v>-63360.01</v>
      </c>
    </row>
    <row r="941" spans="1:7" x14ac:dyDescent="0.2">
      <c r="A941" s="26">
        <v>46</v>
      </c>
      <c r="B941" s="26">
        <v>46</v>
      </c>
      <c r="C941" s="26">
        <v>92</v>
      </c>
      <c r="D941" s="26" t="s">
        <v>1418</v>
      </c>
      <c r="E941" s="26" t="s">
        <v>1593</v>
      </c>
      <c r="F941" s="26" t="s">
        <v>1728</v>
      </c>
      <c r="G941" s="26">
        <f t="shared" si="14"/>
        <v>-55498.01</v>
      </c>
    </row>
    <row r="942" spans="1:7" x14ac:dyDescent="0.2">
      <c r="A942" s="26">
        <v>59</v>
      </c>
      <c r="B942" s="26">
        <v>34</v>
      </c>
      <c r="C942" s="26">
        <v>93</v>
      </c>
      <c r="D942" s="26" t="s">
        <v>1406</v>
      </c>
      <c r="E942" s="26" t="s">
        <v>1031</v>
      </c>
      <c r="F942" s="26" t="s">
        <v>1725</v>
      </c>
      <c r="G942" s="26">
        <f t="shared" si="14"/>
        <v>-40716.01</v>
      </c>
    </row>
    <row r="943" spans="1:7" x14ac:dyDescent="0.2">
      <c r="A943" s="26">
        <v>58</v>
      </c>
      <c r="B943" s="26">
        <v>35</v>
      </c>
      <c r="C943" s="26">
        <v>93</v>
      </c>
      <c r="D943" s="26" t="s">
        <v>1407</v>
      </c>
      <c r="E943" s="26" t="s">
        <v>1032</v>
      </c>
      <c r="F943" s="26" t="s">
        <v>1730</v>
      </c>
      <c r="G943" s="26">
        <f t="shared" si="14"/>
        <v>-53049.01</v>
      </c>
    </row>
    <row r="944" spans="1:7" x14ac:dyDescent="0.2">
      <c r="A944" s="26">
        <v>57</v>
      </c>
      <c r="B944" s="26">
        <v>36</v>
      </c>
      <c r="C944" s="26">
        <v>93</v>
      </c>
      <c r="D944" s="26" t="s">
        <v>1408</v>
      </c>
      <c r="E944" s="26">
        <v>-64017.525000000001</v>
      </c>
      <c r="F944" s="26">
        <v>100.28700000000001</v>
      </c>
      <c r="G944" s="26">
        <f t="shared" si="14"/>
        <v>-64017.525000000001</v>
      </c>
    </row>
    <row r="945" spans="1:7" x14ac:dyDescent="0.2">
      <c r="A945" s="26">
        <v>56</v>
      </c>
      <c r="B945" s="26">
        <v>37</v>
      </c>
      <c r="C945" s="26">
        <v>93</v>
      </c>
      <c r="D945" s="26" t="s">
        <v>1409</v>
      </c>
      <c r="E945" s="26">
        <v>-72617.524999999994</v>
      </c>
      <c r="F945" s="26">
        <v>7.5789999999999997</v>
      </c>
      <c r="G945" s="26">
        <f t="shared" si="14"/>
        <v>-72617.524999999994</v>
      </c>
    </row>
    <row r="946" spans="1:7" x14ac:dyDescent="0.2">
      <c r="A946" s="26">
        <v>55</v>
      </c>
      <c r="B946" s="26">
        <v>38</v>
      </c>
      <c r="C946" s="26">
        <v>93</v>
      </c>
      <c r="D946" s="26" t="s">
        <v>1410</v>
      </c>
      <c r="E946" s="26">
        <v>-80084.606</v>
      </c>
      <c r="F946" s="26">
        <v>7.5309999999999997</v>
      </c>
      <c r="G946" s="26">
        <f t="shared" si="14"/>
        <v>-80084.606</v>
      </c>
    </row>
    <row r="947" spans="1:7" x14ac:dyDescent="0.2">
      <c r="A947" s="26">
        <v>54</v>
      </c>
      <c r="B947" s="26">
        <v>39</v>
      </c>
      <c r="C947" s="26">
        <v>93</v>
      </c>
      <c r="D947" s="26" t="s">
        <v>1411</v>
      </c>
      <c r="E947" s="26">
        <v>-84223.16</v>
      </c>
      <c r="F947" s="26">
        <v>10.632</v>
      </c>
      <c r="G947" s="26">
        <f t="shared" si="14"/>
        <v>-84223.16</v>
      </c>
    </row>
    <row r="948" spans="1:7" x14ac:dyDescent="0.2">
      <c r="A948" s="26">
        <v>53</v>
      </c>
      <c r="B948" s="26">
        <v>40</v>
      </c>
      <c r="C948" s="26">
        <v>93</v>
      </c>
      <c r="D948" s="26" t="s">
        <v>1412</v>
      </c>
      <c r="E948" s="26">
        <v>-87117.04</v>
      </c>
      <c r="F948" s="26">
        <v>2.3410000000000002</v>
      </c>
      <c r="G948" s="26">
        <f t="shared" si="14"/>
        <v>-87117.04</v>
      </c>
    </row>
    <row r="949" spans="1:7" x14ac:dyDescent="0.2">
      <c r="A949" s="26">
        <v>52</v>
      </c>
      <c r="B949" s="26">
        <v>41</v>
      </c>
      <c r="C949" s="26">
        <v>93</v>
      </c>
      <c r="D949" s="26" t="s">
        <v>1413</v>
      </c>
      <c r="E949" s="26">
        <v>-87208.278000000006</v>
      </c>
      <c r="F949" s="26">
        <v>2.4289999999999998</v>
      </c>
      <c r="G949" s="26">
        <f t="shared" si="14"/>
        <v>-87208.278000000006</v>
      </c>
    </row>
    <row r="950" spans="1:7" x14ac:dyDescent="0.2">
      <c r="A950" s="26">
        <v>51</v>
      </c>
      <c r="B950" s="26">
        <v>42</v>
      </c>
      <c r="C950" s="26">
        <v>93</v>
      </c>
      <c r="D950" s="26" t="s">
        <v>1414</v>
      </c>
      <c r="E950" s="26">
        <v>-86803.494999999995</v>
      </c>
      <c r="F950" s="26">
        <v>3.8039999999999998</v>
      </c>
      <c r="G950" s="26">
        <f t="shared" si="14"/>
        <v>-86803.494999999995</v>
      </c>
    </row>
    <row r="951" spans="1:7" x14ac:dyDescent="0.2">
      <c r="A951" s="26">
        <v>50</v>
      </c>
      <c r="B951" s="26">
        <v>43</v>
      </c>
      <c r="C951" s="26">
        <v>93</v>
      </c>
      <c r="D951" s="26" t="s">
        <v>1415</v>
      </c>
      <c r="E951" s="26">
        <v>-83602.532999999996</v>
      </c>
      <c r="F951" s="26">
        <v>3.9329999999999998</v>
      </c>
      <c r="G951" s="26">
        <f t="shared" si="14"/>
        <v>-83602.532999999996</v>
      </c>
    </row>
    <row r="952" spans="1:7" x14ac:dyDescent="0.2">
      <c r="A952" s="26">
        <v>49</v>
      </c>
      <c r="B952" s="26">
        <v>44</v>
      </c>
      <c r="C952" s="26">
        <v>93</v>
      </c>
      <c r="D952" s="26" t="s">
        <v>1416</v>
      </c>
      <c r="E952" s="26">
        <v>-77265.532999999996</v>
      </c>
      <c r="F952" s="26">
        <v>85.090999999999994</v>
      </c>
      <c r="G952" s="26">
        <f t="shared" si="14"/>
        <v>-77265.532999999996</v>
      </c>
    </row>
    <row r="953" spans="1:7" x14ac:dyDescent="0.2">
      <c r="A953" s="26">
        <v>48</v>
      </c>
      <c r="B953" s="26">
        <v>45</v>
      </c>
      <c r="C953" s="26">
        <v>93</v>
      </c>
      <c r="D953" s="26" t="s">
        <v>1417</v>
      </c>
      <c r="E953" s="26" t="s">
        <v>1601</v>
      </c>
      <c r="F953" s="26" t="s">
        <v>1723</v>
      </c>
      <c r="G953" s="26">
        <f t="shared" si="14"/>
        <v>-69173.009999999995</v>
      </c>
    </row>
    <row r="954" spans="1:7" x14ac:dyDescent="0.2">
      <c r="A954" s="26">
        <v>47</v>
      </c>
      <c r="B954" s="26">
        <v>46</v>
      </c>
      <c r="C954" s="26">
        <v>93</v>
      </c>
      <c r="D954" s="26" t="s">
        <v>1418</v>
      </c>
      <c r="E954" s="26" t="s">
        <v>1602</v>
      </c>
      <c r="F954" s="26" t="s">
        <v>1723</v>
      </c>
      <c r="G954" s="26">
        <f t="shared" si="14"/>
        <v>-59699.01</v>
      </c>
    </row>
    <row r="955" spans="1:7" x14ac:dyDescent="0.2">
      <c r="A955" s="26">
        <v>46</v>
      </c>
      <c r="B955" s="26">
        <v>47</v>
      </c>
      <c r="C955" s="26">
        <v>93</v>
      </c>
      <c r="D955" s="26" t="s">
        <v>1419</v>
      </c>
      <c r="E955" s="26" t="s">
        <v>1033</v>
      </c>
      <c r="F955" s="26" t="s">
        <v>1505</v>
      </c>
      <c r="G955" s="26">
        <f t="shared" si="14"/>
        <v>-46780.01</v>
      </c>
    </row>
    <row r="956" spans="1:7" x14ac:dyDescent="0.2">
      <c r="A956" s="26">
        <v>60</v>
      </c>
      <c r="B956" s="26">
        <v>34</v>
      </c>
      <c r="C956" s="26">
        <v>94</v>
      </c>
      <c r="D956" s="26" t="s">
        <v>1406</v>
      </c>
      <c r="E956" s="26" t="s">
        <v>1034</v>
      </c>
      <c r="F956" s="26" t="s">
        <v>1725</v>
      </c>
      <c r="G956" s="26">
        <f t="shared" si="14"/>
        <v>-36803.01</v>
      </c>
    </row>
    <row r="957" spans="1:7" x14ac:dyDescent="0.2">
      <c r="A957" s="26">
        <v>59</v>
      </c>
      <c r="B957" s="26">
        <v>35</v>
      </c>
      <c r="C957" s="26">
        <v>94</v>
      </c>
      <c r="D957" s="26" t="s">
        <v>1407</v>
      </c>
      <c r="E957" s="26" t="s">
        <v>1603</v>
      </c>
      <c r="F957" s="26" t="s">
        <v>1723</v>
      </c>
      <c r="G957" s="26">
        <f t="shared" si="14"/>
        <v>-47804.01</v>
      </c>
    </row>
    <row r="958" spans="1:7" x14ac:dyDescent="0.2">
      <c r="A958" s="26">
        <v>58</v>
      </c>
      <c r="B958" s="26">
        <v>36</v>
      </c>
      <c r="C958" s="26">
        <v>94</v>
      </c>
      <c r="D958" s="26" t="s">
        <v>1408</v>
      </c>
      <c r="E958" s="26" t="s">
        <v>1035</v>
      </c>
      <c r="F958" s="26" t="s">
        <v>1258</v>
      </c>
      <c r="G958" s="26">
        <f t="shared" si="14"/>
        <v>-61143.01</v>
      </c>
    </row>
    <row r="959" spans="1:7" x14ac:dyDescent="0.2">
      <c r="A959" s="26">
        <v>57</v>
      </c>
      <c r="B959" s="26">
        <v>37</v>
      </c>
      <c r="C959" s="26">
        <v>94</v>
      </c>
      <c r="D959" s="26" t="s">
        <v>1409</v>
      </c>
      <c r="E959" s="26">
        <v>-68553.351999999999</v>
      </c>
      <c r="F959" s="26">
        <v>8.3569999999999993</v>
      </c>
      <c r="G959" s="26">
        <f t="shared" si="14"/>
        <v>-68553.351999999999</v>
      </c>
    </row>
    <row r="960" spans="1:7" x14ac:dyDescent="0.2">
      <c r="A960" s="26">
        <v>56</v>
      </c>
      <c r="B960" s="26">
        <v>38</v>
      </c>
      <c r="C960" s="26">
        <v>94</v>
      </c>
      <c r="D960" s="26" t="s">
        <v>1410</v>
      </c>
      <c r="E960" s="26">
        <v>-78840.429999999993</v>
      </c>
      <c r="F960" s="26">
        <v>7.1840000000000002</v>
      </c>
      <c r="G960" s="26">
        <f t="shared" si="14"/>
        <v>-78840.429999999993</v>
      </c>
    </row>
    <row r="961" spans="1:7" x14ac:dyDescent="0.2">
      <c r="A961" s="26">
        <v>55</v>
      </c>
      <c r="B961" s="26">
        <v>39</v>
      </c>
      <c r="C961" s="26">
        <v>94</v>
      </c>
      <c r="D961" s="26" t="s">
        <v>1411</v>
      </c>
      <c r="E961" s="26">
        <v>-82348.498999999996</v>
      </c>
      <c r="F961" s="26">
        <v>7.1660000000000004</v>
      </c>
      <c r="G961" s="26">
        <f t="shared" si="14"/>
        <v>-82348.498999999996</v>
      </c>
    </row>
    <row r="962" spans="1:7" x14ac:dyDescent="0.2">
      <c r="A962" s="26">
        <v>54</v>
      </c>
      <c r="B962" s="26">
        <v>40</v>
      </c>
      <c r="C962" s="26">
        <v>94</v>
      </c>
      <c r="D962" s="26" t="s">
        <v>1412</v>
      </c>
      <c r="E962" s="26">
        <v>-87266.837</v>
      </c>
      <c r="F962" s="26">
        <v>2.42</v>
      </c>
      <c r="G962" s="26">
        <f t="shared" si="14"/>
        <v>-87266.837</v>
      </c>
    </row>
    <row r="963" spans="1:7" x14ac:dyDescent="0.2">
      <c r="A963" s="26">
        <v>53</v>
      </c>
      <c r="B963" s="26">
        <v>41</v>
      </c>
      <c r="C963" s="26">
        <v>94</v>
      </c>
      <c r="D963" s="26" t="s">
        <v>1413</v>
      </c>
      <c r="E963" s="26">
        <v>-86364.501999999993</v>
      </c>
      <c r="F963" s="26">
        <v>2.4289999999999998</v>
      </c>
      <c r="G963" s="26">
        <f t="shared" si="14"/>
        <v>-86364.501999999993</v>
      </c>
    </row>
    <row r="964" spans="1:7" x14ac:dyDescent="0.2">
      <c r="A964" s="26">
        <v>52</v>
      </c>
      <c r="B964" s="26">
        <v>42</v>
      </c>
      <c r="C964" s="26">
        <v>94</v>
      </c>
      <c r="D964" s="26" t="s">
        <v>1414</v>
      </c>
      <c r="E964" s="26">
        <v>-88409.707999999999</v>
      </c>
      <c r="F964" s="26">
        <v>1.9179999999999999</v>
      </c>
      <c r="G964" s="26">
        <f t="shared" si="14"/>
        <v>-88409.707999999999</v>
      </c>
    </row>
    <row r="965" spans="1:7" x14ac:dyDescent="0.2">
      <c r="A965" s="26">
        <v>51</v>
      </c>
      <c r="B965" s="26">
        <v>43</v>
      </c>
      <c r="C965" s="26">
        <v>94</v>
      </c>
      <c r="D965" s="26" t="s">
        <v>1415</v>
      </c>
      <c r="E965" s="26">
        <v>-84153.960999999996</v>
      </c>
      <c r="F965" s="26">
        <v>4.4980000000000002</v>
      </c>
      <c r="G965" s="26">
        <f t="shared" si="14"/>
        <v>-84153.960999999996</v>
      </c>
    </row>
    <row r="966" spans="1:7" x14ac:dyDescent="0.2">
      <c r="A966" s="26">
        <v>50</v>
      </c>
      <c r="B966" s="26">
        <v>44</v>
      </c>
      <c r="C966" s="26">
        <v>94</v>
      </c>
      <c r="D966" s="26" t="s">
        <v>1416</v>
      </c>
      <c r="E966" s="26">
        <v>-82567.898000000001</v>
      </c>
      <c r="F966" s="26">
        <v>12.733000000000001</v>
      </c>
      <c r="G966" s="26">
        <f t="shared" si="14"/>
        <v>-82567.898000000001</v>
      </c>
    </row>
    <row r="967" spans="1:7" x14ac:dyDescent="0.2">
      <c r="A967" s="26">
        <v>49</v>
      </c>
      <c r="B967" s="26">
        <v>45</v>
      </c>
      <c r="C967" s="26">
        <v>94</v>
      </c>
      <c r="D967" s="26" t="s">
        <v>1417</v>
      </c>
      <c r="E967" s="26" t="s">
        <v>1604</v>
      </c>
      <c r="F967" s="26" t="s">
        <v>1605</v>
      </c>
      <c r="G967" s="26">
        <f t="shared" si="14"/>
        <v>-72938.009999999995</v>
      </c>
    </row>
    <row r="968" spans="1:7" x14ac:dyDescent="0.2">
      <c r="A968" s="26">
        <v>48</v>
      </c>
      <c r="B968" s="26">
        <v>46</v>
      </c>
      <c r="C968" s="26">
        <v>94</v>
      </c>
      <c r="D968" s="26" t="s">
        <v>1418</v>
      </c>
      <c r="E968" s="26" t="s">
        <v>1606</v>
      </c>
      <c r="F968" s="26" t="s">
        <v>1723</v>
      </c>
      <c r="G968" s="26">
        <f t="shared" si="14"/>
        <v>-66350.009999999995</v>
      </c>
    </row>
    <row r="969" spans="1:7" x14ac:dyDescent="0.2">
      <c r="A969" s="26">
        <v>47</v>
      </c>
      <c r="B969" s="26">
        <v>47</v>
      </c>
      <c r="C969" s="26">
        <v>94</v>
      </c>
      <c r="D969" s="26" t="s">
        <v>1419</v>
      </c>
      <c r="E969" s="26" t="s">
        <v>1607</v>
      </c>
      <c r="F969" s="26" t="s">
        <v>1728</v>
      </c>
      <c r="G969" s="26">
        <f t="shared" si="14"/>
        <v>-53300.01</v>
      </c>
    </row>
    <row r="970" spans="1:7" x14ac:dyDescent="0.2">
      <c r="A970" s="26">
        <v>60</v>
      </c>
      <c r="B970" s="26">
        <v>35</v>
      </c>
      <c r="C970" s="26">
        <v>95</v>
      </c>
      <c r="D970" s="26" t="s">
        <v>1407</v>
      </c>
      <c r="E970" s="26" t="s">
        <v>1651</v>
      </c>
      <c r="F970" s="26" t="s">
        <v>1728</v>
      </c>
      <c r="G970" s="26">
        <f t="shared" ref="G970:G1033" si="15">IF(ISNUMBER(E970),E970,VALUE(SUBSTITUTE(E970,"#",".01")))</f>
        <v>-43901.01</v>
      </c>
    </row>
    <row r="971" spans="1:7" x14ac:dyDescent="0.2">
      <c r="A971" s="26">
        <v>59</v>
      </c>
      <c r="B971" s="26">
        <v>36</v>
      </c>
      <c r="C971" s="26">
        <v>95</v>
      </c>
      <c r="D971" s="26" t="s">
        <v>1408</v>
      </c>
      <c r="E971" s="26" t="s">
        <v>1608</v>
      </c>
      <c r="F971" s="26" t="s">
        <v>1723</v>
      </c>
      <c r="G971" s="26">
        <f t="shared" si="15"/>
        <v>-56039.01</v>
      </c>
    </row>
    <row r="972" spans="1:7" x14ac:dyDescent="0.2">
      <c r="A972" s="26">
        <v>58</v>
      </c>
      <c r="B972" s="26">
        <v>37</v>
      </c>
      <c r="C972" s="26">
        <v>95</v>
      </c>
      <c r="D972" s="26" t="s">
        <v>1409</v>
      </c>
      <c r="E972" s="26">
        <v>-65853.934999999998</v>
      </c>
      <c r="F972" s="26">
        <v>21.111999999999998</v>
      </c>
      <c r="G972" s="26">
        <f t="shared" si="15"/>
        <v>-65853.934999999998</v>
      </c>
    </row>
    <row r="973" spans="1:7" x14ac:dyDescent="0.2">
      <c r="A973" s="26">
        <v>57</v>
      </c>
      <c r="B973" s="26">
        <v>38</v>
      </c>
      <c r="C973" s="26">
        <v>95</v>
      </c>
      <c r="D973" s="26" t="s">
        <v>1410</v>
      </c>
      <c r="E973" s="26">
        <v>-75116.826000000001</v>
      </c>
      <c r="F973" s="26">
        <v>7.4809999999999999</v>
      </c>
      <c r="G973" s="26">
        <f t="shared" si="15"/>
        <v>-75116.826000000001</v>
      </c>
    </row>
    <row r="974" spans="1:7" x14ac:dyDescent="0.2">
      <c r="A974" s="26">
        <v>56</v>
      </c>
      <c r="B974" s="26">
        <v>39</v>
      </c>
      <c r="C974" s="26">
        <v>95</v>
      </c>
      <c r="D974" s="26" t="s">
        <v>1411</v>
      </c>
      <c r="E974" s="26">
        <v>-81207.067999999999</v>
      </c>
      <c r="F974" s="26">
        <v>7.2220000000000004</v>
      </c>
      <c r="G974" s="26">
        <f t="shared" si="15"/>
        <v>-81207.067999999999</v>
      </c>
    </row>
    <row r="975" spans="1:7" x14ac:dyDescent="0.2">
      <c r="A975" s="26">
        <v>55</v>
      </c>
      <c r="B975" s="26">
        <v>40</v>
      </c>
      <c r="C975" s="26">
        <v>95</v>
      </c>
      <c r="D975" s="26" t="s">
        <v>1412</v>
      </c>
      <c r="E975" s="26">
        <v>-85657.766000000003</v>
      </c>
      <c r="F975" s="26">
        <v>2.399</v>
      </c>
      <c r="G975" s="26">
        <f t="shared" si="15"/>
        <v>-85657.766000000003</v>
      </c>
    </row>
    <row r="976" spans="1:7" x14ac:dyDescent="0.2">
      <c r="A976" s="26">
        <v>54</v>
      </c>
      <c r="B976" s="26">
        <v>41</v>
      </c>
      <c r="C976" s="26">
        <v>95</v>
      </c>
      <c r="D976" s="26" t="s">
        <v>1413</v>
      </c>
      <c r="E976" s="26">
        <v>-86781.900999999998</v>
      </c>
      <c r="F976" s="26">
        <v>1.968</v>
      </c>
      <c r="G976" s="26">
        <f t="shared" si="15"/>
        <v>-86781.900999999998</v>
      </c>
    </row>
    <row r="977" spans="1:7" x14ac:dyDescent="0.2">
      <c r="A977" s="26">
        <v>53</v>
      </c>
      <c r="B977" s="26">
        <v>42</v>
      </c>
      <c r="C977" s="26">
        <v>95</v>
      </c>
      <c r="D977" s="26" t="s">
        <v>1414</v>
      </c>
      <c r="E977" s="26">
        <v>-87707.491999999998</v>
      </c>
      <c r="F977" s="26">
        <v>1.9159999999999999</v>
      </c>
      <c r="G977" s="26">
        <f t="shared" si="15"/>
        <v>-87707.491999999998</v>
      </c>
    </row>
    <row r="978" spans="1:7" x14ac:dyDescent="0.2">
      <c r="A978" s="26">
        <v>52</v>
      </c>
      <c r="B978" s="26">
        <v>43</v>
      </c>
      <c r="C978" s="26">
        <v>95</v>
      </c>
      <c r="D978" s="26" t="s">
        <v>1415</v>
      </c>
      <c r="E978" s="26">
        <v>-86016.873000000007</v>
      </c>
      <c r="F978" s="26">
        <v>5.4169999999999998</v>
      </c>
      <c r="G978" s="26">
        <f t="shared" si="15"/>
        <v>-86016.873000000007</v>
      </c>
    </row>
    <row r="979" spans="1:7" x14ac:dyDescent="0.2">
      <c r="A979" s="26">
        <v>51</v>
      </c>
      <c r="B979" s="26">
        <v>44</v>
      </c>
      <c r="C979" s="26">
        <v>95</v>
      </c>
      <c r="D979" s="26" t="s">
        <v>1416</v>
      </c>
      <c r="E979" s="26">
        <v>-83449.819000000003</v>
      </c>
      <c r="F979" s="26">
        <v>11.874000000000001</v>
      </c>
      <c r="G979" s="26">
        <f t="shared" si="15"/>
        <v>-83449.819000000003</v>
      </c>
    </row>
    <row r="980" spans="1:7" x14ac:dyDescent="0.2">
      <c r="A980" s="26">
        <v>50</v>
      </c>
      <c r="B980" s="26">
        <v>45</v>
      </c>
      <c r="C980" s="26">
        <v>95</v>
      </c>
      <c r="D980" s="26" t="s">
        <v>1417</v>
      </c>
      <c r="E980" s="26">
        <v>-78339.819000000003</v>
      </c>
      <c r="F980" s="26">
        <v>150.46899999999999</v>
      </c>
      <c r="G980" s="26">
        <f t="shared" si="15"/>
        <v>-78339.819000000003</v>
      </c>
    </row>
    <row r="981" spans="1:7" x14ac:dyDescent="0.2">
      <c r="A981" s="26">
        <v>49</v>
      </c>
      <c r="B981" s="26">
        <v>46</v>
      </c>
      <c r="C981" s="26">
        <v>95</v>
      </c>
      <c r="D981" s="26" t="s">
        <v>1418</v>
      </c>
      <c r="E981" s="26" t="s">
        <v>1609</v>
      </c>
      <c r="F981" s="26" t="s">
        <v>1723</v>
      </c>
      <c r="G981" s="26">
        <f t="shared" si="15"/>
        <v>-70151.009999999995</v>
      </c>
    </row>
    <row r="982" spans="1:7" x14ac:dyDescent="0.2">
      <c r="A982" s="26">
        <v>48</v>
      </c>
      <c r="B982" s="26">
        <v>47</v>
      </c>
      <c r="C982" s="26">
        <v>95</v>
      </c>
      <c r="D982" s="26" t="s">
        <v>1419</v>
      </c>
      <c r="E982" s="26" t="s">
        <v>1610</v>
      </c>
      <c r="F982" s="26" t="s">
        <v>1723</v>
      </c>
      <c r="G982" s="26">
        <f t="shared" si="15"/>
        <v>-60100.01</v>
      </c>
    </row>
    <row r="983" spans="1:7" x14ac:dyDescent="0.2">
      <c r="A983" s="26">
        <v>47</v>
      </c>
      <c r="B983" s="26">
        <v>48</v>
      </c>
      <c r="C983" s="26">
        <v>95</v>
      </c>
      <c r="D983" s="26" t="s">
        <v>1420</v>
      </c>
      <c r="E983" s="26" t="s">
        <v>1307</v>
      </c>
      <c r="F983" s="26" t="s">
        <v>1505</v>
      </c>
      <c r="G983" s="26">
        <f t="shared" si="15"/>
        <v>-46696.01</v>
      </c>
    </row>
    <row r="984" spans="1:7" x14ac:dyDescent="0.2">
      <c r="A984" s="26">
        <v>61</v>
      </c>
      <c r="B984" s="26">
        <v>35</v>
      </c>
      <c r="C984" s="26">
        <v>96</v>
      </c>
      <c r="D984" s="26" t="s">
        <v>1407</v>
      </c>
      <c r="E984" s="26" t="s">
        <v>1036</v>
      </c>
      <c r="F984" s="26" t="s">
        <v>1508</v>
      </c>
      <c r="G984" s="26">
        <f t="shared" si="15"/>
        <v>-38629.01</v>
      </c>
    </row>
    <row r="985" spans="1:7" x14ac:dyDescent="0.2">
      <c r="A985" s="26">
        <v>60</v>
      </c>
      <c r="B985" s="26">
        <v>36</v>
      </c>
      <c r="C985" s="26">
        <v>96</v>
      </c>
      <c r="D985" s="26" t="s">
        <v>1408</v>
      </c>
      <c r="E985" s="26" t="s">
        <v>1611</v>
      </c>
      <c r="F985" s="26" t="s">
        <v>1728</v>
      </c>
      <c r="G985" s="26">
        <f t="shared" si="15"/>
        <v>-53030.01</v>
      </c>
    </row>
    <row r="986" spans="1:7" x14ac:dyDescent="0.2">
      <c r="A986" s="26">
        <v>59</v>
      </c>
      <c r="B986" s="26">
        <v>37</v>
      </c>
      <c r="C986" s="26">
        <v>96</v>
      </c>
      <c r="D986" s="26" t="s">
        <v>1409</v>
      </c>
      <c r="E986" s="26">
        <v>-61224.644</v>
      </c>
      <c r="F986" s="26">
        <v>29.434000000000001</v>
      </c>
      <c r="G986" s="26">
        <f t="shared" si="15"/>
        <v>-61224.644</v>
      </c>
    </row>
    <row r="987" spans="1:7" x14ac:dyDescent="0.2">
      <c r="A987" s="26">
        <v>58</v>
      </c>
      <c r="B987" s="26">
        <v>38</v>
      </c>
      <c r="C987" s="26">
        <v>96</v>
      </c>
      <c r="D987" s="26" t="s">
        <v>1410</v>
      </c>
      <c r="E987" s="26">
        <v>-72938.959000000003</v>
      </c>
      <c r="F987" s="26">
        <v>27.38</v>
      </c>
      <c r="G987" s="26">
        <f t="shared" si="15"/>
        <v>-72938.959000000003</v>
      </c>
    </row>
    <row r="988" spans="1:7" x14ac:dyDescent="0.2">
      <c r="A988" s="26">
        <v>57</v>
      </c>
      <c r="B988" s="26">
        <v>39</v>
      </c>
      <c r="C988" s="26">
        <v>96</v>
      </c>
      <c r="D988" s="26" t="s">
        <v>1411</v>
      </c>
      <c r="E988" s="26">
        <v>-78346.709000000003</v>
      </c>
      <c r="F988" s="26">
        <v>23.442</v>
      </c>
      <c r="G988" s="26">
        <f t="shared" si="15"/>
        <v>-78346.709000000003</v>
      </c>
    </row>
    <row r="989" spans="1:7" x14ac:dyDescent="0.2">
      <c r="A989" s="26">
        <v>56</v>
      </c>
      <c r="B989" s="26">
        <v>40</v>
      </c>
      <c r="C989" s="26">
        <v>96</v>
      </c>
      <c r="D989" s="26" t="s">
        <v>1412</v>
      </c>
      <c r="E989" s="26">
        <v>-85442.790999999997</v>
      </c>
      <c r="F989" s="26">
        <v>2.7879999999999998</v>
      </c>
      <c r="G989" s="26">
        <f t="shared" si="15"/>
        <v>-85442.790999999997</v>
      </c>
    </row>
    <row r="990" spans="1:7" x14ac:dyDescent="0.2">
      <c r="A990" s="26">
        <v>55</v>
      </c>
      <c r="B990" s="26">
        <v>41</v>
      </c>
      <c r="C990" s="26">
        <v>96</v>
      </c>
      <c r="D990" s="26" t="s">
        <v>1413</v>
      </c>
      <c r="E990" s="26">
        <v>-85603.695999999996</v>
      </c>
      <c r="F990" s="26">
        <v>3.73</v>
      </c>
      <c r="G990" s="26">
        <f t="shared" si="15"/>
        <v>-85603.695999999996</v>
      </c>
    </row>
    <row r="991" spans="1:7" x14ac:dyDescent="0.2">
      <c r="A991" s="26">
        <v>54</v>
      </c>
      <c r="B991" s="26">
        <v>42</v>
      </c>
      <c r="C991" s="26">
        <v>96</v>
      </c>
      <c r="D991" s="26" t="s">
        <v>1414</v>
      </c>
      <c r="E991" s="26">
        <v>-88790.495999999999</v>
      </c>
      <c r="F991" s="26">
        <v>1.9159999999999999</v>
      </c>
      <c r="G991" s="26">
        <f t="shared" si="15"/>
        <v>-88790.495999999999</v>
      </c>
    </row>
    <row r="992" spans="1:7" x14ac:dyDescent="0.2">
      <c r="A992" s="26">
        <v>53</v>
      </c>
      <c r="B992" s="26">
        <v>43</v>
      </c>
      <c r="C992" s="26">
        <v>96</v>
      </c>
      <c r="D992" s="26" t="s">
        <v>1415</v>
      </c>
      <c r="E992" s="26">
        <v>-85817.254000000001</v>
      </c>
      <c r="F992" s="26">
        <v>5.49</v>
      </c>
      <c r="G992" s="26">
        <f t="shared" si="15"/>
        <v>-85817.254000000001</v>
      </c>
    </row>
    <row r="993" spans="1:7" x14ac:dyDescent="0.2">
      <c r="A993" s="26">
        <v>52</v>
      </c>
      <c r="B993" s="26">
        <v>44</v>
      </c>
      <c r="C993" s="26">
        <v>96</v>
      </c>
      <c r="D993" s="26" t="s">
        <v>1416</v>
      </c>
      <c r="E993" s="26">
        <v>-86072.062000000005</v>
      </c>
      <c r="F993" s="26">
        <v>7.8819999999999997</v>
      </c>
      <c r="G993" s="26">
        <f t="shared" si="15"/>
        <v>-86072.062000000005</v>
      </c>
    </row>
    <row r="994" spans="1:7" x14ac:dyDescent="0.2">
      <c r="A994" s="26">
        <v>51</v>
      </c>
      <c r="B994" s="26">
        <v>45</v>
      </c>
      <c r="C994" s="26">
        <v>96</v>
      </c>
      <c r="D994" s="26" t="s">
        <v>1417</v>
      </c>
      <c r="E994" s="26">
        <v>-79679.409</v>
      </c>
      <c r="F994" s="26">
        <v>12.733000000000001</v>
      </c>
      <c r="G994" s="26">
        <f t="shared" si="15"/>
        <v>-79679.409</v>
      </c>
    </row>
    <row r="995" spans="1:7" x14ac:dyDescent="0.2">
      <c r="A995" s="26">
        <v>50</v>
      </c>
      <c r="B995" s="26">
        <v>46</v>
      </c>
      <c r="C995" s="26">
        <v>96</v>
      </c>
      <c r="D995" s="26" t="s">
        <v>1418</v>
      </c>
      <c r="E995" s="26">
        <v>-76229.409</v>
      </c>
      <c r="F995" s="26">
        <v>150.53899999999999</v>
      </c>
      <c r="G995" s="26">
        <f t="shared" si="15"/>
        <v>-76229.409</v>
      </c>
    </row>
    <row r="996" spans="1:7" x14ac:dyDescent="0.2">
      <c r="A996" s="26">
        <v>49</v>
      </c>
      <c r="B996" s="26">
        <v>47</v>
      </c>
      <c r="C996" s="26">
        <v>96</v>
      </c>
      <c r="D996" s="26" t="s">
        <v>1419</v>
      </c>
      <c r="E996" s="26" t="s">
        <v>1612</v>
      </c>
      <c r="F996" s="26" t="s">
        <v>1723</v>
      </c>
      <c r="G996" s="26">
        <f t="shared" si="15"/>
        <v>-64571.01</v>
      </c>
    </row>
    <row r="997" spans="1:7" x14ac:dyDescent="0.2">
      <c r="A997" s="26">
        <v>48</v>
      </c>
      <c r="B997" s="26">
        <v>48</v>
      </c>
      <c r="C997" s="26">
        <v>96</v>
      </c>
      <c r="D997" s="26" t="s">
        <v>1420</v>
      </c>
      <c r="E997" s="26" t="s">
        <v>1613</v>
      </c>
      <c r="F997" s="26" t="s">
        <v>1728</v>
      </c>
      <c r="G997" s="26">
        <f t="shared" si="15"/>
        <v>-56104.01</v>
      </c>
    </row>
    <row r="998" spans="1:7" x14ac:dyDescent="0.2">
      <c r="A998" s="26">
        <v>62</v>
      </c>
      <c r="B998" s="26">
        <v>35</v>
      </c>
      <c r="C998" s="26">
        <v>97</v>
      </c>
      <c r="D998" s="26" t="s">
        <v>1407</v>
      </c>
      <c r="E998" s="26" t="s">
        <v>1037</v>
      </c>
      <c r="F998" s="26" t="s">
        <v>1725</v>
      </c>
      <c r="G998" s="26">
        <f t="shared" si="15"/>
        <v>-34652.01</v>
      </c>
    </row>
    <row r="999" spans="1:7" x14ac:dyDescent="0.2">
      <c r="A999" s="26">
        <v>61</v>
      </c>
      <c r="B999" s="26">
        <v>36</v>
      </c>
      <c r="C999" s="26">
        <v>97</v>
      </c>
      <c r="D999" s="26" t="s">
        <v>1408</v>
      </c>
      <c r="E999" s="26" t="s">
        <v>1614</v>
      </c>
      <c r="F999" s="26" t="s">
        <v>1728</v>
      </c>
      <c r="G999" s="26">
        <f t="shared" si="15"/>
        <v>-47916.01</v>
      </c>
    </row>
    <row r="1000" spans="1:7" x14ac:dyDescent="0.2">
      <c r="A1000" s="26">
        <v>60</v>
      </c>
      <c r="B1000" s="26">
        <v>37</v>
      </c>
      <c r="C1000" s="26">
        <v>97</v>
      </c>
      <c r="D1000" s="26" t="s">
        <v>1409</v>
      </c>
      <c r="E1000" s="26">
        <v>-58356.313999999998</v>
      </c>
      <c r="F1000" s="26">
        <v>30.512</v>
      </c>
      <c r="G1000" s="26">
        <f t="shared" si="15"/>
        <v>-58356.313999999998</v>
      </c>
    </row>
    <row r="1001" spans="1:7" x14ac:dyDescent="0.2">
      <c r="A1001" s="26">
        <v>59</v>
      </c>
      <c r="B1001" s="26">
        <v>38</v>
      </c>
      <c r="C1001" s="26">
        <v>97</v>
      </c>
      <c r="D1001" s="26" t="s">
        <v>1410</v>
      </c>
      <c r="E1001" s="26">
        <v>-68788.108999999997</v>
      </c>
      <c r="F1001" s="26">
        <v>19.190000000000001</v>
      </c>
      <c r="G1001" s="26">
        <f t="shared" si="15"/>
        <v>-68788.108999999997</v>
      </c>
    </row>
    <row r="1002" spans="1:7" x14ac:dyDescent="0.2">
      <c r="A1002" s="26">
        <v>58</v>
      </c>
      <c r="B1002" s="26">
        <v>39</v>
      </c>
      <c r="C1002" s="26">
        <v>97</v>
      </c>
      <c r="D1002" s="26" t="s">
        <v>1411</v>
      </c>
      <c r="E1002" s="26">
        <v>-76257.692999999999</v>
      </c>
      <c r="F1002" s="26">
        <v>11.667</v>
      </c>
      <c r="G1002" s="26">
        <f t="shared" si="15"/>
        <v>-76257.692999999999</v>
      </c>
    </row>
    <row r="1003" spans="1:7" x14ac:dyDescent="0.2">
      <c r="A1003" s="26">
        <v>57</v>
      </c>
      <c r="B1003" s="26">
        <v>40</v>
      </c>
      <c r="C1003" s="26">
        <v>97</v>
      </c>
      <c r="D1003" s="26" t="s">
        <v>1412</v>
      </c>
      <c r="E1003" s="26">
        <v>-82946.645000000004</v>
      </c>
      <c r="F1003" s="26">
        <v>2.7850000000000001</v>
      </c>
      <c r="G1003" s="26">
        <f t="shared" si="15"/>
        <v>-82946.645000000004</v>
      </c>
    </row>
    <row r="1004" spans="1:7" x14ac:dyDescent="0.2">
      <c r="A1004" s="26">
        <v>56</v>
      </c>
      <c r="B1004" s="26">
        <v>41</v>
      </c>
      <c r="C1004" s="26">
        <v>97</v>
      </c>
      <c r="D1004" s="26" t="s">
        <v>1413</v>
      </c>
      <c r="E1004" s="26">
        <v>-85605.644</v>
      </c>
      <c r="F1004" s="26">
        <v>2.552</v>
      </c>
      <c r="G1004" s="26">
        <f t="shared" si="15"/>
        <v>-85605.644</v>
      </c>
    </row>
    <row r="1005" spans="1:7" x14ac:dyDescent="0.2">
      <c r="A1005" s="26">
        <v>55</v>
      </c>
      <c r="B1005" s="26">
        <v>42</v>
      </c>
      <c r="C1005" s="26">
        <v>97</v>
      </c>
      <c r="D1005" s="26" t="s">
        <v>1414</v>
      </c>
      <c r="E1005" s="26">
        <v>-87540.441999999995</v>
      </c>
      <c r="F1005" s="26">
        <v>1.913</v>
      </c>
      <c r="G1005" s="26">
        <f t="shared" si="15"/>
        <v>-87540.441999999995</v>
      </c>
    </row>
    <row r="1006" spans="1:7" x14ac:dyDescent="0.2">
      <c r="A1006" s="26">
        <v>54</v>
      </c>
      <c r="B1006" s="26">
        <v>43</v>
      </c>
      <c r="C1006" s="26">
        <v>97</v>
      </c>
      <c r="D1006" s="26" t="s">
        <v>1415</v>
      </c>
      <c r="E1006" s="26">
        <v>-87220.107999999993</v>
      </c>
      <c r="F1006" s="26">
        <v>4.5380000000000003</v>
      </c>
      <c r="G1006" s="26">
        <f t="shared" si="15"/>
        <v>-87220.107999999993</v>
      </c>
    </row>
    <row r="1007" spans="1:7" x14ac:dyDescent="0.2">
      <c r="A1007" s="26">
        <v>53</v>
      </c>
      <c r="B1007" s="26">
        <v>44</v>
      </c>
      <c r="C1007" s="26">
        <v>97</v>
      </c>
      <c r="D1007" s="26" t="s">
        <v>1416</v>
      </c>
      <c r="E1007" s="26">
        <v>-86112.241999999998</v>
      </c>
      <c r="F1007" s="26">
        <v>8.35</v>
      </c>
      <c r="G1007" s="26">
        <f t="shared" si="15"/>
        <v>-86112.241999999998</v>
      </c>
    </row>
    <row r="1008" spans="1:7" x14ac:dyDescent="0.2">
      <c r="A1008" s="26">
        <v>52</v>
      </c>
      <c r="B1008" s="26">
        <v>45</v>
      </c>
      <c r="C1008" s="26">
        <v>97</v>
      </c>
      <c r="D1008" s="26" t="s">
        <v>1417</v>
      </c>
      <c r="E1008" s="26">
        <v>-82589.241999999998</v>
      </c>
      <c r="F1008" s="26">
        <v>36.328000000000003</v>
      </c>
      <c r="G1008" s="26">
        <f t="shared" si="15"/>
        <v>-82589.241999999998</v>
      </c>
    </row>
    <row r="1009" spans="1:7" x14ac:dyDescent="0.2">
      <c r="A1009" s="26">
        <v>51</v>
      </c>
      <c r="B1009" s="26">
        <v>46</v>
      </c>
      <c r="C1009" s="26">
        <v>97</v>
      </c>
      <c r="D1009" s="26" t="s">
        <v>1418</v>
      </c>
      <c r="E1009" s="26">
        <v>-77799.241999999998</v>
      </c>
      <c r="F1009" s="26">
        <v>302.19200000000001</v>
      </c>
      <c r="G1009" s="26">
        <f t="shared" si="15"/>
        <v>-77799.241999999998</v>
      </c>
    </row>
    <row r="1010" spans="1:7" x14ac:dyDescent="0.2">
      <c r="A1010" s="26">
        <v>50</v>
      </c>
      <c r="B1010" s="26">
        <v>47</v>
      </c>
      <c r="C1010" s="26">
        <v>97</v>
      </c>
      <c r="D1010" s="26" t="s">
        <v>1419</v>
      </c>
      <c r="E1010" s="26">
        <v>-70819.241999999998</v>
      </c>
      <c r="F1010" s="26">
        <v>321.589</v>
      </c>
      <c r="G1010" s="26">
        <f t="shared" si="15"/>
        <v>-70819.241999999998</v>
      </c>
    </row>
    <row r="1011" spans="1:7" x14ac:dyDescent="0.2">
      <c r="A1011" s="26">
        <v>49</v>
      </c>
      <c r="B1011" s="26">
        <v>48</v>
      </c>
      <c r="C1011" s="26">
        <v>97</v>
      </c>
      <c r="D1011" s="26" t="s">
        <v>1420</v>
      </c>
      <c r="E1011" s="26" t="s">
        <v>1615</v>
      </c>
      <c r="F1011" s="26" t="s">
        <v>1723</v>
      </c>
      <c r="G1011" s="26">
        <f t="shared" si="15"/>
        <v>-60603.01</v>
      </c>
    </row>
    <row r="1012" spans="1:7" x14ac:dyDescent="0.2">
      <c r="A1012" s="26">
        <v>48</v>
      </c>
      <c r="B1012" s="26">
        <v>49</v>
      </c>
      <c r="C1012" s="26">
        <v>97</v>
      </c>
      <c r="D1012" s="26" t="s">
        <v>1421</v>
      </c>
      <c r="E1012" s="26" t="s">
        <v>1038</v>
      </c>
      <c r="F1012" s="26" t="s">
        <v>1505</v>
      </c>
      <c r="G1012" s="26">
        <f t="shared" si="15"/>
        <v>-47003.01</v>
      </c>
    </row>
    <row r="1013" spans="1:7" x14ac:dyDescent="0.2">
      <c r="A1013" s="26">
        <v>62</v>
      </c>
      <c r="B1013" s="26">
        <v>36</v>
      </c>
      <c r="C1013" s="26">
        <v>98</v>
      </c>
      <c r="D1013" s="26" t="s">
        <v>1408</v>
      </c>
      <c r="E1013" s="26" t="s">
        <v>1039</v>
      </c>
      <c r="F1013" s="26" t="s">
        <v>1505</v>
      </c>
      <c r="G1013" s="26">
        <f t="shared" si="15"/>
        <v>-44796.01</v>
      </c>
    </row>
    <row r="1014" spans="1:7" x14ac:dyDescent="0.2">
      <c r="A1014" s="26">
        <v>61</v>
      </c>
      <c r="B1014" s="26">
        <v>37</v>
      </c>
      <c r="C1014" s="26">
        <v>98</v>
      </c>
      <c r="D1014" s="26" t="s">
        <v>1409</v>
      </c>
      <c r="E1014" s="26">
        <v>-54221.644</v>
      </c>
      <c r="F1014" s="26">
        <v>50.247</v>
      </c>
      <c r="G1014" s="26">
        <f t="shared" si="15"/>
        <v>-54221.644</v>
      </c>
    </row>
    <row r="1015" spans="1:7" x14ac:dyDescent="0.2">
      <c r="A1015" s="26">
        <v>60</v>
      </c>
      <c r="B1015" s="26">
        <v>38</v>
      </c>
      <c r="C1015" s="26">
        <v>98</v>
      </c>
      <c r="D1015" s="26" t="s">
        <v>1410</v>
      </c>
      <c r="E1015" s="26">
        <v>-66645.661999999997</v>
      </c>
      <c r="F1015" s="26">
        <v>26.349</v>
      </c>
      <c r="G1015" s="26">
        <f t="shared" si="15"/>
        <v>-66645.661999999997</v>
      </c>
    </row>
    <row r="1016" spans="1:7" x14ac:dyDescent="0.2">
      <c r="A1016" s="26">
        <v>59</v>
      </c>
      <c r="B1016" s="26">
        <v>39</v>
      </c>
      <c r="C1016" s="26">
        <v>98</v>
      </c>
      <c r="D1016" s="26" t="s">
        <v>1411</v>
      </c>
      <c r="E1016" s="26">
        <v>-72467.42</v>
      </c>
      <c r="F1016" s="26">
        <v>24.548999999999999</v>
      </c>
      <c r="G1016" s="26">
        <f t="shared" si="15"/>
        <v>-72467.42</v>
      </c>
    </row>
    <row r="1017" spans="1:7" x14ac:dyDescent="0.2">
      <c r="A1017" s="26">
        <v>58</v>
      </c>
      <c r="B1017" s="26">
        <v>40</v>
      </c>
      <c r="C1017" s="26">
        <v>98</v>
      </c>
      <c r="D1017" s="26" t="s">
        <v>1412</v>
      </c>
      <c r="E1017" s="26">
        <v>-81286.925000000003</v>
      </c>
      <c r="F1017" s="26">
        <v>19.946000000000002</v>
      </c>
      <c r="G1017" s="26">
        <f t="shared" si="15"/>
        <v>-81286.925000000003</v>
      </c>
    </row>
    <row r="1018" spans="1:7" x14ac:dyDescent="0.2">
      <c r="A1018" s="26">
        <v>57</v>
      </c>
      <c r="B1018" s="26">
        <v>41</v>
      </c>
      <c r="C1018" s="26">
        <v>98</v>
      </c>
      <c r="D1018" s="26" t="s">
        <v>1413</v>
      </c>
      <c r="E1018" s="26">
        <v>-83528.547000000006</v>
      </c>
      <c r="F1018" s="26">
        <v>5.7249999999999996</v>
      </c>
      <c r="G1018" s="26">
        <f t="shared" si="15"/>
        <v>-83528.547000000006</v>
      </c>
    </row>
    <row r="1019" spans="1:7" x14ac:dyDescent="0.2">
      <c r="A1019" s="26">
        <v>56</v>
      </c>
      <c r="B1019" s="26">
        <v>42</v>
      </c>
      <c r="C1019" s="26">
        <v>98</v>
      </c>
      <c r="D1019" s="26" t="s">
        <v>1414</v>
      </c>
      <c r="E1019" s="26">
        <v>-88111.722999999998</v>
      </c>
      <c r="F1019" s="26">
        <v>1.913</v>
      </c>
      <c r="G1019" s="26">
        <f t="shared" si="15"/>
        <v>-88111.722999999998</v>
      </c>
    </row>
    <row r="1020" spans="1:7" x14ac:dyDescent="0.2">
      <c r="A1020" s="26">
        <v>55</v>
      </c>
      <c r="B1020" s="26">
        <v>43</v>
      </c>
      <c r="C1020" s="26">
        <v>98</v>
      </c>
      <c r="D1020" s="26" t="s">
        <v>1415</v>
      </c>
      <c r="E1020" s="26">
        <v>-86427.770999999993</v>
      </c>
      <c r="F1020" s="26">
        <v>3.8170000000000002</v>
      </c>
      <c r="G1020" s="26">
        <f t="shared" si="15"/>
        <v>-86427.770999999993</v>
      </c>
    </row>
    <row r="1021" spans="1:7" x14ac:dyDescent="0.2">
      <c r="A1021" s="26">
        <v>54</v>
      </c>
      <c r="B1021" s="26">
        <v>44</v>
      </c>
      <c r="C1021" s="26">
        <v>98</v>
      </c>
      <c r="D1021" s="26" t="s">
        <v>1416</v>
      </c>
      <c r="E1021" s="26">
        <v>-88224.468999999997</v>
      </c>
      <c r="F1021" s="26">
        <v>6.2709999999999999</v>
      </c>
      <c r="G1021" s="26">
        <f t="shared" si="15"/>
        <v>-88224.468999999997</v>
      </c>
    </row>
    <row r="1022" spans="1:7" x14ac:dyDescent="0.2">
      <c r="A1022" s="26">
        <v>53</v>
      </c>
      <c r="B1022" s="26">
        <v>45</v>
      </c>
      <c r="C1022" s="26">
        <v>98</v>
      </c>
      <c r="D1022" s="26" t="s">
        <v>1417</v>
      </c>
      <c r="E1022" s="26">
        <v>-83174.815000000002</v>
      </c>
      <c r="F1022" s="26">
        <v>11.804</v>
      </c>
      <c r="G1022" s="26">
        <f t="shared" si="15"/>
        <v>-83174.815000000002</v>
      </c>
    </row>
    <row r="1023" spans="1:7" x14ac:dyDescent="0.2">
      <c r="A1023" s="26">
        <v>52</v>
      </c>
      <c r="B1023" s="26">
        <v>46</v>
      </c>
      <c r="C1023" s="26">
        <v>98</v>
      </c>
      <c r="D1023" s="26" t="s">
        <v>1418</v>
      </c>
      <c r="E1023" s="26">
        <v>-81299.956999999995</v>
      </c>
      <c r="F1023" s="26">
        <v>21.497</v>
      </c>
      <c r="G1023" s="26">
        <f t="shared" si="15"/>
        <v>-81299.956999999995</v>
      </c>
    </row>
    <row r="1024" spans="1:7" x14ac:dyDescent="0.2">
      <c r="A1024" s="26">
        <v>51</v>
      </c>
      <c r="B1024" s="26">
        <v>47</v>
      </c>
      <c r="C1024" s="26">
        <v>98</v>
      </c>
      <c r="D1024" s="26" t="s">
        <v>1419</v>
      </c>
      <c r="E1024" s="26">
        <v>-73060.614000000001</v>
      </c>
      <c r="F1024" s="26">
        <v>66.975999999999999</v>
      </c>
      <c r="G1024" s="26">
        <f t="shared" si="15"/>
        <v>-73060.614000000001</v>
      </c>
    </row>
    <row r="1025" spans="1:7" x14ac:dyDescent="0.2">
      <c r="A1025" s="26">
        <v>50</v>
      </c>
      <c r="B1025" s="26">
        <v>48</v>
      </c>
      <c r="C1025" s="26">
        <v>98</v>
      </c>
      <c r="D1025" s="26" t="s">
        <v>1420</v>
      </c>
      <c r="E1025" s="26">
        <v>-67630.614000000001</v>
      </c>
      <c r="F1025" s="26">
        <v>78.012</v>
      </c>
      <c r="G1025" s="26">
        <f t="shared" si="15"/>
        <v>-67630.614000000001</v>
      </c>
    </row>
    <row r="1026" spans="1:7" x14ac:dyDescent="0.2">
      <c r="A1026" s="26">
        <v>49</v>
      </c>
      <c r="B1026" s="26">
        <v>49</v>
      </c>
      <c r="C1026" s="26">
        <v>98</v>
      </c>
      <c r="D1026" s="26" t="s">
        <v>1421</v>
      </c>
      <c r="E1026" s="26" t="s">
        <v>1040</v>
      </c>
      <c r="F1026" s="26" t="s">
        <v>1480</v>
      </c>
      <c r="G1026" s="26">
        <f t="shared" si="15"/>
        <v>-53896.01</v>
      </c>
    </row>
    <row r="1027" spans="1:7" x14ac:dyDescent="0.2">
      <c r="A1027" s="26">
        <v>63</v>
      </c>
      <c r="B1027" s="26">
        <v>36</v>
      </c>
      <c r="C1027" s="26">
        <v>99</v>
      </c>
      <c r="D1027" s="26" t="s">
        <v>1408</v>
      </c>
      <c r="E1027" s="26" t="s">
        <v>1349</v>
      </c>
      <c r="F1027" s="26" t="s">
        <v>1505</v>
      </c>
      <c r="G1027" s="26">
        <f t="shared" si="15"/>
        <v>-39495.01</v>
      </c>
    </row>
    <row r="1028" spans="1:7" x14ac:dyDescent="0.2">
      <c r="A1028" s="26">
        <v>62</v>
      </c>
      <c r="B1028" s="26">
        <v>37</v>
      </c>
      <c r="C1028" s="26">
        <v>99</v>
      </c>
      <c r="D1028" s="26" t="s">
        <v>1409</v>
      </c>
      <c r="E1028" s="26">
        <v>-50878.87</v>
      </c>
      <c r="F1028" s="26">
        <v>125.67</v>
      </c>
      <c r="G1028" s="26">
        <f t="shared" si="15"/>
        <v>-50878.87</v>
      </c>
    </row>
    <row r="1029" spans="1:7" x14ac:dyDescent="0.2">
      <c r="A1029" s="26">
        <v>61</v>
      </c>
      <c r="B1029" s="26">
        <v>38</v>
      </c>
      <c r="C1029" s="26">
        <v>99</v>
      </c>
      <c r="D1029" s="26" t="s">
        <v>1410</v>
      </c>
      <c r="E1029" s="26">
        <v>-62185.677000000003</v>
      </c>
      <c r="F1029" s="26">
        <v>79.998999999999995</v>
      </c>
      <c r="G1029" s="26">
        <f t="shared" si="15"/>
        <v>-62185.677000000003</v>
      </c>
    </row>
    <row r="1030" spans="1:7" x14ac:dyDescent="0.2">
      <c r="A1030" s="26">
        <v>60</v>
      </c>
      <c r="B1030" s="26">
        <v>39</v>
      </c>
      <c r="C1030" s="26">
        <v>99</v>
      </c>
      <c r="D1030" s="26" t="s">
        <v>1411</v>
      </c>
      <c r="E1030" s="26">
        <v>-70200.923999999999</v>
      </c>
      <c r="F1030" s="26">
        <v>24.390999999999998</v>
      </c>
      <c r="G1030" s="26">
        <f t="shared" si="15"/>
        <v>-70200.923999999999</v>
      </c>
    </row>
    <row r="1031" spans="1:7" x14ac:dyDescent="0.2">
      <c r="A1031" s="26">
        <v>59</v>
      </c>
      <c r="B1031" s="26">
        <v>40</v>
      </c>
      <c r="C1031" s="26">
        <v>99</v>
      </c>
      <c r="D1031" s="26" t="s">
        <v>1412</v>
      </c>
      <c r="E1031" s="26">
        <v>-77768.472999999998</v>
      </c>
      <c r="F1031" s="26">
        <v>20.033000000000001</v>
      </c>
      <c r="G1031" s="26">
        <f t="shared" si="15"/>
        <v>-77768.472999999998</v>
      </c>
    </row>
    <row r="1032" spans="1:7" x14ac:dyDescent="0.2">
      <c r="A1032" s="26">
        <v>58</v>
      </c>
      <c r="B1032" s="26">
        <v>41</v>
      </c>
      <c r="C1032" s="26">
        <v>99</v>
      </c>
      <c r="D1032" s="26" t="s">
        <v>1413</v>
      </c>
      <c r="E1032" s="26">
        <v>-82326.953999999998</v>
      </c>
      <c r="F1032" s="26">
        <v>13.339</v>
      </c>
      <c r="G1032" s="26">
        <f t="shared" si="15"/>
        <v>-82326.953999999998</v>
      </c>
    </row>
    <row r="1033" spans="1:7" x14ac:dyDescent="0.2">
      <c r="A1033" s="26">
        <v>57</v>
      </c>
      <c r="B1033" s="26">
        <v>42</v>
      </c>
      <c r="C1033" s="26">
        <v>99</v>
      </c>
      <c r="D1033" s="26" t="s">
        <v>1414</v>
      </c>
      <c r="E1033" s="26">
        <v>-85965.84</v>
      </c>
      <c r="F1033" s="26">
        <v>1.915</v>
      </c>
      <c r="G1033" s="26">
        <f t="shared" si="15"/>
        <v>-85965.84</v>
      </c>
    </row>
    <row r="1034" spans="1:7" x14ac:dyDescent="0.2">
      <c r="A1034" s="26">
        <v>56</v>
      </c>
      <c r="B1034" s="26">
        <v>43</v>
      </c>
      <c r="C1034" s="26">
        <v>99</v>
      </c>
      <c r="D1034" s="26" t="s">
        <v>1415</v>
      </c>
      <c r="E1034" s="26">
        <v>-87323.141000000003</v>
      </c>
      <c r="F1034" s="26">
        <v>1.9790000000000001</v>
      </c>
      <c r="G1034" s="26">
        <f t="shared" ref="G1034:G1097" si="16">IF(ISNUMBER(E1034),E1034,VALUE(SUBSTITUTE(E1034,"#",".01")))</f>
        <v>-87323.141000000003</v>
      </c>
    </row>
    <row r="1035" spans="1:7" x14ac:dyDescent="0.2">
      <c r="A1035" s="26">
        <v>55</v>
      </c>
      <c r="B1035" s="26">
        <v>44</v>
      </c>
      <c r="C1035" s="26">
        <v>99</v>
      </c>
      <c r="D1035" s="26" t="s">
        <v>1416</v>
      </c>
      <c r="E1035" s="26">
        <v>-87616.976999999999</v>
      </c>
      <c r="F1035" s="26">
        <v>2.0110000000000001</v>
      </c>
      <c r="G1035" s="26">
        <f t="shared" si="16"/>
        <v>-87616.976999999999</v>
      </c>
    </row>
    <row r="1036" spans="1:7" x14ac:dyDescent="0.2">
      <c r="A1036" s="26">
        <v>54</v>
      </c>
      <c r="B1036" s="26">
        <v>45</v>
      </c>
      <c r="C1036" s="26">
        <v>99</v>
      </c>
      <c r="D1036" s="26" t="s">
        <v>1417</v>
      </c>
      <c r="E1036" s="26">
        <v>-85574.394</v>
      </c>
      <c r="F1036" s="26">
        <v>7.1369999999999996</v>
      </c>
      <c r="G1036" s="26">
        <f t="shared" si="16"/>
        <v>-85574.394</v>
      </c>
    </row>
    <row r="1037" spans="1:7" x14ac:dyDescent="0.2">
      <c r="A1037" s="26">
        <v>53</v>
      </c>
      <c r="B1037" s="26">
        <v>46</v>
      </c>
      <c r="C1037" s="26">
        <v>99</v>
      </c>
      <c r="D1037" s="26" t="s">
        <v>1418</v>
      </c>
      <c r="E1037" s="26">
        <v>-82187.735000000001</v>
      </c>
      <c r="F1037" s="26">
        <v>15.18</v>
      </c>
      <c r="G1037" s="26">
        <f t="shared" si="16"/>
        <v>-82187.735000000001</v>
      </c>
    </row>
    <row r="1038" spans="1:7" x14ac:dyDescent="0.2">
      <c r="A1038" s="26">
        <v>52</v>
      </c>
      <c r="B1038" s="26">
        <v>47</v>
      </c>
      <c r="C1038" s="26">
        <v>99</v>
      </c>
      <c r="D1038" s="26" t="s">
        <v>1419</v>
      </c>
      <c r="E1038" s="26">
        <v>-76757.735000000001</v>
      </c>
      <c r="F1038" s="26">
        <v>150.76599999999999</v>
      </c>
      <c r="G1038" s="26">
        <f t="shared" si="16"/>
        <v>-76757.735000000001</v>
      </c>
    </row>
    <row r="1039" spans="1:7" x14ac:dyDescent="0.2">
      <c r="A1039" s="26">
        <v>51</v>
      </c>
      <c r="B1039" s="26">
        <v>48</v>
      </c>
      <c r="C1039" s="26">
        <v>99</v>
      </c>
      <c r="D1039" s="26" t="s">
        <v>1420</v>
      </c>
      <c r="E1039" s="26" t="s">
        <v>1305</v>
      </c>
      <c r="F1039" s="26" t="s">
        <v>1306</v>
      </c>
      <c r="G1039" s="26">
        <f t="shared" si="16"/>
        <v>-69853.009999999995</v>
      </c>
    </row>
    <row r="1040" spans="1:7" x14ac:dyDescent="0.2">
      <c r="A1040" s="26">
        <v>50</v>
      </c>
      <c r="B1040" s="26">
        <v>49</v>
      </c>
      <c r="C1040" s="26">
        <v>99</v>
      </c>
      <c r="D1040" s="26" t="s">
        <v>1421</v>
      </c>
      <c r="E1040" s="26" t="s">
        <v>1350</v>
      </c>
      <c r="F1040" s="26" t="s">
        <v>1723</v>
      </c>
      <c r="G1040" s="26">
        <f t="shared" si="16"/>
        <v>-61274.01</v>
      </c>
    </row>
    <row r="1041" spans="1:7" x14ac:dyDescent="0.2">
      <c r="A1041" s="26">
        <v>49</v>
      </c>
      <c r="B1041" s="26">
        <v>50</v>
      </c>
      <c r="C1041" s="26">
        <v>99</v>
      </c>
      <c r="D1041" s="26" t="s">
        <v>1422</v>
      </c>
      <c r="E1041" s="26" t="s">
        <v>1598</v>
      </c>
      <c r="F1041" s="26" t="s">
        <v>1505</v>
      </c>
      <c r="G1041" s="26">
        <f t="shared" si="16"/>
        <v>-47199.01</v>
      </c>
    </row>
    <row r="1042" spans="1:7" x14ac:dyDescent="0.2">
      <c r="A1042" s="26">
        <v>64</v>
      </c>
      <c r="B1042" s="26">
        <v>36</v>
      </c>
      <c r="C1042" s="26">
        <v>100</v>
      </c>
      <c r="D1042" s="26" t="s">
        <v>1408</v>
      </c>
      <c r="E1042" s="26" t="s">
        <v>1351</v>
      </c>
      <c r="F1042" s="26" t="s">
        <v>1728</v>
      </c>
      <c r="G1042" s="26">
        <f t="shared" si="16"/>
        <v>-36198.01</v>
      </c>
    </row>
    <row r="1043" spans="1:7" x14ac:dyDescent="0.2">
      <c r="A1043" s="26">
        <v>63</v>
      </c>
      <c r="B1043" s="26">
        <v>37</v>
      </c>
      <c r="C1043" s="26">
        <v>100</v>
      </c>
      <c r="D1043" s="26" t="s">
        <v>1409</v>
      </c>
      <c r="E1043" s="26" t="s">
        <v>1307</v>
      </c>
      <c r="F1043" s="26" t="s">
        <v>1730</v>
      </c>
      <c r="G1043" s="26">
        <f t="shared" si="16"/>
        <v>-46696.01</v>
      </c>
    </row>
    <row r="1044" spans="1:7" x14ac:dyDescent="0.2">
      <c r="A1044" s="26">
        <v>62</v>
      </c>
      <c r="B1044" s="26">
        <v>38</v>
      </c>
      <c r="C1044" s="26">
        <v>100</v>
      </c>
      <c r="D1044" s="26" t="s">
        <v>1410</v>
      </c>
      <c r="E1044" s="26">
        <v>-60219.307000000001</v>
      </c>
      <c r="F1044" s="26">
        <v>127.217</v>
      </c>
      <c r="G1044" s="26">
        <f t="shared" si="16"/>
        <v>-60219.307000000001</v>
      </c>
    </row>
    <row r="1045" spans="1:7" x14ac:dyDescent="0.2">
      <c r="A1045" s="26">
        <v>61</v>
      </c>
      <c r="B1045" s="26">
        <v>39</v>
      </c>
      <c r="C1045" s="26">
        <v>100</v>
      </c>
      <c r="D1045" s="26" t="s">
        <v>1411</v>
      </c>
      <c r="E1045" s="26">
        <v>-67294.307000000001</v>
      </c>
      <c r="F1045" s="26">
        <v>78.64</v>
      </c>
      <c r="G1045" s="26">
        <f t="shared" si="16"/>
        <v>-67294.307000000001</v>
      </c>
    </row>
    <row r="1046" spans="1:7" x14ac:dyDescent="0.2">
      <c r="A1046" s="26">
        <v>60</v>
      </c>
      <c r="B1046" s="26">
        <v>40</v>
      </c>
      <c r="C1046" s="26">
        <v>100</v>
      </c>
      <c r="D1046" s="26" t="s">
        <v>1412</v>
      </c>
      <c r="E1046" s="26">
        <v>-76604.307000000001</v>
      </c>
      <c r="F1046" s="26">
        <v>35.837000000000003</v>
      </c>
      <c r="G1046" s="26">
        <f t="shared" si="16"/>
        <v>-76604.307000000001</v>
      </c>
    </row>
    <row r="1047" spans="1:7" x14ac:dyDescent="0.2">
      <c r="A1047" s="26">
        <v>59</v>
      </c>
      <c r="B1047" s="26">
        <v>41</v>
      </c>
      <c r="C1047" s="26">
        <v>100</v>
      </c>
      <c r="D1047" s="26" t="s">
        <v>1413</v>
      </c>
      <c r="E1047" s="26">
        <v>-79939.307000000001</v>
      </c>
      <c r="F1047" s="26">
        <v>25.677</v>
      </c>
      <c r="G1047" s="26">
        <f t="shared" si="16"/>
        <v>-79939.307000000001</v>
      </c>
    </row>
    <row r="1048" spans="1:7" x14ac:dyDescent="0.2">
      <c r="A1048" s="26">
        <v>58</v>
      </c>
      <c r="B1048" s="26">
        <v>42</v>
      </c>
      <c r="C1048" s="26">
        <v>100</v>
      </c>
      <c r="D1048" s="26" t="s">
        <v>1414</v>
      </c>
      <c r="E1048" s="26">
        <v>-86184.307000000001</v>
      </c>
      <c r="F1048" s="26">
        <v>5.8550000000000004</v>
      </c>
      <c r="G1048" s="26">
        <f t="shared" si="16"/>
        <v>-86184.307000000001</v>
      </c>
    </row>
    <row r="1049" spans="1:7" x14ac:dyDescent="0.2">
      <c r="A1049" s="26">
        <v>57</v>
      </c>
      <c r="B1049" s="26">
        <v>43</v>
      </c>
      <c r="C1049" s="26">
        <v>100</v>
      </c>
      <c r="D1049" s="26" t="s">
        <v>1415</v>
      </c>
      <c r="E1049" s="26">
        <v>-86016.224000000002</v>
      </c>
      <c r="F1049" s="26">
        <v>2.2170000000000001</v>
      </c>
      <c r="G1049" s="26">
        <f t="shared" si="16"/>
        <v>-86016.224000000002</v>
      </c>
    </row>
    <row r="1050" spans="1:7" x14ac:dyDescent="0.2">
      <c r="A1050" s="26">
        <v>56</v>
      </c>
      <c r="B1050" s="26">
        <v>44</v>
      </c>
      <c r="C1050" s="26">
        <v>100</v>
      </c>
      <c r="D1050" s="26" t="s">
        <v>1416</v>
      </c>
      <c r="E1050" s="26">
        <v>-89218.983999999997</v>
      </c>
      <c r="F1050" s="26">
        <v>2.0110000000000001</v>
      </c>
      <c r="G1050" s="26">
        <f t="shared" si="16"/>
        <v>-89218.983999999997</v>
      </c>
    </row>
    <row r="1051" spans="1:7" x14ac:dyDescent="0.2">
      <c r="A1051" s="26">
        <v>55</v>
      </c>
      <c r="B1051" s="26">
        <v>45</v>
      </c>
      <c r="C1051" s="26">
        <v>100</v>
      </c>
      <c r="D1051" s="26" t="s">
        <v>1417</v>
      </c>
      <c r="E1051" s="26">
        <v>-85584.225000000006</v>
      </c>
      <c r="F1051" s="26">
        <v>18.198</v>
      </c>
      <c r="G1051" s="26">
        <f t="shared" si="16"/>
        <v>-85584.225000000006</v>
      </c>
    </row>
    <row r="1052" spans="1:7" x14ac:dyDescent="0.2">
      <c r="A1052" s="26">
        <v>54</v>
      </c>
      <c r="B1052" s="26">
        <v>46</v>
      </c>
      <c r="C1052" s="26">
        <v>100</v>
      </c>
      <c r="D1052" s="26" t="s">
        <v>1418</v>
      </c>
      <c r="E1052" s="26">
        <v>-85226.217999999993</v>
      </c>
      <c r="F1052" s="26">
        <v>11.256</v>
      </c>
      <c r="G1052" s="26">
        <f t="shared" si="16"/>
        <v>-85226.217999999993</v>
      </c>
    </row>
    <row r="1053" spans="1:7" x14ac:dyDescent="0.2">
      <c r="A1053" s="26">
        <v>53</v>
      </c>
      <c r="B1053" s="26">
        <v>47</v>
      </c>
      <c r="C1053" s="26">
        <v>100</v>
      </c>
      <c r="D1053" s="26" t="s">
        <v>1419</v>
      </c>
      <c r="E1053" s="26">
        <v>-78148.384000000005</v>
      </c>
      <c r="F1053" s="26">
        <v>77.126000000000005</v>
      </c>
      <c r="G1053" s="26">
        <f t="shared" si="16"/>
        <v>-78148.384000000005</v>
      </c>
    </row>
    <row r="1054" spans="1:7" x14ac:dyDescent="0.2">
      <c r="A1054" s="26">
        <v>52</v>
      </c>
      <c r="B1054" s="26">
        <v>48</v>
      </c>
      <c r="C1054" s="26">
        <v>100</v>
      </c>
      <c r="D1054" s="26" t="s">
        <v>1420</v>
      </c>
      <c r="E1054" s="26">
        <v>-74249.828999999998</v>
      </c>
      <c r="F1054" s="26">
        <v>95.269000000000005</v>
      </c>
      <c r="G1054" s="26">
        <f t="shared" si="16"/>
        <v>-74249.828999999998</v>
      </c>
    </row>
    <row r="1055" spans="1:7" x14ac:dyDescent="0.2">
      <c r="A1055" s="26">
        <v>51</v>
      </c>
      <c r="B1055" s="26">
        <v>49</v>
      </c>
      <c r="C1055" s="26">
        <v>100</v>
      </c>
      <c r="D1055" s="26" t="s">
        <v>1421</v>
      </c>
      <c r="E1055" s="26">
        <v>-64169.828999999998</v>
      </c>
      <c r="F1055" s="26">
        <v>248.95</v>
      </c>
      <c r="G1055" s="26">
        <f t="shared" si="16"/>
        <v>-64169.828999999998</v>
      </c>
    </row>
    <row r="1056" spans="1:7" x14ac:dyDescent="0.2">
      <c r="A1056" s="26">
        <v>50</v>
      </c>
      <c r="B1056" s="26">
        <v>50</v>
      </c>
      <c r="C1056" s="26">
        <v>100</v>
      </c>
      <c r="D1056" s="26" t="s">
        <v>1422</v>
      </c>
      <c r="E1056" s="26">
        <v>-56779.828999999998</v>
      </c>
      <c r="F1056" s="26">
        <v>705.39099999999996</v>
      </c>
      <c r="G1056" s="26">
        <f t="shared" si="16"/>
        <v>-56779.828999999998</v>
      </c>
    </row>
    <row r="1057" spans="1:7" x14ac:dyDescent="0.2">
      <c r="A1057" s="26">
        <v>64</v>
      </c>
      <c r="B1057" s="26">
        <v>37</v>
      </c>
      <c r="C1057" s="26">
        <v>101</v>
      </c>
      <c r="D1057" s="26" t="s">
        <v>1409</v>
      </c>
      <c r="E1057" s="26">
        <v>-43597.231</v>
      </c>
      <c r="F1057" s="26">
        <v>166.08199999999999</v>
      </c>
      <c r="G1057" s="26">
        <f t="shared" si="16"/>
        <v>-43597.231</v>
      </c>
    </row>
    <row r="1058" spans="1:7" x14ac:dyDescent="0.2">
      <c r="A1058" s="26">
        <v>63</v>
      </c>
      <c r="B1058" s="26">
        <v>38</v>
      </c>
      <c r="C1058" s="26">
        <v>101</v>
      </c>
      <c r="D1058" s="26" t="s">
        <v>1410</v>
      </c>
      <c r="E1058" s="26">
        <v>-55407.231</v>
      </c>
      <c r="F1058" s="26">
        <v>124.432</v>
      </c>
      <c r="G1058" s="26">
        <f t="shared" si="16"/>
        <v>-55407.231</v>
      </c>
    </row>
    <row r="1059" spans="1:7" x14ac:dyDescent="0.2">
      <c r="A1059" s="26">
        <v>62</v>
      </c>
      <c r="B1059" s="26">
        <v>39</v>
      </c>
      <c r="C1059" s="26">
        <v>101</v>
      </c>
      <c r="D1059" s="26" t="s">
        <v>1411</v>
      </c>
      <c r="E1059" s="26">
        <v>-64912.231</v>
      </c>
      <c r="F1059" s="26">
        <v>95.305999999999997</v>
      </c>
      <c r="G1059" s="26">
        <f t="shared" si="16"/>
        <v>-64912.231</v>
      </c>
    </row>
    <row r="1060" spans="1:7" x14ac:dyDescent="0.2">
      <c r="A1060" s="26">
        <v>61</v>
      </c>
      <c r="B1060" s="26">
        <v>40</v>
      </c>
      <c r="C1060" s="26">
        <v>101</v>
      </c>
      <c r="D1060" s="26" t="s">
        <v>1412</v>
      </c>
      <c r="E1060" s="26">
        <v>-73457.231</v>
      </c>
      <c r="F1060" s="26">
        <v>31.356999999999999</v>
      </c>
      <c r="G1060" s="26">
        <f t="shared" si="16"/>
        <v>-73457.231</v>
      </c>
    </row>
    <row r="1061" spans="1:7" x14ac:dyDescent="0.2">
      <c r="A1061" s="26">
        <v>60</v>
      </c>
      <c r="B1061" s="26">
        <v>41</v>
      </c>
      <c r="C1061" s="26">
        <v>101</v>
      </c>
      <c r="D1061" s="26" t="s">
        <v>1413</v>
      </c>
      <c r="E1061" s="26">
        <v>-78942.231</v>
      </c>
      <c r="F1061" s="26">
        <v>18.928000000000001</v>
      </c>
      <c r="G1061" s="26">
        <f t="shared" si="16"/>
        <v>-78942.231</v>
      </c>
    </row>
    <row r="1062" spans="1:7" x14ac:dyDescent="0.2">
      <c r="A1062" s="26">
        <v>59</v>
      </c>
      <c r="B1062" s="26">
        <v>42</v>
      </c>
      <c r="C1062" s="26">
        <v>101</v>
      </c>
      <c r="D1062" s="26" t="s">
        <v>1414</v>
      </c>
      <c r="E1062" s="26">
        <v>-83511.231</v>
      </c>
      <c r="F1062" s="26">
        <v>5.8559999999999999</v>
      </c>
      <c r="G1062" s="26">
        <f t="shared" si="16"/>
        <v>-83511.231</v>
      </c>
    </row>
    <row r="1063" spans="1:7" x14ac:dyDescent="0.2">
      <c r="A1063" s="26">
        <v>58</v>
      </c>
      <c r="B1063" s="26">
        <v>43</v>
      </c>
      <c r="C1063" s="26">
        <v>101</v>
      </c>
      <c r="D1063" s="26" t="s">
        <v>1415</v>
      </c>
      <c r="E1063" s="26">
        <v>-86335.84</v>
      </c>
      <c r="F1063" s="26">
        <v>24.084</v>
      </c>
      <c r="G1063" s="26">
        <f t="shared" si="16"/>
        <v>-86335.84</v>
      </c>
    </row>
    <row r="1064" spans="1:7" x14ac:dyDescent="0.2">
      <c r="A1064" s="26">
        <v>57</v>
      </c>
      <c r="B1064" s="26">
        <v>44</v>
      </c>
      <c r="C1064" s="26">
        <v>101</v>
      </c>
      <c r="D1064" s="26" t="s">
        <v>1416</v>
      </c>
      <c r="E1064" s="26">
        <v>-87949.72</v>
      </c>
      <c r="F1064" s="26">
        <v>2.0139999999999998</v>
      </c>
      <c r="G1064" s="26">
        <f t="shared" si="16"/>
        <v>-87949.72</v>
      </c>
    </row>
    <row r="1065" spans="1:7" x14ac:dyDescent="0.2">
      <c r="A1065" s="26">
        <v>56</v>
      </c>
      <c r="B1065" s="26">
        <v>45</v>
      </c>
      <c r="C1065" s="26">
        <v>101</v>
      </c>
      <c r="D1065" s="26" t="s">
        <v>1417</v>
      </c>
      <c r="E1065" s="26">
        <v>-87408.020999999993</v>
      </c>
      <c r="F1065" s="26">
        <v>17.23</v>
      </c>
      <c r="G1065" s="26">
        <f t="shared" si="16"/>
        <v>-87408.020999999993</v>
      </c>
    </row>
    <row r="1066" spans="1:7" x14ac:dyDescent="0.2">
      <c r="A1066" s="26">
        <v>55</v>
      </c>
      <c r="B1066" s="26">
        <v>46</v>
      </c>
      <c r="C1066" s="26">
        <v>101</v>
      </c>
      <c r="D1066" s="26" t="s">
        <v>1418</v>
      </c>
      <c r="E1066" s="26">
        <v>-85428.020999999993</v>
      </c>
      <c r="F1066" s="26">
        <v>17.687999999999999</v>
      </c>
      <c r="G1066" s="26">
        <f t="shared" si="16"/>
        <v>-85428.020999999993</v>
      </c>
    </row>
    <row r="1067" spans="1:7" x14ac:dyDescent="0.2">
      <c r="A1067" s="26">
        <v>54</v>
      </c>
      <c r="B1067" s="26">
        <v>47</v>
      </c>
      <c r="C1067" s="26">
        <v>101</v>
      </c>
      <c r="D1067" s="26" t="s">
        <v>1419</v>
      </c>
      <c r="E1067" s="26">
        <v>-81224.197</v>
      </c>
      <c r="F1067" s="26">
        <v>104.408</v>
      </c>
      <c r="G1067" s="26">
        <f t="shared" si="16"/>
        <v>-81224.197</v>
      </c>
    </row>
    <row r="1068" spans="1:7" x14ac:dyDescent="0.2">
      <c r="A1068" s="26">
        <v>53</v>
      </c>
      <c r="B1068" s="26">
        <v>48</v>
      </c>
      <c r="C1068" s="26">
        <v>101</v>
      </c>
      <c r="D1068" s="26" t="s">
        <v>1420</v>
      </c>
      <c r="E1068" s="26">
        <v>-75747.66</v>
      </c>
      <c r="F1068" s="26">
        <v>150.93600000000001</v>
      </c>
      <c r="G1068" s="26">
        <f t="shared" si="16"/>
        <v>-75747.66</v>
      </c>
    </row>
    <row r="1069" spans="1:7" x14ac:dyDescent="0.2">
      <c r="A1069" s="26">
        <v>52</v>
      </c>
      <c r="B1069" s="26">
        <v>49</v>
      </c>
      <c r="C1069" s="26">
        <v>101</v>
      </c>
      <c r="D1069" s="26" t="s">
        <v>1421</v>
      </c>
      <c r="E1069" s="26" t="s">
        <v>1352</v>
      </c>
      <c r="F1069" s="26" t="s">
        <v>1730</v>
      </c>
      <c r="G1069" s="26">
        <f t="shared" si="16"/>
        <v>-68614.009999999995</v>
      </c>
    </row>
    <row r="1070" spans="1:7" x14ac:dyDescent="0.2">
      <c r="A1070" s="26">
        <v>51</v>
      </c>
      <c r="B1070" s="26">
        <v>50</v>
      </c>
      <c r="C1070" s="26">
        <v>101</v>
      </c>
      <c r="D1070" s="26" t="s">
        <v>1422</v>
      </c>
      <c r="E1070" s="26" t="s">
        <v>1308</v>
      </c>
      <c r="F1070" s="26" t="s">
        <v>1730</v>
      </c>
      <c r="G1070" s="26">
        <f t="shared" si="16"/>
        <v>-59560.01</v>
      </c>
    </row>
    <row r="1071" spans="1:7" x14ac:dyDescent="0.2">
      <c r="A1071" s="26">
        <v>65</v>
      </c>
      <c r="B1071" s="26">
        <v>37</v>
      </c>
      <c r="C1071" s="26">
        <v>102</v>
      </c>
      <c r="D1071" s="26" t="s">
        <v>1409</v>
      </c>
      <c r="E1071" s="26" t="s">
        <v>1353</v>
      </c>
      <c r="F1071" s="26" t="s">
        <v>1728</v>
      </c>
      <c r="G1071" s="26">
        <f t="shared" si="16"/>
        <v>-38312.01</v>
      </c>
    </row>
    <row r="1072" spans="1:7" x14ac:dyDescent="0.2">
      <c r="A1072" s="26">
        <v>64</v>
      </c>
      <c r="B1072" s="26">
        <v>38</v>
      </c>
      <c r="C1072" s="26">
        <v>102</v>
      </c>
      <c r="D1072" s="26" t="s">
        <v>1410</v>
      </c>
      <c r="E1072" s="26">
        <v>-53077.470999999998</v>
      </c>
      <c r="F1072" s="26">
        <v>111.172</v>
      </c>
      <c r="G1072" s="26">
        <f t="shared" si="16"/>
        <v>-53077.470999999998</v>
      </c>
    </row>
    <row r="1073" spans="1:7" x14ac:dyDescent="0.2">
      <c r="A1073" s="26">
        <v>63</v>
      </c>
      <c r="B1073" s="26">
        <v>39</v>
      </c>
      <c r="C1073" s="26">
        <v>102</v>
      </c>
      <c r="D1073" s="26" t="s">
        <v>1411</v>
      </c>
      <c r="E1073" s="26">
        <v>-61892.470999999998</v>
      </c>
      <c r="F1073" s="26">
        <v>86.367000000000004</v>
      </c>
      <c r="G1073" s="26">
        <f t="shared" si="16"/>
        <v>-61892.470999999998</v>
      </c>
    </row>
    <row r="1074" spans="1:7" x14ac:dyDescent="0.2">
      <c r="A1074" s="26">
        <v>62</v>
      </c>
      <c r="B1074" s="26">
        <v>40</v>
      </c>
      <c r="C1074" s="26">
        <v>102</v>
      </c>
      <c r="D1074" s="26" t="s">
        <v>1412</v>
      </c>
      <c r="E1074" s="26">
        <v>-71742.471000000005</v>
      </c>
      <c r="F1074" s="26">
        <v>50.588999999999999</v>
      </c>
      <c r="G1074" s="26">
        <f t="shared" si="16"/>
        <v>-71742.471000000005</v>
      </c>
    </row>
    <row r="1075" spans="1:7" x14ac:dyDescent="0.2">
      <c r="A1075" s="26">
        <v>61</v>
      </c>
      <c r="B1075" s="26">
        <v>41</v>
      </c>
      <c r="C1075" s="26">
        <v>102</v>
      </c>
      <c r="D1075" s="26" t="s">
        <v>1413</v>
      </c>
      <c r="E1075" s="26">
        <v>-76347.471000000005</v>
      </c>
      <c r="F1075" s="26">
        <v>40.734000000000002</v>
      </c>
      <c r="G1075" s="26">
        <f t="shared" si="16"/>
        <v>-76347.471000000005</v>
      </c>
    </row>
    <row r="1076" spans="1:7" x14ac:dyDescent="0.2">
      <c r="A1076" s="26">
        <v>60</v>
      </c>
      <c r="B1076" s="26">
        <v>42</v>
      </c>
      <c r="C1076" s="26">
        <v>102</v>
      </c>
      <c r="D1076" s="26" t="s">
        <v>1414</v>
      </c>
      <c r="E1076" s="26">
        <v>-83557.471000000005</v>
      </c>
      <c r="F1076" s="26">
        <v>20.838999999999999</v>
      </c>
      <c r="G1076" s="26">
        <f t="shared" si="16"/>
        <v>-83557.471000000005</v>
      </c>
    </row>
    <row r="1077" spans="1:7" x14ac:dyDescent="0.2">
      <c r="A1077" s="26">
        <v>59</v>
      </c>
      <c r="B1077" s="26">
        <v>43</v>
      </c>
      <c r="C1077" s="26">
        <v>102</v>
      </c>
      <c r="D1077" s="26" t="s">
        <v>1415</v>
      </c>
      <c r="E1077" s="26">
        <v>-84565.664999999994</v>
      </c>
      <c r="F1077" s="26">
        <v>9.3930000000000007</v>
      </c>
      <c r="G1077" s="26">
        <f t="shared" si="16"/>
        <v>-84565.664999999994</v>
      </c>
    </row>
    <row r="1078" spans="1:7" x14ac:dyDescent="0.2">
      <c r="A1078" s="26">
        <v>58</v>
      </c>
      <c r="B1078" s="26">
        <v>44</v>
      </c>
      <c r="C1078" s="26">
        <v>102</v>
      </c>
      <c r="D1078" s="26" t="s">
        <v>1416</v>
      </c>
      <c r="E1078" s="26">
        <v>-89098.043000000005</v>
      </c>
      <c r="F1078" s="26">
        <v>2.0139999999999998</v>
      </c>
      <c r="G1078" s="26">
        <f t="shared" si="16"/>
        <v>-89098.043000000005</v>
      </c>
    </row>
    <row r="1079" spans="1:7" x14ac:dyDescent="0.2">
      <c r="A1079" s="26">
        <v>57</v>
      </c>
      <c r="B1079" s="26">
        <v>45</v>
      </c>
      <c r="C1079" s="26">
        <v>102</v>
      </c>
      <c r="D1079" s="26" t="s">
        <v>1417</v>
      </c>
      <c r="E1079" s="26">
        <v>-86775.004000000001</v>
      </c>
      <c r="F1079" s="26">
        <v>4.9409999999999998</v>
      </c>
      <c r="G1079" s="26">
        <f t="shared" si="16"/>
        <v>-86775.004000000001</v>
      </c>
    </row>
    <row r="1080" spans="1:7" x14ac:dyDescent="0.2">
      <c r="A1080" s="26">
        <v>56</v>
      </c>
      <c r="B1080" s="26">
        <v>46</v>
      </c>
      <c r="C1080" s="26">
        <v>102</v>
      </c>
      <c r="D1080" s="26" t="s">
        <v>1418</v>
      </c>
      <c r="E1080" s="26">
        <v>-87925.074999999997</v>
      </c>
      <c r="F1080" s="26">
        <v>2.988</v>
      </c>
      <c r="G1080" s="26">
        <f t="shared" si="16"/>
        <v>-87925.074999999997</v>
      </c>
    </row>
    <row r="1081" spans="1:7" x14ac:dyDescent="0.2">
      <c r="A1081" s="26">
        <v>55</v>
      </c>
      <c r="B1081" s="26">
        <v>47</v>
      </c>
      <c r="C1081" s="26">
        <v>102</v>
      </c>
      <c r="D1081" s="26" t="s">
        <v>1419</v>
      </c>
      <c r="E1081" s="26">
        <v>-82264.892999999996</v>
      </c>
      <c r="F1081" s="26">
        <v>27.945</v>
      </c>
      <c r="G1081" s="26">
        <f t="shared" si="16"/>
        <v>-82264.892999999996</v>
      </c>
    </row>
    <row r="1082" spans="1:7" x14ac:dyDescent="0.2">
      <c r="A1082" s="26">
        <v>54</v>
      </c>
      <c r="B1082" s="26">
        <v>48</v>
      </c>
      <c r="C1082" s="26">
        <v>102</v>
      </c>
      <c r="D1082" s="26" t="s">
        <v>1420</v>
      </c>
      <c r="E1082" s="26">
        <v>-79677.892999999996</v>
      </c>
      <c r="F1082" s="26">
        <v>29.067</v>
      </c>
      <c r="G1082" s="26">
        <f t="shared" si="16"/>
        <v>-79677.892999999996</v>
      </c>
    </row>
    <row r="1083" spans="1:7" x14ac:dyDescent="0.2">
      <c r="A1083" s="26">
        <v>53</v>
      </c>
      <c r="B1083" s="26">
        <v>49</v>
      </c>
      <c r="C1083" s="26">
        <v>102</v>
      </c>
      <c r="D1083" s="26" t="s">
        <v>1421</v>
      </c>
      <c r="E1083" s="26">
        <v>-70709.487999999998</v>
      </c>
      <c r="F1083" s="26">
        <v>111.699</v>
      </c>
      <c r="G1083" s="26">
        <f t="shared" si="16"/>
        <v>-70709.487999999998</v>
      </c>
    </row>
    <row r="1084" spans="1:7" x14ac:dyDescent="0.2">
      <c r="A1084" s="26">
        <v>52</v>
      </c>
      <c r="B1084" s="26">
        <v>50</v>
      </c>
      <c r="C1084" s="26">
        <v>102</v>
      </c>
      <c r="D1084" s="26" t="s">
        <v>1422</v>
      </c>
      <c r="E1084" s="26">
        <v>-64929.487999999998</v>
      </c>
      <c r="F1084" s="26">
        <v>131.82</v>
      </c>
      <c r="G1084" s="26">
        <f t="shared" si="16"/>
        <v>-64929.487999999998</v>
      </c>
    </row>
    <row r="1085" spans="1:7" x14ac:dyDescent="0.2">
      <c r="A1085" s="26">
        <v>65</v>
      </c>
      <c r="B1085" s="26">
        <v>38</v>
      </c>
      <c r="C1085" s="26">
        <v>103</v>
      </c>
      <c r="D1085" s="26" t="s">
        <v>1410</v>
      </c>
      <c r="E1085" s="26" t="s">
        <v>1309</v>
      </c>
      <c r="F1085" s="26" t="s">
        <v>1728</v>
      </c>
      <c r="G1085" s="26">
        <f t="shared" si="16"/>
        <v>-47553.01</v>
      </c>
    </row>
    <row r="1086" spans="1:7" x14ac:dyDescent="0.2">
      <c r="A1086" s="26">
        <v>64</v>
      </c>
      <c r="B1086" s="26">
        <v>39</v>
      </c>
      <c r="C1086" s="26">
        <v>103</v>
      </c>
      <c r="D1086" s="26" t="s">
        <v>1411</v>
      </c>
      <c r="E1086" s="26" t="s">
        <v>1354</v>
      </c>
      <c r="F1086" s="26" t="s">
        <v>1730</v>
      </c>
      <c r="G1086" s="26">
        <f t="shared" si="16"/>
        <v>-58936.01</v>
      </c>
    </row>
    <row r="1087" spans="1:7" x14ac:dyDescent="0.2">
      <c r="A1087" s="26">
        <v>63</v>
      </c>
      <c r="B1087" s="26">
        <v>40</v>
      </c>
      <c r="C1087" s="26">
        <v>103</v>
      </c>
      <c r="D1087" s="26" t="s">
        <v>1412</v>
      </c>
      <c r="E1087" s="26">
        <v>-68372.027000000002</v>
      </c>
      <c r="F1087" s="26">
        <v>108.742</v>
      </c>
      <c r="G1087" s="26">
        <f t="shared" si="16"/>
        <v>-68372.027000000002</v>
      </c>
    </row>
    <row r="1088" spans="1:7" x14ac:dyDescent="0.2">
      <c r="A1088" s="26">
        <v>62</v>
      </c>
      <c r="B1088" s="26">
        <v>41</v>
      </c>
      <c r="C1088" s="26">
        <v>103</v>
      </c>
      <c r="D1088" s="26" t="s">
        <v>1413</v>
      </c>
      <c r="E1088" s="26">
        <v>-75317.027000000002</v>
      </c>
      <c r="F1088" s="26">
        <v>67.822000000000003</v>
      </c>
      <c r="G1088" s="26">
        <f t="shared" si="16"/>
        <v>-75317.027000000002</v>
      </c>
    </row>
    <row r="1089" spans="1:7" x14ac:dyDescent="0.2">
      <c r="A1089" s="26">
        <v>61</v>
      </c>
      <c r="B1089" s="26">
        <v>42</v>
      </c>
      <c r="C1089" s="26">
        <v>103</v>
      </c>
      <c r="D1089" s="26" t="s">
        <v>1414</v>
      </c>
      <c r="E1089" s="26">
        <v>-80847.027000000002</v>
      </c>
      <c r="F1089" s="26">
        <v>60.826000000000001</v>
      </c>
      <c r="G1089" s="26">
        <f t="shared" si="16"/>
        <v>-80847.027000000002</v>
      </c>
    </row>
    <row r="1090" spans="1:7" x14ac:dyDescent="0.2">
      <c r="A1090" s="26">
        <v>60</v>
      </c>
      <c r="B1090" s="26">
        <v>43</v>
      </c>
      <c r="C1090" s="26">
        <v>103</v>
      </c>
      <c r="D1090" s="26" t="s">
        <v>1415</v>
      </c>
      <c r="E1090" s="26">
        <v>-84597.027000000002</v>
      </c>
      <c r="F1090" s="26">
        <v>9.9920000000000009</v>
      </c>
      <c r="G1090" s="26">
        <f t="shared" si="16"/>
        <v>-84597.027000000002</v>
      </c>
    </row>
    <row r="1091" spans="1:7" x14ac:dyDescent="0.2">
      <c r="A1091" s="26">
        <v>59</v>
      </c>
      <c r="B1091" s="26">
        <v>44</v>
      </c>
      <c r="C1091" s="26">
        <v>103</v>
      </c>
      <c r="D1091" s="26" t="s">
        <v>1416</v>
      </c>
      <c r="E1091" s="26">
        <v>-87258.774999999994</v>
      </c>
      <c r="F1091" s="26">
        <v>2.0179999999999998</v>
      </c>
      <c r="G1091" s="26">
        <f t="shared" si="16"/>
        <v>-87258.774999999994</v>
      </c>
    </row>
    <row r="1092" spans="1:7" x14ac:dyDescent="0.2">
      <c r="A1092" s="26">
        <v>58</v>
      </c>
      <c r="B1092" s="26">
        <v>45</v>
      </c>
      <c r="C1092" s="26">
        <v>103</v>
      </c>
      <c r="D1092" s="26" t="s">
        <v>1417</v>
      </c>
      <c r="E1092" s="26">
        <v>-88022.184999999998</v>
      </c>
      <c r="F1092" s="26">
        <v>2.806</v>
      </c>
      <c r="G1092" s="26">
        <f t="shared" si="16"/>
        <v>-88022.184999999998</v>
      </c>
    </row>
    <row r="1093" spans="1:7" x14ac:dyDescent="0.2">
      <c r="A1093" s="26">
        <v>57</v>
      </c>
      <c r="B1093" s="26">
        <v>46</v>
      </c>
      <c r="C1093" s="26">
        <v>103</v>
      </c>
      <c r="D1093" s="26" t="s">
        <v>1418</v>
      </c>
      <c r="E1093" s="26">
        <v>-87479.11</v>
      </c>
      <c r="F1093" s="26">
        <v>2.9020000000000001</v>
      </c>
      <c r="G1093" s="26">
        <f t="shared" si="16"/>
        <v>-87479.11</v>
      </c>
    </row>
    <row r="1094" spans="1:7" x14ac:dyDescent="0.2">
      <c r="A1094" s="26">
        <v>56</v>
      </c>
      <c r="B1094" s="26">
        <v>47</v>
      </c>
      <c r="C1094" s="26">
        <v>103</v>
      </c>
      <c r="D1094" s="26" t="s">
        <v>1419</v>
      </c>
      <c r="E1094" s="26">
        <v>-84791.365999999995</v>
      </c>
      <c r="F1094" s="26">
        <v>16.681999999999999</v>
      </c>
      <c r="G1094" s="26">
        <f t="shared" si="16"/>
        <v>-84791.365999999995</v>
      </c>
    </row>
    <row r="1095" spans="1:7" x14ac:dyDescent="0.2">
      <c r="A1095" s="26">
        <v>55</v>
      </c>
      <c r="B1095" s="26">
        <v>48</v>
      </c>
      <c r="C1095" s="26">
        <v>103</v>
      </c>
      <c r="D1095" s="26" t="s">
        <v>1420</v>
      </c>
      <c r="E1095" s="26">
        <v>-80649.452999999994</v>
      </c>
      <c r="F1095" s="26">
        <v>15.37</v>
      </c>
      <c r="G1095" s="26">
        <f t="shared" si="16"/>
        <v>-80649.452999999994</v>
      </c>
    </row>
    <row r="1096" spans="1:7" x14ac:dyDescent="0.2">
      <c r="A1096" s="26">
        <v>54</v>
      </c>
      <c r="B1096" s="26">
        <v>49</v>
      </c>
      <c r="C1096" s="26">
        <v>103</v>
      </c>
      <c r="D1096" s="26" t="s">
        <v>1421</v>
      </c>
      <c r="E1096" s="26">
        <v>-74599.452999999994</v>
      </c>
      <c r="F1096" s="26">
        <v>25.224</v>
      </c>
      <c r="G1096" s="26">
        <f t="shared" si="16"/>
        <v>-74599.452999999994</v>
      </c>
    </row>
    <row r="1097" spans="1:7" x14ac:dyDescent="0.2">
      <c r="A1097" s="26">
        <v>53</v>
      </c>
      <c r="B1097" s="26">
        <v>50</v>
      </c>
      <c r="C1097" s="26">
        <v>103</v>
      </c>
      <c r="D1097" s="26" t="s">
        <v>1422</v>
      </c>
      <c r="E1097" s="26" t="s">
        <v>1355</v>
      </c>
      <c r="F1097" s="26" t="s">
        <v>1730</v>
      </c>
      <c r="G1097" s="26">
        <f t="shared" si="16"/>
        <v>-66974.009999999995</v>
      </c>
    </row>
    <row r="1098" spans="1:7" x14ac:dyDescent="0.2">
      <c r="A1098" s="26">
        <v>52</v>
      </c>
      <c r="B1098" s="26">
        <v>51</v>
      </c>
      <c r="C1098" s="26">
        <v>103</v>
      </c>
      <c r="D1098" s="26" t="s">
        <v>1423</v>
      </c>
      <c r="E1098" s="26" t="s">
        <v>1356</v>
      </c>
      <c r="F1098" s="26" t="s">
        <v>1730</v>
      </c>
      <c r="G1098" s="26">
        <f t="shared" ref="G1098:G1161" si="17">IF(ISNUMBER(E1098),E1098,VALUE(SUBSTITUTE(E1098,"#",".01")))</f>
        <v>-56178.01</v>
      </c>
    </row>
    <row r="1099" spans="1:7" x14ac:dyDescent="0.2">
      <c r="A1099" s="26">
        <v>66</v>
      </c>
      <c r="B1099" s="26">
        <v>38</v>
      </c>
      <c r="C1099" s="26">
        <v>104</v>
      </c>
      <c r="D1099" s="26" t="s">
        <v>1410</v>
      </c>
      <c r="E1099" s="26" t="s">
        <v>1311</v>
      </c>
      <c r="F1099" s="26" t="s">
        <v>1508</v>
      </c>
      <c r="G1099" s="26">
        <f t="shared" si="17"/>
        <v>-44404.01</v>
      </c>
    </row>
    <row r="1100" spans="1:7" x14ac:dyDescent="0.2">
      <c r="A1100" s="26">
        <v>65</v>
      </c>
      <c r="B1100" s="26">
        <v>39</v>
      </c>
      <c r="C1100" s="26">
        <v>104</v>
      </c>
      <c r="D1100" s="26" t="s">
        <v>1411</v>
      </c>
      <c r="E1100" s="26" t="s">
        <v>1357</v>
      </c>
      <c r="F1100" s="26" t="s">
        <v>1723</v>
      </c>
      <c r="G1100" s="26">
        <f t="shared" si="17"/>
        <v>-54912.01</v>
      </c>
    </row>
    <row r="1101" spans="1:7" x14ac:dyDescent="0.2">
      <c r="A1101" s="26">
        <v>64</v>
      </c>
      <c r="B1101" s="26">
        <v>40</v>
      </c>
      <c r="C1101" s="26">
        <v>104</v>
      </c>
      <c r="D1101" s="26" t="s">
        <v>1412</v>
      </c>
      <c r="E1101" s="26" t="s">
        <v>1313</v>
      </c>
      <c r="F1101" s="26" t="s">
        <v>1723</v>
      </c>
      <c r="G1101" s="26">
        <f t="shared" si="17"/>
        <v>-66341.009999999995</v>
      </c>
    </row>
    <row r="1102" spans="1:7" x14ac:dyDescent="0.2">
      <c r="A1102" s="26">
        <v>63</v>
      </c>
      <c r="B1102" s="26">
        <v>41</v>
      </c>
      <c r="C1102" s="26">
        <v>104</v>
      </c>
      <c r="D1102" s="26" t="s">
        <v>1413</v>
      </c>
      <c r="E1102" s="26">
        <v>-72223.665999999997</v>
      </c>
      <c r="F1102" s="26">
        <v>104.81</v>
      </c>
      <c r="G1102" s="26">
        <f t="shared" si="17"/>
        <v>-72223.665999999997</v>
      </c>
    </row>
    <row r="1103" spans="1:7" x14ac:dyDescent="0.2">
      <c r="A1103" s="26">
        <v>62</v>
      </c>
      <c r="B1103" s="26">
        <v>42</v>
      </c>
      <c r="C1103" s="26">
        <v>104</v>
      </c>
      <c r="D1103" s="26" t="s">
        <v>1414</v>
      </c>
      <c r="E1103" s="26">
        <v>-80328.665999999997</v>
      </c>
      <c r="F1103" s="26">
        <v>53.713000000000001</v>
      </c>
      <c r="G1103" s="26">
        <f t="shared" si="17"/>
        <v>-80328.665999999997</v>
      </c>
    </row>
    <row r="1104" spans="1:7" x14ac:dyDescent="0.2">
      <c r="A1104" s="26">
        <v>61</v>
      </c>
      <c r="B1104" s="26">
        <v>43</v>
      </c>
      <c r="C1104" s="26">
        <v>104</v>
      </c>
      <c r="D1104" s="26" t="s">
        <v>1415</v>
      </c>
      <c r="E1104" s="26">
        <v>-82486.165999999997</v>
      </c>
      <c r="F1104" s="26">
        <v>45.662999999999997</v>
      </c>
      <c r="G1104" s="26">
        <f t="shared" si="17"/>
        <v>-82486.165999999997</v>
      </c>
    </row>
    <row r="1105" spans="1:7" x14ac:dyDescent="0.2">
      <c r="A1105" s="26">
        <v>60</v>
      </c>
      <c r="B1105" s="26">
        <v>44</v>
      </c>
      <c r="C1105" s="26">
        <v>104</v>
      </c>
      <c r="D1105" s="26" t="s">
        <v>1416</v>
      </c>
      <c r="E1105" s="26">
        <v>-88088.872000000003</v>
      </c>
      <c r="F1105" s="26">
        <v>3.137</v>
      </c>
      <c r="G1105" s="26">
        <f t="shared" si="17"/>
        <v>-88088.872000000003</v>
      </c>
    </row>
    <row r="1106" spans="1:7" x14ac:dyDescent="0.2">
      <c r="A1106" s="26">
        <v>59</v>
      </c>
      <c r="B1106" s="26">
        <v>45</v>
      </c>
      <c r="C1106" s="26">
        <v>104</v>
      </c>
      <c r="D1106" s="26" t="s">
        <v>1417</v>
      </c>
      <c r="E1106" s="26">
        <v>-86949.824999999997</v>
      </c>
      <c r="F1106" s="26">
        <v>2.8069999999999999</v>
      </c>
      <c r="G1106" s="26">
        <f t="shared" si="17"/>
        <v>-86949.824999999997</v>
      </c>
    </row>
    <row r="1107" spans="1:7" x14ac:dyDescent="0.2">
      <c r="A1107" s="26">
        <v>58</v>
      </c>
      <c r="B1107" s="26">
        <v>46</v>
      </c>
      <c r="C1107" s="26">
        <v>104</v>
      </c>
      <c r="D1107" s="26" t="s">
        <v>1418</v>
      </c>
      <c r="E1107" s="26">
        <v>-89390.044999999998</v>
      </c>
      <c r="F1107" s="26">
        <v>4.133</v>
      </c>
      <c r="G1107" s="26">
        <f t="shared" si="17"/>
        <v>-89390.044999999998</v>
      </c>
    </row>
    <row r="1108" spans="1:7" x14ac:dyDescent="0.2">
      <c r="A1108" s="26">
        <v>57</v>
      </c>
      <c r="B1108" s="26">
        <v>47</v>
      </c>
      <c r="C1108" s="26">
        <v>104</v>
      </c>
      <c r="D1108" s="26" t="s">
        <v>1419</v>
      </c>
      <c r="E1108" s="26">
        <v>-85111.392000000007</v>
      </c>
      <c r="F1108" s="26">
        <v>5.7510000000000003</v>
      </c>
      <c r="G1108" s="26">
        <f t="shared" si="17"/>
        <v>-85111.392000000007</v>
      </c>
    </row>
    <row r="1109" spans="1:7" x14ac:dyDescent="0.2">
      <c r="A1109" s="26">
        <v>56</v>
      </c>
      <c r="B1109" s="26">
        <v>48</v>
      </c>
      <c r="C1109" s="26">
        <v>104</v>
      </c>
      <c r="D1109" s="26" t="s">
        <v>1420</v>
      </c>
      <c r="E1109" s="26">
        <v>-83974.673999999999</v>
      </c>
      <c r="F1109" s="26">
        <v>9.4659999999999993</v>
      </c>
      <c r="G1109" s="26">
        <f t="shared" si="17"/>
        <v>-83974.673999999999</v>
      </c>
    </row>
    <row r="1110" spans="1:7" x14ac:dyDescent="0.2">
      <c r="A1110" s="26">
        <v>55</v>
      </c>
      <c r="B1110" s="26">
        <v>49</v>
      </c>
      <c r="C1110" s="26">
        <v>104</v>
      </c>
      <c r="D1110" s="26" t="s">
        <v>1421</v>
      </c>
      <c r="E1110" s="26">
        <v>-76106.626999999993</v>
      </c>
      <c r="F1110" s="26">
        <v>84.733000000000004</v>
      </c>
      <c r="G1110" s="26">
        <f t="shared" si="17"/>
        <v>-76106.626999999993</v>
      </c>
    </row>
    <row r="1111" spans="1:7" x14ac:dyDescent="0.2">
      <c r="A1111" s="26">
        <v>54</v>
      </c>
      <c r="B1111" s="26">
        <v>50</v>
      </c>
      <c r="C1111" s="26">
        <v>104</v>
      </c>
      <c r="D1111" s="26" t="s">
        <v>1422</v>
      </c>
      <c r="E1111" s="26">
        <v>-71591.626999999993</v>
      </c>
      <c r="F1111" s="26">
        <v>103.825</v>
      </c>
      <c r="G1111" s="26">
        <f t="shared" si="17"/>
        <v>-71591.626999999993</v>
      </c>
    </row>
    <row r="1112" spans="1:7" x14ac:dyDescent="0.2">
      <c r="A1112" s="26">
        <v>53</v>
      </c>
      <c r="B1112" s="26">
        <v>51</v>
      </c>
      <c r="C1112" s="26">
        <v>104</v>
      </c>
      <c r="D1112" s="26" t="s">
        <v>1423</v>
      </c>
      <c r="E1112" s="26" t="s">
        <v>1358</v>
      </c>
      <c r="F1112" s="26" t="s">
        <v>1314</v>
      </c>
      <c r="G1112" s="26">
        <f t="shared" si="17"/>
        <v>-59176.01</v>
      </c>
    </row>
    <row r="1113" spans="1:7" x14ac:dyDescent="0.2">
      <c r="A1113" s="26">
        <v>67</v>
      </c>
      <c r="B1113" s="26">
        <v>38</v>
      </c>
      <c r="C1113" s="26">
        <v>105</v>
      </c>
      <c r="D1113" s="26" t="s">
        <v>1410</v>
      </c>
      <c r="E1113" s="26" t="s">
        <v>1359</v>
      </c>
      <c r="F1113" s="26" t="s">
        <v>1508</v>
      </c>
      <c r="G1113" s="26">
        <f t="shared" si="17"/>
        <v>-38582.01</v>
      </c>
    </row>
    <row r="1114" spans="1:7" x14ac:dyDescent="0.2">
      <c r="A1114" s="26">
        <v>66</v>
      </c>
      <c r="B1114" s="26">
        <v>39</v>
      </c>
      <c r="C1114" s="26">
        <v>105</v>
      </c>
      <c r="D1114" s="26" t="s">
        <v>1411</v>
      </c>
      <c r="E1114" s="26" t="s">
        <v>1360</v>
      </c>
      <c r="F1114" s="26" t="s">
        <v>1728</v>
      </c>
      <c r="G1114" s="26">
        <f t="shared" si="17"/>
        <v>-51353.01</v>
      </c>
    </row>
    <row r="1115" spans="1:7" x14ac:dyDescent="0.2">
      <c r="A1115" s="26">
        <v>65</v>
      </c>
      <c r="B1115" s="26">
        <v>40</v>
      </c>
      <c r="C1115" s="26">
        <v>105</v>
      </c>
      <c r="D1115" s="26" t="s">
        <v>1412</v>
      </c>
      <c r="E1115" s="26" t="s">
        <v>1315</v>
      </c>
      <c r="F1115" s="26" t="s">
        <v>1723</v>
      </c>
      <c r="G1115" s="26">
        <f t="shared" si="17"/>
        <v>-62364.01</v>
      </c>
    </row>
    <row r="1116" spans="1:7" x14ac:dyDescent="0.2">
      <c r="A1116" s="26">
        <v>64</v>
      </c>
      <c r="B1116" s="26">
        <v>41</v>
      </c>
      <c r="C1116" s="26">
        <v>105</v>
      </c>
      <c r="D1116" s="26" t="s">
        <v>1413</v>
      </c>
      <c r="E1116" s="26">
        <v>-70852.653000000006</v>
      </c>
      <c r="F1116" s="26">
        <v>99.799000000000007</v>
      </c>
      <c r="G1116" s="26">
        <f t="shared" si="17"/>
        <v>-70852.653000000006</v>
      </c>
    </row>
    <row r="1117" spans="1:7" x14ac:dyDescent="0.2">
      <c r="A1117" s="26">
        <v>63</v>
      </c>
      <c r="B1117" s="26">
        <v>42</v>
      </c>
      <c r="C1117" s="26">
        <v>105</v>
      </c>
      <c r="D1117" s="26" t="s">
        <v>1414</v>
      </c>
      <c r="E1117" s="26">
        <v>-77337.653000000006</v>
      </c>
      <c r="F1117" s="26">
        <v>71.132999999999996</v>
      </c>
      <c r="G1117" s="26">
        <f t="shared" si="17"/>
        <v>-77337.653000000006</v>
      </c>
    </row>
    <row r="1118" spans="1:7" x14ac:dyDescent="0.2">
      <c r="A1118" s="26">
        <v>62</v>
      </c>
      <c r="B1118" s="26">
        <v>43</v>
      </c>
      <c r="C1118" s="26">
        <v>105</v>
      </c>
      <c r="D1118" s="26" t="s">
        <v>1415</v>
      </c>
      <c r="E1118" s="26">
        <v>-82287.653000000006</v>
      </c>
      <c r="F1118" s="26">
        <v>55.088999999999999</v>
      </c>
      <c r="G1118" s="26">
        <f t="shared" si="17"/>
        <v>-82287.653000000006</v>
      </c>
    </row>
    <row r="1119" spans="1:7" x14ac:dyDescent="0.2">
      <c r="A1119" s="26">
        <v>61</v>
      </c>
      <c r="B1119" s="26">
        <v>44</v>
      </c>
      <c r="C1119" s="26">
        <v>105</v>
      </c>
      <c r="D1119" s="26" t="s">
        <v>1416</v>
      </c>
      <c r="E1119" s="26">
        <v>-85927.653000000006</v>
      </c>
      <c r="F1119" s="26">
        <v>3.1379999999999999</v>
      </c>
      <c r="G1119" s="26">
        <f t="shared" si="17"/>
        <v>-85927.653000000006</v>
      </c>
    </row>
    <row r="1120" spans="1:7" x14ac:dyDescent="0.2">
      <c r="A1120" s="26">
        <v>60</v>
      </c>
      <c r="B1120" s="26">
        <v>45</v>
      </c>
      <c r="C1120" s="26">
        <v>105</v>
      </c>
      <c r="D1120" s="26" t="s">
        <v>1417</v>
      </c>
      <c r="E1120" s="26">
        <v>-87845.641000000003</v>
      </c>
      <c r="F1120" s="26">
        <v>4.0270000000000001</v>
      </c>
      <c r="G1120" s="26">
        <f t="shared" si="17"/>
        <v>-87845.641000000003</v>
      </c>
    </row>
    <row r="1121" spans="1:7" x14ac:dyDescent="0.2">
      <c r="A1121" s="26">
        <v>59</v>
      </c>
      <c r="B1121" s="26">
        <v>46</v>
      </c>
      <c r="C1121" s="26">
        <v>105</v>
      </c>
      <c r="D1121" s="26" t="s">
        <v>1418</v>
      </c>
      <c r="E1121" s="26">
        <v>-88412.827999999994</v>
      </c>
      <c r="F1121" s="26">
        <v>4.0730000000000004</v>
      </c>
      <c r="G1121" s="26">
        <f t="shared" si="17"/>
        <v>-88412.827999999994</v>
      </c>
    </row>
    <row r="1122" spans="1:7" x14ac:dyDescent="0.2">
      <c r="A1122" s="26">
        <v>58</v>
      </c>
      <c r="B1122" s="26">
        <v>47</v>
      </c>
      <c r="C1122" s="26">
        <v>105</v>
      </c>
      <c r="D1122" s="26" t="s">
        <v>1419</v>
      </c>
      <c r="E1122" s="26">
        <v>-87067.991999999998</v>
      </c>
      <c r="F1122" s="26">
        <v>10.981999999999999</v>
      </c>
      <c r="G1122" s="26">
        <f t="shared" si="17"/>
        <v>-87067.991999999998</v>
      </c>
    </row>
    <row r="1123" spans="1:7" x14ac:dyDescent="0.2">
      <c r="A1123" s="26">
        <v>57</v>
      </c>
      <c r="B1123" s="26">
        <v>48</v>
      </c>
      <c r="C1123" s="26">
        <v>105</v>
      </c>
      <c r="D1123" s="26" t="s">
        <v>1420</v>
      </c>
      <c r="E1123" s="26">
        <v>-84330.103000000003</v>
      </c>
      <c r="F1123" s="26">
        <v>11.548999999999999</v>
      </c>
      <c r="G1123" s="26">
        <f t="shared" si="17"/>
        <v>-84330.103000000003</v>
      </c>
    </row>
    <row r="1124" spans="1:7" x14ac:dyDescent="0.2">
      <c r="A1124" s="26">
        <v>56</v>
      </c>
      <c r="B1124" s="26">
        <v>49</v>
      </c>
      <c r="C1124" s="26">
        <v>105</v>
      </c>
      <c r="D1124" s="26" t="s">
        <v>1421</v>
      </c>
      <c r="E1124" s="26">
        <v>-79481.085000000006</v>
      </c>
      <c r="F1124" s="26">
        <v>17.347999999999999</v>
      </c>
      <c r="G1124" s="26">
        <f t="shared" si="17"/>
        <v>-79481.085000000006</v>
      </c>
    </row>
    <row r="1125" spans="1:7" x14ac:dyDescent="0.2">
      <c r="A1125" s="26">
        <v>55</v>
      </c>
      <c r="B1125" s="26">
        <v>50</v>
      </c>
      <c r="C1125" s="26">
        <v>105</v>
      </c>
      <c r="D1125" s="26" t="s">
        <v>1422</v>
      </c>
      <c r="E1125" s="26">
        <v>-73262.528000000006</v>
      </c>
      <c r="F1125" s="26">
        <v>80.585999999999999</v>
      </c>
      <c r="G1125" s="26">
        <f t="shared" si="17"/>
        <v>-73262.528000000006</v>
      </c>
    </row>
    <row r="1126" spans="1:7" x14ac:dyDescent="0.2">
      <c r="A1126" s="26">
        <v>54</v>
      </c>
      <c r="B1126" s="26">
        <v>51</v>
      </c>
      <c r="C1126" s="26">
        <v>105</v>
      </c>
      <c r="D1126" s="26" t="s">
        <v>1423</v>
      </c>
      <c r="E1126" s="26">
        <v>-63820.055999999997</v>
      </c>
      <c r="F1126" s="26">
        <v>104.90300000000001</v>
      </c>
      <c r="G1126" s="26">
        <f t="shared" si="17"/>
        <v>-63820.055999999997</v>
      </c>
    </row>
    <row r="1127" spans="1:7" x14ac:dyDescent="0.2">
      <c r="A1127" s="26">
        <v>53</v>
      </c>
      <c r="B1127" s="26">
        <v>52</v>
      </c>
      <c r="C1127" s="26">
        <v>105</v>
      </c>
      <c r="D1127" s="26" t="s">
        <v>1424</v>
      </c>
      <c r="E1127" s="26" t="s">
        <v>1097</v>
      </c>
      <c r="F1127" s="26" t="s">
        <v>1728</v>
      </c>
      <c r="G1127" s="26">
        <f t="shared" si="17"/>
        <v>-52499.01</v>
      </c>
    </row>
    <row r="1128" spans="1:7" x14ac:dyDescent="0.2">
      <c r="A1128" s="26">
        <v>67</v>
      </c>
      <c r="B1128" s="26">
        <v>39</v>
      </c>
      <c r="C1128" s="26">
        <v>106</v>
      </c>
      <c r="D1128" s="26" t="s">
        <v>1411</v>
      </c>
      <c r="E1128" s="26" t="s">
        <v>1361</v>
      </c>
      <c r="F1128" s="26" t="s">
        <v>1508</v>
      </c>
      <c r="G1128" s="26">
        <f t="shared" si="17"/>
        <v>-46770.01</v>
      </c>
    </row>
    <row r="1129" spans="1:7" x14ac:dyDescent="0.2">
      <c r="A1129" s="26">
        <v>66</v>
      </c>
      <c r="B1129" s="26">
        <v>40</v>
      </c>
      <c r="C1129" s="26">
        <v>106</v>
      </c>
      <c r="D1129" s="26" t="s">
        <v>1412</v>
      </c>
      <c r="E1129" s="26" t="s">
        <v>1602</v>
      </c>
      <c r="F1129" s="26" t="s">
        <v>1728</v>
      </c>
      <c r="G1129" s="26">
        <f t="shared" si="17"/>
        <v>-59699.01</v>
      </c>
    </row>
    <row r="1130" spans="1:7" x14ac:dyDescent="0.2">
      <c r="A1130" s="26">
        <v>65</v>
      </c>
      <c r="B1130" s="26">
        <v>41</v>
      </c>
      <c r="C1130" s="26">
        <v>106</v>
      </c>
      <c r="D1130" s="26" t="s">
        <v>1413</v>
      </c>
      <c r="E1130" s="26" t="s">
        <v>1331</v>
      </c>
      <c r="F1130" s="26" t="s">
        <v>1480</v>
      </c>
      <c r="G1130" s="26">
        <f t="shared" si="17"/>
        <v>-67096.009999999995</v>
      </c>
    </row>
    <row r="1131" spans="1:7" x14ac:dyDescent="0.2">
      <c r="A1131" s="26">
        <v>64</v>
      </c>
      <c r="B1131" s="26">
        <v>42</v>
      </c>
      <c r="C1131" s="26">
        <v>106</v>
      </c>
      <c r="D1131" s="26" t="s">
        <v>1414</v>
      </c>
      <c r="E1131" s="26">
        <v>-76255.077999999994</v>
      </c>
      <c r="F1131" s="26">
        <v>17.948</v>
      </c>
      <c r="G1131" s="26">
        <f t="shared" si="17"/>
        <v>-76255.077999999994</v>
      </c>
    </row>
    <row r="1132" spans="1:7" x14ac:dyDescent="0.2">
      <c r="A1132" s="26">
        <v>63</v>
      </c>
      <c r="B1132" s="26">
        <v>43</v>
      </c>
      <c r="C1132" s="26">
        <v>106</v>
      </c>
      <c r="D1132" s="26" t="s">
        <v>1415</v>
      </c>
      <c r="E1132" s="26">
        <v>-79775.077999999994</v>
      </c>
      <c r="F1132" s="26">
        <v>13.327999999999999</v>
      </c>
      <c r="G1132" s="26">
        <f t="shared" si="17"/>
        <v>-79775.077999999994</v>
      </c>
    </row>
    <row r="1133" spans="1:7" x14ac:dyDescent="0.2">
      <c r="A1133" s="26">
        <v>62</v>
      </c>
      <c r="B1133" s="26">
        <v>44</v>
      </c>
      <c r="C1133" s="26">
        <v>106</v>
      </c>
      <c r="D1133" s="26" t="s">
        <v>1416</v>
      </c>
      <c r="E1133" s="26">
        <v>-86322.077999999994</v>
      </c>
      <c r="F1133" s="26">
        <v>7.5250000000000004</v>
      </c>
      <c r="G1133" s="26">
        <f t="shared" si="17"/>
        <v>-86322.077999999994</v>
      </c>
    </row>
    <row r="1134" spans="1:7" x14ac:dyDescent="0.2">
      <c r="A1134" s="26">
        <v>61</v>
      </c>
      <c r="B1134" s="26">
        <v>45</v>
      </c>
      <c r="C1134" s="26">
        <v>106</v>
      </c>
      <c r="D1134" s="26" t="s">
        <v>1417</v>
      </c>
      <c r="E1134" s="26">
        <v>-86361.478000000003</v>
      </c>
      <c r="F1134" s="26">
        <v>7.5220000000000002</v>
      </c>
      <c r="G1134" s="26">
        <f t="shared" si="17"/>
        <v>-86361.478000000003</v>
      </c>
    </row>
    <row r="1135" spans="1:7" x14ac:dyDescent="0.2">
      <c r="A1135" s="26">
        <v>60</v>
      </c>
      <c r="B1135" s="26">
        <v>46</v>
      </c>
      <c r="C1135" s="26">
        <v>106</v>
      </c>
      <c r="D1135" s="26" t="s">
        <v>1418</v>
      </c>
      <c r="E1135" s="26">
        <v>-89902.478000000003</v>
      </c>
      <c r="F1135" s="26">
        <v>4.0730000000000004</v>
      </c>
      <c r="G1135" s="26">
        <f t="shared" si="17"/>
        <v>-89902.478000000003</v>
      </c>
    </row>
    <row r="1136" spans="1:7" x14ac:dyDescent="0.2">
      <c r="A1136" s="26">
        <v>59</v>
      </c>
      <c r="B1136" s="26">
        <v>47</v>
      </c>
      <c r="C1136" s="26">
        <v>106</v>
      </c>
      <c r="D1136" s="26" t="s">
        <v>1419</v>
      </c>
      <c r="E1136" s="26">
        <v>-86937.34</v>
      </c>
      <c r="F1136" s="26">
        <v>4.9130000000000003</v>
      </c>
      <c r="G1136" s="26">
        <f t="shared" si="17"/>
        <v>-86937.34</v>
      </c>
    </row>
    <row r="1137" spans="1:7" x14ac:dyDescent="0.2">
      <c r="A1137" s="26">
        <v>58</v>
      </c>
      <c r="B1137" s="26">
        <v>48</v>
      </c>
      <c r="C1137" s="26">
        <v>106</v>
      </c>
      <c r="D1137" s="26" t="s">
        <v>1420</v>
      </c>
      <c r="E1137" s="26">
        <v>-87132.498999999996</v>
      </c>
      <c r="F1137" s="26">
        <v>5.931</v>
      </c>
      <c r="G1137" s="26">
        <f t="shared" si="17"/>
        <v>-87132.498999999996</v>
      </c>
    </row>
    <row r="1138" spans="1:7" x14ac:dyDescent="0.2">
      <c r="A1138" s="26">
        <v>57</v>
      </c>
      <c r="B1138" s="26">
        <v>49</v>
      </c>
      <c r="C1138" s="26">
        <v>106</v>
      </c>
      <c r="D1138" s="26" t="s">
        <v>1421</v>
      </c>
      <c r="E1138" s="26">
        <v>-80606.451000000001</v>
      </c>
      <c r="F1138" s="26">
        <v>12.333</v>
      </c>
      <c r="G1138" s="26">
        <f t="shared" si="17"/>
        <v>-80606.451000000001</v>
      </c>
    </row>
    <row r="1139" spans="1:7" x14ac:dyDescent="0.2">
      <c r="A1139" s="26">
        <v>56</v>
      </c>
      <c r="B1139" s="26">
        <v>50</v>
      </c>
      <c r="C1139" s="26">
        <v>106</v>
      </c>
      <c r="D1139" s="26" t="s">
        <v>1422</v>
      </c>
      <c r="E1139" s="26">
        <v>-77425.203999999998</v>
      </c>
      <c r="F1139" s="26">
        <v>50.287999999999997</v>
      </c>
      <c r="G1139" s="26">
        <f t="shared" si="17"/>
        <v>-77425.203999999998</v>
      </c>
    </row>
    <row r="1140" spans="1:7" x14ac:dyDescent="0.2">
      <c r="A1140" s="26">
        <v>55</v>
      </c>
      <c r="B1140" s="26">
        <v>51</v>
      </c>
      <c r="C1140" s="26">
        <v>106</v>
      </c>
      <c r="D1140" s="26" t="s">
        <v>1423</v>
      </c>
      <c r="E1140" s="26" t="s">
        <v>1362</v>
      </c>
      <c r="F1140" s="26" t="s">
        <v>1316</v>
      </c>
      <c r="G1140" s="26">
        <f t="shared" si="17"/>
        <v>-66330.009999999995</v>
      </c>
    </row>
    <row r="1141" spans="1:7" x14ac:dyDescent="0.2">
      <c r="A1141" s="26">
        <v>54</v>
      </c>
      <c r="B1141" s="26">
        <v>52</v>
      </c>
      <c r="C1141" s="26">
        <v>106</v>
      </c>
      <c r="D1141" s="26" t="s">
        <v>1424</v>
      </c>
      <c r="E1141" s="26">
        <v>-58214.428999999996</v>
      </c>
      <c r="F1141" s="26">
        <v>132.15199999999999</v>
      </c>
      <c r="G1141" s="26">
        <f t="shared" si="17"/>
        <v>-58214.428999999996</v>
      </c>
    </row>
    <row r="1142" spans="1:7" x14ac:dyDescent="0.2">
      <c r="A1142" s="26">
        <v>68</v>
      </c>
      <c r="B1142" s="26">
        <v>39</v>
      </c>
      <c r="C1142" s="26">
        <v>107</v>
      </c>
      <c r="D1142" s="26" t="s">
        <v>1411</v>
      </c>
      <c r="E1142" s="26" t="s">
        <v>1363</v>
      </c>
      <c r="F1142" s="26" t="s">
        <v>1728</v>
      </c>
      <c r="G1142" s="26">
        <f t="shared" si="17"/>
        <v>-42718.01</v>
      </c>
    </row>
    <row r="1143" spans="1:7" x14ac:dyDescent="0.2">
      <c r="A1143" s="26">
        <v>67</v>
      </c>
      <c r="B1143" s="26">
        <v>40</v>
      </c>
      <c r="C1143" s="26">
        <v>107</v>
      </c>
      <c r="D1143" s="26" t="s">
        <v>1412</v>
      </c>
      <c r="E1143" s="26" t="s">
        <v>1364</v>
      </c>
      <c r="F1143" s="26" t="s">
        <v>1730</v>
      </c>
      <c r="G1143" s="26">
        <f t="shared" si="17"/>
        <v>-55191.01</v>
      </c>
    </row>
    <row r="1144" spans="1:7" x14ac:dyDescent="0.2">
      <c r="A1144" s="26">
        <v>66</v>
      </c>
      <c r="B1144" s="26">
        <v>41</v>
      </c>
      <c r="C1144" s="26">
        <v>107</v>
      </c>
      <c r="D1144" s="26" t="s">
        <v>1413</v>
      </c>
      <c r="E1144" s="26" t="s">
        <v>1317</v>
      </c>
      <c r="F1144" s="26" t="s">
        <v>1723</v>
      </c>
      <c r="G1144" s="26">
        <f t="shared" si="17"/>
        <v>-64916.01</v>
      </c>
    </row>
    <row r="1145" spans="1:7" x14ac:dyDescent="0.2">
      <c r="A1145" s="26">
        <v>65</v>
      </c>
      <c r="B1145" s="26">
        <v>42</v>
      </c>
      <c r="C1145" s="26">
        <v>107</v>
      </c>
      <c r="D1145" s="26" t="s">
        <v>1414</v>
      </c>
      <c r="E1145" s="26">
        <v>-72942.869000000006</v>
      </c>
      <c r="F1145" s="26">
        <v>161.62700000000001</v>
      </c>
      <c r="G1145" s="26">
        <f t="shared" si="17"/>
        <v>-72942.869000000006</v>
      </c>
    </row>
    <row r="1146" spans="1:7" x14ac:dyDescent="0.2">
      <c r="A1146" s="26">
        <v>64</v>
      </c>
      <c r="B1146" s="26">
        <v>43</v>
      </c>
      <c r="C1146" s="26">
        <v>107</v>
      </c>
      <c r="D1146" s="26" t="s">
        <v>1415</v>
      </c>
      <c r="E1146" s="26">
        <v>-79102.869000000006</v>
      </c>
      <c r="F1146" s="26">
        <v>150.077</v>
      </c>
      <c r="G1146" s="26">
        <f t="shared" si="17"/>
        <v>-79102.869000000006</v>
      </c>
    </row>
    <row r="1147" spans="1:7" x14ac:dyDescent="0.2">
      <c r="A1147" s="26">
        <v>63</v>
      </c>
      <c r="B1147" s="26">
        <v>44</v>
      </c>
      <c r="C1147" s="26">
        <v>107</v>
      </c>
      <c r="D1147" s="26" t="s">
        <v>1416</v>
      </c>
      <c r="E1147" s="26">
        <v>-83922.869000000006</v>
      </c>
      <c r="F1147" s="26">
        <v>123.68600000000001</v>
      </c>
      <c r="G1147" s="26">
        <f t="shared" si="17"/>
        <v>-83922.869000000006</v>
      </c>
    </row>
    <row r="1148" spans="1:7" x14ac:dyDescent="0.2">
      <c r="A1148" s="26">
        <v>62</v>
      </c>
      <c r="B1148" s="26">
        <v>45</v>
      </c>
      <c r="C1148" s="26">
        <v>107</v>
      </c>
      <c r="D1148" s="26" t="s">
        <v>1417</v>
      </c>
      <c r="E1148" s="26">
        <v>-86863.285000000003</v>
      </c>
      <c r="F1148" s="26">
        <v>11.929</v>
      </c>
      <c r="G1148" s="26">
        <f t="shared" si="17"/>
        <v>-86863.285000000003</v>
      </c>
    </row>
    <row r="1149" spans="1:7" x14ac:dyDescent="0.2">
      <c r="A1149" s="26">
        <v>61</v>
      </c>
      <c r="B1149" s="26">
        <v>46</v>
      </c>
      <c r="C1149" s="26">
        <v>107</v>
      </c>
      <c r="D1149" s="26" t="s">
        <v>1418</v>
      </c>
      <c r="E1149" s="26">
        <v>-88367.593999999997</v>
      </c>
      <c r="F1149" s="26">
        <v>4.0830000000000002</v>
      </c>
      <c r="G1149" s="26">
        <f t="shared" si="17"/>
        <v>-88367.593999999997</v>
      </c>
    </row>
    <row r="1150" spans="1:7" x14ac:dyDescent="0.2">
      <c r="A1150" s="26">
        <v>60</v>
      </c>
      <c r="B1150" s="26">
        <v>47</v>
      </c>
      <c r="C1150" s="26">
        <v>107</v>
      </c>
      <c r="D1150" s="26" t="s">
        <v>1419</v>
      </c>
      <c r="E1150" s="26">
        <v>-88401.743000000002</v>
      </c>
      <c r="F1150" s="26">
        <v>4.2709999999999999</v>
      </c>
      <c r="G1150" s="26">
        <f t="shared" si="17"/>
        <v>-88401.743000000002</v>
      </c>
    </row>
    <row r="1151" spans="1:7" x14ac:dyDescent="0.2">
      <c r="A1151" s="26">
        <v>59</v>
      </c>
      <c r="B1151" s="26">
        <v>48</v>
      </c>
      <c r="C1151" s="26">
        <v>107</v>
      </c>
      <c r="D1151" s="26" t="s">
        <v>1420</v>
      </c>
      <c r="E1151" s="26">
        <v>-86984.841</v>
      </c>
      <c r="F1151" s="26">
        <v>5.7729999999999997</v>
      </c>
      <c r="G1151" s="26">
        <f t="shared" si="17"/>
        <v>-86984.841</v>
      </c>
    </row>
    <row r="1152" spans="1:7" x14ac:dyDescent="0.2">
      <c r="A1152" s="26">
        <v>58</v>
      </c>
      <c r="B1152" s="26">
        <v>49</v>
      </c>
      <c r="C1152" s="26">
        <v>107</v>
      </c>
      <c r="D1152" s="26" t="s">
        <v>1421</v>
      </c>
      <c r="E1152" s="26">
        <v>-83559.577000000005</v>
      </c>
      <c r="F1152" s="26">
        <v>11.391</v>
      </c>
      <c r="G1152" s="26">
        <f t="shared" si="17"/>
        <v>-83559.577000000005</v>
      </c>
    </row>
    <row r="1153" spans="1:7" x14ac:dyDescent="0.2">
      <c r="A1153" s="26">
        <v>57</v>
      </c>
      <c r="B1153" s="26">
        <v>50</v>
      </c>
      <c r="C1153" s="26">
        <v>107</v>
      </c>
      <c r="D1153" s="26" t="s">
        <v>1422</v>
      </c>
      <c r="E1153" s="26">
        <v>-78576.801000000007</v>
      </c>
      <c r="F1153" s="26">
        <v>83.433999999999997</v>
      </c>
      <c r="G1153" s="26">
        <f t="shared" si="17"/>
        <v>-78576.801000000007</v>
      </c>
    </row>
    <row r="1154" spans="1:7" x14ac:dyDescent="0.2">
      <c r="A1154" s="26">
        <v>56</v>
      </c>
      <c r="B1154" s="26">
        <v>51</v>
      </c>
      <c r="C1154" s="26">
        <v>107</v>
      </c>
      <c r="D1154" s="26" t="s">
        <v>1423</v>
      </c>
      <c r="E1154" s="26" t="s">
        <v>1318</v>
      </c>
      <c r="F1154" s="26" t="s">
        <v>1730</v>
      </c>
      <c r="G1154" s="26">
        <f t="shared" si="17"/>
        <v>-70654.009999999995</v>
      </c>
    </row>
    <row r="1155" spans="1:7" x14ac:dyDescent="0.2">
      <c r="A1155" s="26">
        <v>55</v>
      </c>
      <c r="B1155" s="26">
        <v>52</v>
      </c>
      <c r="C1155" s="26">
        <v>107</v>
      </c>
      <c r="D1155" s="26" t="s">
        <v>1424</v>
      </c>
      <c r="E1155" s="26" t="s">
        <v>1365</v>
      </c>
      <c r="F1155" s="26" t="s">
        <v>1730</v>
      </c>
      <c r="G1155" s="26">
        <f t="shared" si="17"/>
        <v>-60541.01</v>
      </c>
    </row>
    <row r="1156" spans="1:7" x14ac:dyDescent="0.2">
      <c r="A1156" s="26">
        <v>69</v>
      </c>
      <c r="B1156" s="26">
        <v>39</v>
      </c>
      <c r="C1156" s="26">
        <v>108</v>
      </c>
      <c r="D1156" s="26" t="s">
        <v>1411</v>
      </c>
      <c r="E1156" s="26" t="s">
        <v>1366</v>
      </c>
      <c r="F1156" s="26" t="s">
        <v>1725</v>
      </c>
      <c r="G1156" s="26">
        <f t="shared" si="17"/>
        <v>-37744.01</v>
      </c>
    </row>
    <row r="1157" spans="1:7" x14ac:dyDescent="0.2">
      <c r="A1157" s="26">
        <v>68</v>
      </c>
      <c r="B1157" s="26">
        <v>40</v>
      </c>
      <c r="C1157" s="26">
        <v>108</v>
      </c>
      <c r="D1157" s="26" t="s">
        <v>1412</v>
      </c>
      <c r="E1157" s="26" t="s">
        <v>1367</v>
      </c>
      <c r="F1157" s="26" t="s">
        <v>1505</v>
      </c>
      <c r="G1157" s="26">
        <f t="shared" si="17"/>
        <v>-52201.01</v>
      </c>
    </row>
    <row r="1158" spans="1:7" x14ac:dyDescent="0.2">
      <c r="A1158" s="26">
        <v>67</v>
      </c>
      <c r="B1158" s="26">
        <v>41</v>
      </c>
      <c r="C1158" s="26">
        <v>108</v>
      </c>
      <c r="D1158" s="26" t="s">
        <v>1413</v>
      </c>
      <c r="E1158" s="26" t="s">
        <v>1368</v>
      </c>
      <c r="F1158" s="26" t="s">
        <v>1730</v>
      </c>
      <c r="G1158" s="26">
        <f t="shared" si="17"/>
        <v>-60696.01</v>
      </c>
    </row>
    <row r="1159" spans="1:7" x14ac:dyDescent="0.2">
      <c r="A1159" s="26">
        <v>66</v>
      </c>
      <c r="B1159" s="26">
        <v>42</v>
      </c>
      <c r="C1159" s="26">
        <v>108</v>
      </c>
      <c r="D1159" s="26" t="s">
        <v>1414</v>
      </c>
      <c r="E1159" s="26" t="s">
        <v>1064</v>
      </c>
      <c r="F1159" s="26" t="s">
        <v>1480</v>
      </c>
      <c r="G1159" s="26">
        <f t="shared" si="17"/>
        <v>-71303.009999999995</v>
      </c>
    </row>
    <row r="1160" spans="1:7" x14ac:dyDescent="0.2">
      <c r="A1160" s="26">
        <v>65</v>
      </c>
      <c r="B1160" s="26">
        <v>43</v>
      </c>
      <c r="C1160" s="26">
        <v>108</v>
      </c>
      <c r="D1160" s="26" t="s">
        <v>1415</v>
      </c>
      <c r="E1160" s="26">
        <v>-75952.879000000001</v>
      </c>
      <c r="F1160" s="26">
        <v>126.467</v>
      </c>
      <c r="G1160" s="26">
        <f t="shared" si="17"/>
        <v>-75952.879000000001</v>
      </c>
    </row>
    <row r="1161" spans="1:7" x14ac:dyDescent="0.2">
      <c r="A1161" s="26">
        <v>64</v>
      </c>
      <c r="B1161" s="26">
        <v>44</v>
      </c>
      <c r="C1161" s="26">
        <v>108</v>
      </c>
      <c r="D1161" s="26" t="s">
        <v>1416</v>
      </c>
      <c r="E1161" s="26">
        <v>-83672.879000000001</v>
      </c>
      <c r="F1161" s="26">
        <v>116.163</v>
      </c>
      <c r="G1161" s="26">
        <f t="shared" si="17"/>
        <v>-83672.879000000001</v>
      </c>
    </row>
    <row r="1162" spans="1:7" x14ac:dyDescent="0.2">
      <c r="A1162" s="26">
        <v>63</v>
      </c>
      <c r="B1162" s="26">
        <v>45</v>
      </c>
      <c r="C1162" s="26">
        <v>108</v>
      </c>
      <c r="D1162" s="26" t="s">
        <v>1417</v>
      </c>
      <c r="E1162" s="26">
        <v>-85019.304000000004</v>
      </c>
      <c r="F1162" s="26">
        <v>105.056</v>
      </c>
      <c r="G1162" s="26">
        <f t="shared" ref="G1162:G1225" si="18">IF(ISNUMBER(E1162),E1162,VALUE(SUBSTITUTE(E1162,"#",".01")))</f>
        <v>-85019.304000000004</v>
      </c>
    </row>
    <row r="1163" spans="1:7" x14ac:dyDescent="0.2">
      <c r="A1163" s="26">
        <v>62</v>
      </c>
      <c r="B1163" s="26">
        <v>46</v>
      </c>
      <c r="C1163" s="26">
        <v>108</v>
      </c>
      <c r="D1163" s="26" t="s">
        <v>1418</v>
      </c>
      <c r="E1163" s="26">
        <v>-89524.304000000004</v>
      </c>
      <c r="F1163" s="26">
        <v>3.4420000000000002</v>
      </c>
      <c r="G1163" s="26">
        <f t="shared" si="18"/>
        <v>-89524.304000000004</v>
      </c>
    </row>
    <row r="1164" spans="1:7" x14ac:dyDescent="0.2">
      <c r="A1164" s="26">
        <v>61</v>
      </c>
      <c r="B1164" s="26">
        <v>47</v>
      </c>
      <c r="C1164" s="26">
        <v>108</v>
      </c>
      <c r="D1164" s="26" t="s">
        <v>1419</v>
      </c>
      <c r="E1164" s="26">
        <v>-87601.835999999996</v>
      </c>
      <c r="F1164" s="26">
        <v>4.274</v>
      </c>
      <c r="G1164" s="26">
        <f t="shared" si="18"/>
        <v>-87601.835999999996</v>
      </c>
    </row>
    <row r="1165" spans="1:7" x14ac:dyDescent="0.2">
      <c r="A1165" s="26">
        <v>60</v>
      </c>
      <c r="B1165" s="26">
        <v>48</v>
      </c>
      <c r="C1165" s="26">
        <v>108</v>
      </c>
      <c r="D1165" s="26" t="s">
        <v>1420</v>
      </c>
      <c r="E1165" s="26">
        <v>-89252.324999999997</v>
      </c>
      <c r="F1165" s="26">
        <v>5.5659999999999998</v>
      </c>
      <c r="G1165" s="26">
        <f t="shared" si="18"/>
        <v>-89252.324999999997</v>
      </c>
    </row>
    <row r="1166" spans="1:7" x14ac:dyDescent="0.2">
      <c r="A1166" s="26">
        <v>59</v>
      </c>
      <c r="B1166" s="26">
        <v>49</v>
      </c>
      <c r="C1166" s="26">
        <v>108</v>
      </c>
      <c r="D1166" s="26" t="s">
        <v>1421</v>
      </c>
      <c r="E1166" s="26">
        <v>-84115.603000000003</v>
      </c>
      <c r="F1166" s="26">
        <v>9.7490000000000006</v>
      </c>
      <c r="G1166" s="26">
        <f t="shared" si="18"/>
        <v>-84115.603000000003</v>
      </c>
    </row>
    <row r="1167" spans="1:7" x14ac:dyDescent="0.2">
      <c r="A1167" s="26">
        <v>58</v>
      </c>
      <c r="B1167" s="26">
        <v>50</v>
      </c>
      <c r="C1167" s="26">
        <v>108</v>
      </c>
      <c r="D1167" s="26" t="s">
        <v>1422</v>
      </c>
      <c r="E1167" s="26">
        <v>-82040.982999999993</v>
      </c>
      <c r="F1167" s="26">
        <v>19.853999999999999</v>
      </c>
      <c r="G1167" s="26">
        <f t="shared" si="18"/>
        <v>-82040.982999999993</v>
      </c>
    </row>
    <row r="1168" spans="1:7" x14ac:dyDescent="0.2">
      <c r="A1168" s="26">
        <v>57</v>
      </c>
      <c r="B1168" s="26">
        <v>51</v>
      </c>
      <c r="C1168" s="26">
        <v>108</v>
      </c>
      <c r="D1168" s="26" t="s">
        <v>1423</v>
      </c>
      <c r="E1168" s="26" t="s">
        <v>1319</v>
      </c>
      <c r="F1168" s="26" t="s">
        <v>1306</v>
      </c>
      <c r="G1168" s="26">
        <f t="shared" si="18"/>
        <v>-72507.009999999995</v>
      </c>
    </row>
    <row r="1169" spans="1:7" x14ac:dyDescent="0.2">
      <c r="A1169" s="26">
        <v>56</v>
      </c>
      <c r="B1169" s="26">
        <v>52</v>
      </c>
      <c r="C1169" s="26">
        <v>108</v>
      </c>
      <c r="D1169" s="26" t="s">
        <v>1424</v>
      </c>
      <c r="E1169" s="26">
        <v>-65721.934999999998</v>
      </c>
      <c r="F1169" s="26">
        <v>103.908</v>
      </c>
      <c r="G1169" s="26">
        <f t="shared" si="18"/>
        <v>-65721.934999999998</v>
      </c>
    </row>
    <row r="1170" spans="1:7" x14ac:dyDescent="0.2">
      <c r="A1170" s="26">
        <v>55</v>
      </c>
      <c r="B1170" s="26">
        <v>53</v>
      </c>
      <c r="C1170" s="26">
        <v>108</v>
      </c>
      <c r="D1170" s="26" t="s">
        <v>1425</v>
      </c>
      <c r="E1170" s="26" t="s">
        <v>1065</v>
      </c>
      <c r="F1170" s="26" t="s">
        <v>1320</v>
      </c>
      <c r="G1170" s="26">
        <f t="shared" si="18"/>
        <v>-52652.01</v>
      </c>
    </row>
    <row r="1171" spans="1:7" x14ac:dyDescent="0.2">
      <c r="A1171" s="26">
        <v>69</v>
      </c>
      <c r="B1171" s="26">
        <v>40</v>
      </c>
      <c r="C1171" s="26">
        <v>109</v>
      </c>
      <c r="D1171" s="26" t="s">
        <v>1412</v>
      </c>
      <c r="E1171" s="26" t="s">
        <v>1066</v>
      </c>
      <c r="F1171" s="26" t="s">
        <v>1728</v>
      </c>
      <c r="G1171" s="26">
        <f t="shared" si="18"/>
        <v>-47283.01</v>
      </c>
    </row>
    <row r="1172" spans="1:7" x14ac:dyDescent="0.2">
      <c r="A1172" s="26">
        <v>68</v>
      </c>
      <c r="B1172" s="26">
        <v>41</v>
      </c>
      <c r="C1172" s="26">
        <v>109</v>
      </c>
      <c r="D1172" s="26" t="s">
        <v>1413</v>
      </c>
      <c r="E1172" s="26" t="s">
        <v>1321</v>
      </c>
      <c r="F1172" s="26" t="s">
        <v>1728</v>
      </c>
      <c r="G1172" s="26">
        <f t="shared" si="18"/>
        <v>-58097.01</v>
      </c>
    </row>
    <row r="1173" spans="1:7" x14ac:dyDescent="0.2">
      <c r="A1173" s="26">
        <v>67</v>
      </c>
      <c r="B1173" s="26">
        <v>42</v>
      </c>
      <c r="C1173" s="26">
        <v>109</v>
      </c>
      <c r="D1173" s="26" t="s">
        <v>1414</v>
      </c>
      <c r="E1173" s="26" t="s">
        <v>1322</v>
      </c>
      <c r="F1173" s="26" t="s">
        <v>1730</v>
      </c>
      <c r="G1173" s="26">
        <f t="shared" si="18"/>
        <v>-67245.009999999995</v>
      </c>
    </row>
    <row r="1174" spans="1:7" x14ac:dyDescent="0.2">
      <c r="A1174" s="26">
        <v>66</v>
      </c>
      <c r="B1174" s="26">
        <v>43</v>
      </c>
      <c r="C1174" s="26">
        <v>109</v>
      </c>
      <c r="D1174" s="26" t="s">
        <v>1415</v>
      </c>
      <c r="E1174" s="26">
        <v>-74535.668000000005</v>
      </c>
      <c r="F1174" s="26">
        <v>96.272000000000006</v>
      </c>
      <c r="G1174" s="26">
        <f t="shared" si="18"/>
        <v>-74535.668000000005</v>
      </c>
    </row>
    <row r="1175" spans="1:7" x14ac:dyDescent="0.2">
      <c r="A1175" s="26">
        <v>65</v>
      </c>
      <c r="B1175" s="26">
        <v>44</v>
      </c>
      <c r="C1175" s="26">
        <v>109</v>
      </c>
      <c r="D1175" s="26" t="s">
        <v>1416</v>
      </c>
      <c r="E1175" s="26">
        <v>-80850.668000000005</v>
      </c>
      <c r="F1175" s="26">
        <v>66.093000000000004</v>
      </c>
      <c r="G1175" s="26">
        <f t="shared" si="18"/>
        <v>-80850.668000000005</v>
      </c>
    </row>
    <row r="1176" spans="1:7" x14ac:dyDescent="0.2">
      <c r="A1176" s="26">
        <v>64</v>
      </c>
      <c r="B1176" s="26">
        <v>45</v>
      </c>
      <c r="C1176" s="26">
        <v>109</v>
      </c>
      <c r="D1176" s="26" t="s">
        <v>1417</v>
      </c>
      <c r="E1176" s="26">
        <v>-85010.668000000005</v>
      </c>
      <c r="F1176" s="26">
        <v>11.968</v>
      </c>
      <c r="G1176" s="26">
        <f t="shared" si="18"/>
        <v>-85010.668000000005</v>
      </c>
    </row>
    <row r="1177" spans="1:7" x14ac:dyDescent="0.2">
      <c r="A1177" s="26">
        <v>63</v>
      </c>
      <c r="B1177" s="26">
        <v>46</v>
      </c>
      <c r="C1177" s="26">
        <v>109</v>
      </c>
      <c r="D1177" s="26" t="s">
        <v>1418</v>
      </c>
      <c r="E1177" s="26">
        <v>-87606.591</v>
      </c>
      <c r="F1177" s="26">
        <v>3.44</v>
      </c>
      <c r="G1177" s="26">
        <f t="shared" si="18"/>
        <v>-87606.591</v>
      </c>
    </row>
    <row r="1178" spans="1:7" x14ac:dyDescent="0.2">
      <c r="A1178" s="26">
        <v>62</v>
      </c>
      <c r="B1178" s="26">
        <v>47</v>
      </c>
      <c r="C1178" s="26">
        <v>109</v>
      </c>
      <c r="D1178" s="26" t="s">
        <v>1419</v>
      </c>
      <c r="E1178" s="26">
        <v>-88722.668999999994</v>
      </c>
      <c r="F1178" s="26">
        <v>2.9</v>
      </c>
      <c r="G1178" s="26">
        <f t="shared" si="18"/>
        <v>-88722.668999999994</v>
      </c>
    </row>
    <row r="1179" spans="1:7" x14ac:dyDescent="0.2">
      <c r="A1179" s="26">
        <v>61</v>
      </c>
      <c r="B1179" s="26">
        <v>48</v>
      </c>
      <c r="C1179" s="26">
        <v>109</v>
      </c>
      <c r="D1179" s="26" t="s">
        <v>1420</v>
      </c>
      <c r="E1179" s="26">
        <v>-88508.423999999999</v>
      </c>
      <c r="F1179" s="26">
        <v>3.8959999999999999</v>
      </c>
      <c r="G1179" s="26">
        <f t="shared" si="18"/>
        <v>-88508.423999999999</v>
      </c>
    </row>
    <row r="1180" spans="1:7" x14ac:dyDescent="0.2">
      <c r="A1180" s="26">
        <v>60</v>
      </c>
      <c r="B1180" s="26">
        <v>49</v>
      </c>
      <c r="C1180" s="26">
        <v>109</v>
      </c>
      <c r="D1180" s="26" t="s">
        <v>1421</v>
      </c>
      <c r="E1180" s="26">
        <v>-86488.745999999999</v>
      </c>
      <c r="F1180" s="26">
        <v>5.8280000000000003</v>
      </c>
      <c r="G1180" s="26">
        <f t="shared" si="18"/>
        <v>-86488.745999999999</v>
      </c>
    </row>
    <row r="1181" spans="1:7" x14ac:dyDescent="0.2">
      <c r="A1181" s="26">
        <v>59</v>
      </c>
      <c r="B1181" s="26">
        <v>50</v>
      </c>
      <c r="C1181" s="26">
        <v>109</v>
      </c>
      <c r="D1181" s="26" t="s">
        <v>1422</v>
      </c>
      <c r="E1181" s="26">
        <v>-82639.153999999995</v>
      </c>
      <c r="F1181" s="26">
        <v>9.9670000000000005</v>
      </c>
      <c r="G1181" s="26">
        <f t="shared" si="18"/>
        <v>-82639.153999999995</v>
      </c>
    </row>
    <row r="1182" spans="1:7" x14ac:dyDescent="0.2">
      <c r="A1182" s="26">
        <v>58</v>
      </c>
      <c r="B1182" s="26">
        <v>51</v>
      </c>
      <c r="C1182" s="26">
        <v>109</v>
      </c>
      <c r="D1182" s="26" t="s">
        <v>1423</v>
      </c>
      <c r="E1182" s="26">
        <v>-76259.153999999995</v>
      </c>
      <c r="F1182" s="26">
        <v>18.850999999999999</v>
      </c>
      <c r="G1182" s="26">
        <f t="shared" si="18"/>
        <v>-76259.153999999995</v>
      </c>
    </row>
    <row r="1183" spans="1:7" x14ac:dyDescent="0.2">
      <c r="A1183" s="26">
        <v>57</v>
      </c>
      <c r="B1183" s="26">
        <v>52</v>
      </c>
      <c r="C1183" s="26">
        <v>109</v>
      </c>
      <c r="D1183" s="26" t="s">
        <v>1424</v>
      </c>
      <c r="E1183" s="26">
        <v>-67612.012000000002</v>
      </c>
      <c r="F1183" s="26">
        <v>63.198999999999998</v>
      </c>
      <c r="G1183" s="26">
        <f t="shared" si="18"/>
        <v>-67612.012000000002</v>
      </c>
    </row>
    <row r="1184" spans="1:7" x14ac:dyDescent="0.2">
      <c r="A1184" s="26">
        <v>56</v>
      </c>
      <c r="B1184" s="26">
        <v>53</v>
      </c>
      <c r="C1184" s="26">
        <v>109</v>
      </c>
      <c r="D1184" s="26" t="s">
        <v>1425</v>
      </c>
      <c r="E1184" s="26">
        <v>-57613.447</v>
      </c>
      <c r="F1184" s="26">
        <v>103.925</v>
      </c>
      <c r="G1184" s="26">
        <f t="shared" si="18"/>
        <v>-57613.447</v>
      </c>
    </row>
    <row r="1185" spans="1:7" x14ac:dyDescent="0.2">
      <c r="A1185" s="26">
        <v>70</v>
      </c>
      <c r="B1185" s="26">
        <v>40</v>
      </c>
      <c r="C1185" s="26">
        <v>110</v>
      </c>
      <c r="D1185" s="26" t="s">
        <v>1412</v>
      </c>
      <c r="E1185" s="26" t="s">
        <v>1651</v>
      </c>
      <c r="F1185" s="26" t="s">
        <v>1725</v>
      </c>
      <c r="G1185" s="26">
        <f t="shared" si="18"/>
        <v>-43901.01</v>
      </c>
    </row>
    <row r="1186" spans="1:7" x14ac:dyDescent="0.2">
      <c r="A1186" s="26">
        <v>69</v>
      </c>
      <c r="B1186" s="26">
        <v>41</v>
      </c>
      <c r="C1186" s="26">
        <v>110</v>
      </c>
      <c r="D1186" s="26" t="s">
        <v>1413</v>
      </c>
      <c r="E1186" s="26" t="s">
        <v>1067</v>
      </c>
      <c r="F1186" s="26" t="s">
        <v>1728</v>
      </c>
      <c r="G1186" s="26">
        <f t="shared" si="18"/>
        <v>-53617.01</v>
      </c>
    </row>
    <row r="1187" spans="1:7" x14ac:dyDescent="0.2">
      <c r="A1187" s="26">
        <v>68</v>
      </c>
      <c r="B1187" s="26">
        <v>42</v>
      </c>
      <c r="C1187" s="26">
        <v>110</v>
      </c>
      <c r="D1187" s="26" t="s">
        <v>1414</v>
      </c>
      <c r="E1187" s="26" t="s">
        <v>1324</v>
      </c>
      <c r="F1187" s="26" t="s">
        <v>1723</v>
      </c>
      <c r="G1187" s="26">
        <f t="shared" si="18"/>
        <v>-65456.01</v>
      </c>
    </row>
    <row r="1188" spans="1:7" x14ac:dyDescent="0.2">
      <c r="A1188" s="26">
        <v>67</v>
      </c>
      <c r="B1188" s="26">
        <v>43</v>
      </c>
      <c r="C1188" s="26">
        <v>110</v>
      </c>
      <c r="D1188" s="26" t="s">
        <v>1415</v>
      </c>
      <c r="E1188" s="26">
        <v>-70960.763000000006</v>
      </c>
      <c r="F1188" s="26">
        <v>76.55</v>
      </c>
      <c r="G1188" s="26">
        <f t="shared" si="18"/>
        <v>-70960.763000000006</v>
      </c>
    </row>
    <row r="1189" spans="1:7" x14ac:dyDescent="0.2">
      <c r="A1189" s="26">
        <v>66</v>
      </c>
      <c r="B1189" s="26">
        <v>44</v>
      </c>
      <c r="C1189" s="26">
        <v>110</v>
      </c>
      <c r="D1189" s="26" t="s">
        <v>1416</v>
      </c>
      <c r="E1189" s="26">
        <v>-79981.763000000006</v>
      </c>
      <c r="F1189" s="26">
        <v>53.244</v>
      </c>
      <c r="G1189" s="26">
        <f t="shared" si="18"/>
        <v>-79981.763000000006</v>
      </c>
    </row>
    <row r="1190" spans="1:7" x14ac:dyDescent="0.2">
      <c r="A1190" s="26">
        <v>65</v>
      </c>
      <c r="B1190" s="26">
        <v>45</v>
      </c>
      <c r="C1190" s="26">
        <v>110</v>
      </c>
      <c r="D1190" s="26" t="s">
        <v>1417</v>
      </c>
      <c r="E1190" s="26">
        <v>-82775.900999999998</v>
      </c>
      <c r="F1190" s="26">
        <v>50.445</v>
      </c>
      <c r="G1190" s="26">
        <f t="shared" si="18"/>
        <v>-82775.900999999998</v>
      </c>
    </row>
    <row r="1191" spans="1:7" x14ac:dyDescent="0.2">
      <c r="A1191" s="26">
        <v>64</v>
      </c>
      <c r="B1191" s="26">
        <v>46</v>
      </c>
      <c r="C1191" s="26">
        <v>110</v>
      </c>
      <c r="D1191" s="26" t="s">
        <v>1418</v>
      </c>
      <c r="E1191" s="26">
        <v>-88349.175000000003</v>
      </c>
      <c r="F1191" s="26">
        <v>10.872999999999999</v>
      </c>
      <c r="G1191" s="26">
        <f t="shared" si="18"/>
        <v>-88349.175000000003</v>
      </c>
    </row>
    <row r="1192" spans="1:7" x14ac:dyDescent="0.2">
      <c r="A1192" s="26">
        <v>63</v>
      </c>
      <c r="B1192" s="26">
        <v>47</v>
      </c>
      <c r="C1192" s="26">
        <v>110</v>
      </c>
      <c r="D1192" s="26" t="s">
        <v>1419</v>
      </c>
      <c r="E1192" s="26">
        <v>-87460.551999999996</v>
      </c>
      <c r="F1192" s="26">
        <v>2.899</v>
      </c>
      <c r="G1192" s="26">
        <f t="shared" si="18"/>
        <v>-87460.551999999996</v>
      </c>
    </row>
    <row r="1193" spans="1:7" x14ac:dyDescent="0.2">
      <c r="A1193" s="26">
        <v>62</v>
      </c>
      <c r="B1193" s="26">
        <v>48</v>
      </c>
      <c r="C1193" s="26">
        <v>110</v>
      </c>
      <c r="D1193" s="26" t="s">
        <v>1420</v>
      </c>
      <c r="E1193" s="26">
        <v>-90352.99</v>
      </c>
      <c r="F1193" s="26">
        <v>2.665</v>
      </c>
      <c r="G1193" s="26">
        <f t="shared" si="18"/>
        <v>-90352.99</v>
      </c>
    </row>
    <row r="1194" spans="1:7" x14ac:dyDescent="0.2">
      <c r="A1194" s="26">
        <v>61</v>
      </c>
      <c r="B1194" s="26">
        <v>49</v>
      </c>
      <c r="C1194" s="26">
        <v>110</v>
      </c>
      <c r="D1194" s="26" t="s">
        <v>1421</v>
      </c>
      <c r="E1194" s="26">
        <v>-86474.99</v>
      </c>
      <c r="F1194" s="26">
        <v>11.85</v>
      </c>
      <c r="G1194" s="26">
        <f t="shared" si="18"/>
        <v>-86474.99</v>
      </c>
    </row>
    <row r="1195" spans="1:7" x14ac:dyDescent="0.2">
      <c r="A1195" s="26">
        <v>60</v>
      </c>
      <c r="B1195" s="26">
        <v>50</v>
      </c>
      <c r="C1195" s="26">
        <v>110</v>
      </c>
      <c r="D1195" s="26" t="s">
        <v>1422</v>
      </c>
      <c r="E1195" s="26">
        <v>-85843.888000000006</v>
      </c>
      <c r="F1195" s="26">
        <v>13.776999999999999</v>
      </c>
      <c r="G1195" s="26">
        <f t="shared" si="18"/>
        <v>-85843.888000000006</v>
      </c>
    </row>
    <row r="1196" spans="1:7" x14ac:dyDescent="0.2">
      <c r="A1196" s="26">
        <v>59</v>
      </c>
      <c r="B1196" s="26">
        <v>51</v>
      </c>
      <c r="C1196" s="26">
        <v>110</v>
      </c>
      <c r="D1196" s="26" t="s">
        <v>1423</v>
      </c>
      <c r="E1196" s="26" t="s">
        <v>1068</v>
      </c>
      <c r="F1196" s="26" t="s">
        <v>1478</v>
      </c>
      <c r="G1196" s="26">
        <f t="shared" si="18"/>
        <v>-77544.009999999995</v>
      </c>
    </row>
    <row r="1197" spans="1:7" x14ac:dyDescent="0.2">
      <c r="A1197" s="26">
        <v>58</v>
      </c>
      <c r="B1197" s="26">
        <v>52</v>
      </c>
      <c r="C1197" s="26">
        <v>110</v>
      </c>
      <c r="D1197" s="26" t="s">
        <v>1424</v>
      </c>
      <c r="E1197" s="26">
        <v>-72277.119999999995</v>
      </c>
      <c r="F1197" s="26">
        <v>52.642000000000003</v>
      </c>
      <c r="G1197" s="26">
        <f t="shared" si="18"/>
        <v>-72277.119999999995</v>
      </c>
    </row>
    <row r="1198" spans="1:7" x14ac:dyDescent="0.2">
      <c r="A1198" s="26">
        <v>57</v>
      </c>
      <c r="B1198" s="26">
        <v>53</v>
      </c>
      <c r="C1198" s="26">
        <v>110</v>
      </c>
      <c r="D1198" s="26" t="s">
        <v>1425</v>
      </c>
      <c r="E1198" s="26" t="s">
        <v>1069</v>
      </c>
      <c r="F1198" s="26" t="s">
        <v>1326</v>
      </c>
      <c r="G1198" s="26">
        <f t="shared" si="18"/>
        <v>-60321.01</v>
      </c>
    </row>
    <row r="1199" spans="1:7" x14ac:dyDescent="0.2">
      <c r="A1199" s="26">
        <v>56</v>
      </c>
      <c r="B1199" s="26">
        <v>54</v>
      </c>
      <c r="C1199" s="26">
        <v>110</v>
      </c>
      <c r="D1199" s="26" t="s">
        <v>1426</v>
      </c>
      <c r="E1199" s="26">
        <v>-51904.646000000001</v>
      </c>
      <c r="F1199" s="26">
        <v>132.88300000000001</v>
      </c>
      <c r="G1199" s="26">
        <f t="shared" si="18"/>
        <v>-51904.646000000001</v>
      </c>
    </row>
    <row r="1200" spans="1:7" x14ac:dyDescent="0.2">
      <c r="A1200" s="26">
        <v>70</v>
      </c>
      <c r="B1200" s="26">
        <v>41</v>
      </c>
      <c r="C1200" s="26">
        <v>111</v>
      </c>
      <c r="D1200" s="26" t="s">
        <v>1413</v>
      </c>
      <c r="E1200" s="26" t="s">
        <v>1070</v>
      </c>
      <c r="F1200" s="26" t="s">
        <v>1728</v>
      </c>
      <c r="G1200" s="26">
        <f t="shared" si="18"/>
        <v>-50627.01</v>
      </c>
    </row>
    <row r="1201" spans="1:7" x14ac:dyDescent="0.2">
      <c r="A1201" s="26">
        <v>69</v>
      </c>
      <c r="B1201" s="26">
        <v>42</v>
      </c>
      <c r="C1201" s="26">
        <v>111</v>
      </c>
      <c r="D1201" s="26" t="s">
        <v>1414</v>
      </c>
      <c r="E1201" s="26" t="s">
        <v>1071</v>
      </c>
      <c r="F1201" s="26" t="s">
        <v>1723</v>
      </c>
      <c r="G1201" s="26">
        <f t="shared" si="18"/>
        <v>-61097.01</v>
      </c>
    </row>
    <row r="1202" spans="1:7" x14ac:dyDescent="0.2">
      <c r="A1202" s="26">
        <v>68</v>
      </c>
      <c r="B1202" s="26">
        <v>43</v>
      </c>
      <c r="C1202" s="26">
        <v>111</v>
      </c>
      <c r="D1202" s="26" t="s">
        <v>1415</v>
      </c>
      <c r="E1202" s="26">
        <v>-69216.683000000005</v>
      </c>
      <c r="F1202" s="26">
        <v>108.69799999999999</v>
      </c>
      <c r="G1202" s="26">
        <f t="shared" si="18"/>
        <v>-69216.683000000005</v>
      </c>
    </row>
    <row r="1203" spans="1:7" x14ac:dyDescent="0.2">
      <c r="A1203" s="26">
        <v>67</v>
      </c>
      <c r="B1203" s="26">
        <v>44</v>
      </c>
      <c r="C1203" s="26">
        <v>111</v>
      </c>
      <c r="D1203" s="26" t="s">
        <v>1416</v>
      </c>
      <c r="E1203" s="26">
        <v>-76665.683000000005</v>
      </c>
      <c r="F1203" s="26">
        <v>73.587999999999994</v>
      </c>
      <c r="G1203" s="26">
        <f t="shared" si="18"/>
        <v>-76665.683000000005</v>
      </c>
    </row>
    <row r="1204" spans="1:7" x14ac:dyDescent="0.2">
      <c r="A1204" s="26">
        <v>66</v>
      </c>
      <c r="B1204" s="26">
        <v>45</v>
      </c>
      <c r="C1204" s="26">
        <v>111</v>
      </c>
      <c r="D1204" s="26" t="s">
        <v>1417</v>
      </c>
      <c r="E1204" s="26">
        <v>-82357.191999999995</v>
      </c>
      <c r="F1204" s="26">
        <v>29.613</v>
      </c>
      <c r="G1204" s="26">
        <f t="shared" si="18"/>
        <v>-82357.191999999995</v>
      </c>
    </row>
    <row r="1205" spans="1:7" x14ac:dyDescent="0.2">
      <c r="A1205" s="26">
        <v>65</v>
      </c>
      <c r="B1205" s="26">
        <v>46</v>
      </c>
      <c r="C1205" s="26">
        <v>111</v>
      </c>
      <c r="D1205" s="26" t="s">
        <v>1418</v>
      </c>
      <c r="E1205" s="26">
        <v>-86004.157999999996</v>
      </c>
      <c r="F1205" s="26">
        <v>10.88</v>
      </c>
      <c r="G1205" s="26">
        <f t="shared" si="18"/>
        <v>-86004.157999999996</v>
      </c>
    </row>
    <row r="1206" spans="1:7" x14ac:dyDescent="0.2">
      <c r="A1206" s="26">
        <v>64</v>
      </c>
      <c r="B1206" s="26">
        <v>47</v>
      </c>
      <c r="C1206" s="26">
        <v>111</v>
      </c>
      <c r="D1206" s="26" t="s">
        <v>1419</v>
      </c>
      <c r="E1206" s="26">
        <v>-88220.718999999997</v>
      </c>
      <c r="F1206" s="26">
        <v>3.0150000000000001</v>
      </c>
      <c r="G1206" s="26">
        <f t="shared" si="18"/>
        <v>-88220.718999999997</v>
      </c>
    </row>
    <row r="1207" spans="1:7" x14ac:dyDescent="0.2">
      <c r="A1207" s="26">
        <v>63</v>
      </c>
      <c r="B1207" s="26">
        <v>48</v>
      </c>
      <c r="C1207" s="26">
        <v>111</v>
      </c>
      <c r="D1207" s="26" t="s">
        <v>1420</v>
      </c>
      <c r="E1207" s="26">
        <v>-89257.519</v>
      </c>
      <c r="F1207" s="26">
        <v>2.6619999999999999</v>
      </c>
      <c r="G1207" s="26">
        <f t="shared" si="18"/>
        <v>-89257.519</v>
      </c>
    </row>
    <row r="1208" spans="1:7" x14ac:dyDescent="0.2">
      <c r="A1208" s="26">
        <v>62</v>
      </c>
      <c r="B1208" s="26">
        <v>49</v>
      </c>
      <c r="C1208" s="26">
        <v>111</v>
      </c>
      <c r="D1208" s="26" t="s">
        <v>1421</v>
      </c>
      <c r="E1208" s="26">
        <v>-88395.728000000003</v>
      </c>
      <c r="F1208" s="26">
        <v>4.8280000000000003</v>
      </c>
      <c r="G1208" s="26">
        <f t="shared" si="18"/>
        <v>-88395.728000000003</v>
      </c>
    </row>
    <row r="1209" spans="1:7" x14ac:dyDescent="0.2">
      <c r="A1209" s="26">
        <v>61</v>
      </c>
      <c r="B1209" s="26">
        <v>50</v>
      </c>
      <c r="C1209" s="26">
        <v>111</v>
      </c>
      <c r="D1209" s="26" t="s">
        <v>1422</v>
      </c>
      <c r="E1209" s="26">
        <v>-85944.797000000006</v>
      </c>
      <c r="F1209" s="26">
        <v>6.8360000000000003</v>
      </c>
      <c r="G1209" s="26">
        <f t="shared" si="18"/>
        <v>-85944.797000000006</v>
      </c>
    </row>
    <row r="1210" spans="1:7" x14ac:dyDescent="0.2">
      <c r="A1210" s="26">
        <v>60</v>
      </c>
      <c r="B1210" s="26">
        <v>51</v>
      </c>
      <c r="C1210" s="26">
        <v>111</v>
      </c>
      <c r="D1210" s="26" t="s">
        <v>1423</v>
      </c>
      <c r="E1210" s="26">
        <v>-80888.145000000004</v>
      </c>
      <c r="F1210" s="26">
        <v>27.945</v>
      </c>
      <c r="G1210" s="26">
        <f t="shared" si="18"/>
        <v>-80888.145000000004</v>
      </c>
    </row>
    <row r="1211" spans="1:7" x14ac:dyDescent="0.2">
      <c r="A1211" s="26">
        <v>59</v>
      </c>
      <c r="B1211" s="26">
        <v>52</v>
      </c>
      <c r="C1211" s="26">
        <v>111</v>
      </c>
      <c r="D1211" s="26" t="s">
        <v>1424</v>
      </c>
      <c r="E1211" s="26">
        <v>-73484.917000000001</v>
      </c>
      <c r="F1211" s="26">
        <v>71.343000000000004</v>
      </c>
      <c r="G1211" s="26">
        <f t="shared" si="18"/>
        <v>-73484.917000000001</v>
      </c>
    </row>
    <row r="1212" spans="1:7" x14ac:dyDescent="0.2">
      <c r="A1212" s="26">
        <v>58</v>
      </c>
      <c r="B1212" s="26">
        <v>53</v>
      </c>
      <c r="C1212" s="26">
        <v>111</v>
      </c>
      <c r="D1212" s="26" t="s">
        <v>1425</v>
      </c>
      <c r="E1212" s="26" t="s">
        <v>1327</v>
      </c>
      <c r="F1212" s="26" t="s">
        <v>1328</v>
      </c>
      <c r="G1212" s="26">
        <f t="shared" si="18"/>
        <v>-64947.01</v>
      </c>
    </row>
    <row r="1213" spans="1:7" x14ac:dyDescent="0.2">
      <c r="A1213" s="26">
        <v>57</v>
      </c>
      <c r="B1213" s="26">
        <v>54</v>
      </c>
      <c r="C1213" s="26">
        <v>111</v>
      </c>
      <c r="D1213" s="26" t="s">
        <v>1426</v>
      </c>
      <c r="E1213" s="26" t="s">
        <v>1072</v>
      </c>
      <c r="F1213" s="26" t="s">
        <v>1328</v>
      </c>
      <c r="G1213" s="26">
        <f t="shared" si="18"/>
        <v>-54397.01</v>
      </c>
    </row>
    <row r="1214" spans="1:7" x14ac:dyDescent="0.2">
      <c r="A1214" s="26">
        <v>71</v>
      </c>
      <c r="B1214" s="26">
        <v>41</v>
      </c>
      <c r="C1214" s="26">
        <v>112</v>
      </c>
      <c r="D1214" s="26" t="s">
        <v>1413</v>
      </c>
      <c r="E1214" s="26" t="s">
        <v>1073</v>
      </c>
      <c r="F1214" s="26" t="s">
        <v>1508</v>
      </c>
      <c r="G1214" s="26">
        <f t="shared" si="18"/>
        <v>-45802.01</v>
      </c>
    </row>
    <row r="1215" spans="1:7" x14ac:dyDescent="0.2">
      <c r="A1215" s="26">
        <v>70</v>
      </c>
      <c r="B1215" s="26">
        <v>42</v>
      </c>
      <c r="C1215" s="26">
        <v>112</v>
      </c>
      <c r="D1215" s="26" t="s">
        <v>1414</v>
      </c>
      <c r="E1215" s="26" t="s">
        <v>1329</v>
      </c>
      <c r="F1215" s="26" t="s">
        <v>1505</v>
      </c>
      <c r="G1215" s="26">
        <f t="shared" si="18"/>
        <v>-58833.01</v>
      </c>
    </row>
    <row r="1216" spans="1:7" x14ac:dyDescent="0.2">
      <c r="A1216" s="26">
        <v>69</v>
      </c>
      <c r="B1216" s="26">
        <v>43</v>
      </c>
      <c r="C1216" s="26">
        <v>112</v>
      </c>
      <c r="D1216" s="26" t="s">
        <v>1415</v>
      </c>
      <c r="E1216" s="26">
        <v>-65999.616999999998</v>
      </c>
      <c r="F1216" s="26">
        <v>124.158</v>
      </c>
      <c r="G1216" s="26">
        <f t="shared" si="18"/>
        <v>-65999.616999999998</v>
      </c>
    </row>
    <row r="1217" spans="1:7" x14ac:dyDescent="0.2">
      <c r="A1217" s="26">
        <v>68</v>
      </c>
      <c r="B1217" s="26">
        <v>44</v>
      </c>
      <c r="C1217" s="26">
        <v>112</v>
      </c>
      <c r="D1217" s="26" t="s">
        <v>1416</v>
      </c>
      <c r="E1217" s="26">
        <v>-75483.616999999998</v>
      </c>
      <c r="F1217" s="26">
        <v>73.587999999999994</v>
      </c>
      <c r="G1217" s="26">
        <f t="shared" si="18"/>
        <v>-75483.616999999998</v>
      </c>
    </row>
    <row r="1218" spans="1:7" x14ac:dyDescent="0.2">
      <c r="A1218" s="26">
        <v>67</v>
      </c>
      <c r="B1218" s="26">
        <v>45</v>
      </c>
      <c r="C1218" s="26">
        <v>112</v>
      </c>
      <c r="D1218" s="26" t="s">
        <v>1417</v>
      </c>
      <c r="E1218" s="26">
        <v>-79741.327000000005</v>
      </c>
      <c r="F1218" s="26">
        <v>51.609000000000002</v>
      </c>
      <c r="G1218" s="26">
        <f t="shared" si="18"/>
        <v>-79741.327000000005</v>
      </c>
    </row>
    <row r="1219" spans="1:7" x14ac:dyDescent="0.2">
      <c r="A1219" s="26">
        <v>66</v>
      </c>
      <c r="B1219" s="26">
        <v>46</v>
      </c>
      <c r="C1219" s="26">
        <v>112</v>
      </c>
      <c r="D1219" s="26" t="s">
        <v>1418</v>
      </c>
      <c r="E1219" s="26">
        <v>-86336.399000000005</v>
      </c>
      <c r="F1219" s="26">
        <v>17.946999999999999</v>
      </c>
      <c r="G1219" s="26">
        <f t="shared" si="18"/>
        <v>-86336.399000000005</v>
      </c>
    </row>
    <row r="1220" spans="1:7" x14ac:dyDescent="0.2">
      <c r="A1220" s="26">
        <v>65</v>
      </c>
      <c r="B1220" s="26">
        <v>47</v>
      </c>
      <c r="C1220" s="26">
        <v>112</v>
      </c>
      <c r="D1220" s="26" t="s">
        <v>1419</v>
      </c>
      <c r="E1220" s="26">
        <v>-86624.457999999999</v>
      </c>
      <c r="F1220" s="26">
        <v>16.884</v>
      </c>
      <c r="G1220" s="26">
        <f t="shared" si="18"/>
        <v>-86624.457999999999</v>
      </c>
    </row>
    <row r="1221" spans="1:7" x14ac:dyDescent="0.2">
      <c r="A1221" s="26">
        <v>64</v>
      </c>
      <c r="B1221" s="26">
        <v>48</v>
      </c>
      <c r="C1221" s="26">
        <v>112</v>
      </c>
      <c r="D1221" s="26" t="s">
        <v>1420</v>
      </c>
      <c r="E1221" s="26">
        <v>-90580.517999999996</v>
      </c>
      <c r="F1221" s="26">
        <v>2.6589999999999998</v>
      </c>
      <c r="G1221" s="26">
        <f t="shared" si="18"/>
        <v>-90580.517999999996</v>
      </c>
    </row>
    <row r="1222" spans="1:7" x14ac:dyDescent="0.2">
      <c r="A1222" s="26">
        <v>63</v>
      </c>
      <c r="B1222" s="26">
        <v>49</v>
      </c>
      <c r="C1222" s="26">
        <v>112</v>
      </c>
      <c r="D1222" s="26" t="s">
        <v>1421</v>
      </c>
      <c r="E1222" s="26">
        <v>-87996.066999999995</v>
      </c>
      <c r="F1222" s="26">
        <v>5.1260000000000003</v>
      </c>
      <c r="G1222" s="26">
        <f t="shared" si="18"/>
        <v>-87996.066999999995</v>
      </c>
    </row>
    <row r="1223" spans="1:7" x14ac:dyDescent="0.2">
      <c r="A1223" s="26">
        <v>62</v>
      </c>
      <c r="B1223" s="26">
        <v>50</v>
      </c>
      <c r="C1223" s="26">
        <v>112</v>
      </c>
      <c r="D1223" s="26" t="s">
        <v>1422</v>
      </c>
      <c r="E1223" s="26">
        <v>-88661.269</v>
      </c>
      <c r="F1223" s="26">
        <v>4.2830000000000004</v>
      </c>
      <c r="G1223" s="26">
        <f t="shared" si="18"/>
        <v>-88661.269</v>
      </c>
    </row>
    <row r="1224" spans="1:7" x14ac:dyDescent="0.2">
      <c r="A1224" s="26">
        <v>61</v>
      </c>
      <c r="B1224" s="26">
        <v>51</v>
      </c>
      <c r="C1224" s="26">
        <v>112</v>
      </c>
      <c r="D1224" s="26" t="s">
        <v>1423</v>
      </c>
      <c r="E1224" s="26">
        <v>-81600.729000000007</v>
      </c>
      <c r="F1224" s="26">
        <v>17.829000000000001</v>
      </c>
      <c r="G1224" s="26">
        <f t="shared" si="18"/>
        <v>-81600.729000000007</v>
      </c>
    </row>
    <row r="1225" spans="1:7" x14ac:dyDescent="0.2">
      <c r="A1225" s="26">
        <v>60</v>
      </c>
      <c r="B1225" s="26">
        <v>52</v>
      </c>
      <c r="C1225" s="26">
        <v>112</v>
      </c>
      <c r="D1225" s="26" t="s">
        <v>1424</v>
      </c>
      <c r="E1225" s="26">
        <v>-77301.267000000007</v>
      </c>
      <c r="F1225" s="26">
        <v>170.27699999999999</v>
      </c>
      <c r="G1225" s="26">
        <f t="shared" si="18"/>
        <v>-77301.267000000007</v>
      </c>
    </row>
    <row r="1226" spans="1:7" x14ac:dyDescent="0.2">
      <c r="A1226" s="26">
        <v>59</v>
      </c>
      <c r="B1226" s="26">
        <v>53</v>
      </c>
      <c r="C1226" s="26">
        <v>112</v>
      </c>
      <c r="D1226" s="26" t="s">
        <v>1425</v>
      </c>
      <c r="E1226" s="26" t="s">
        <v>1331</v>
      </c>
      <c r="F1226" s="26" t="s">
        <v>1323</v>
      </c>
      <c r="G1226" s="26">
        <f t="shared" ref="G1226:G1289" si="19">IF(ISNUMBER(E1226),E1226,VALUE(SUBSTITUTE(E1226,"#",".01")))</f>
        <v>-67096.009999999995</v>
      </c>
    </row>
    <row r="1227" spans="1:7" x14ac:dyDescent="0.2">
      <c r="A1227" s="26">
        <v>58</v>
      </c>
      <c r="B1227" s="26">
        <v>54</v>
      </c>
      <c r="C1227" s="26">
        <v>112</v>
      </c>
      <c r="D1227" s="26" t="s">
        <v>1426</v>
      </c>
      <c r="E1227" s="26">
        <v>-59966.684999999998</v>
      </c>
      <c r="F1227" s="26">
        <v>104.09699999999999</v>
      </c>
      <c r="G1227" s="26">
        <f t="shared" si="19"/>
        <v>-59966.684999999998</v>
      </c>
    </row>
    <row r="1228" spans="1:7" x14ac:dyDescent="0.2">
      <c r="A1228" s="26">
        <v>57</v>
      </c>
      <c r="B1228" s="26">
        <v>55</v>
      </c>
      <c r="C1228" s="26">
        <v>112</v>
      </c>
      <c r="D1228" s="26" t="s">
        <v>1427</v>
      </c>
      <c r="E1228" s="26" t="s">
        <v>1074</v>
      </c>
      <c r="F1228" s="26" t="s">
        <v>1328</v>
      </c>
      <c r="G1228" s="26">
        <f t="shared" si="19"/>
        <v>-46294.01</v>
      </c>
    </row>
    <row r="1229" spans="1:7" x14ac:dyDescent="0.2">
      <c r="A1229" s="26">
        <v>72</v>
      </c>
      <c r="B1229" s="26">
        <v>41</v>
      </c>
      <c r="C1229" s="26">
        <v>113</v>
      </c>
      <c r="D1229" s="26" t="s">
        <v>1413</v>
      </c>
      <c r="E1229" s="26" t="s">
        <v>1075</v>
      </c>
      <c r="F1229" s="26" t="s">
        <v>1725</v>
      </c>
      <c r="G1229" s="26">
        <f t="shared" si="19"/>
        <v>-42197.01</v>
      </c>
    </row>
    <row r="1230" spans="1:7" x14ac:dyDescent="0.2">
      <c r="A1230" s="26">
        <v>71</v>
      </c>
      <c r="B1230" s="26">
        <v>42</v>
      </c>
      <c r="C1230" s="26">
        <v>113</v>
      </c>
      <c r="D1230" s="26" t="s">
        <v>1414</v>
      </c>
      <c r="E1230" s="26" t="s">
        <v>1076</v>
      </c>
      <c r="F1230" s="26" t="s">
        <v>1505</v>
      </c>
      <c r="G1230" s="26">
        <f t="shared" si="19"/>
        <v>-54138.01</v>
      </c>
    </row>
    <row r="1231" spans="1:7" x14ac:dyDescent="0.2">
      <c r="A1231" s="26">
        <v>70</v>
      </c>
      <c r="B1231" s="26">
        <v>43</v>
      </c>
      <c r="C1231" s="26">
        <v>113</v>
      </c>
      <c r="D1231" s="26" t="s">
        <v>1415</v>
      </c>
      <c r="E1231" s="26" t="s">
        <v>773</v>
      </c>
      <c r="F1231" s="26" t="s">
        <v>1730</v>
      </c>
      <c r="G1231" s="26">
        <f t="shared" si="19"/>
        <v>-63724.01</v>
      </c>
    </row>
    <row r="1232" spans="1:7" x14ac:dyDescent="0.2">
      <c r="A1232" s="26">
        <v>69</v>
      </c>
      <c r="B1232" s="26">
        <v>44</v>
      </c>
      <c r="C1232" s="26">
        <v>113</v>
      </c>
      <c r="D1232" s="26" t="s">
        <v>1416</v>
      </c>
      <c r="E1232" s="26">
        <v>-72202.714000000007</v>
      </c>
      <c r="F1232" s="26">
        <v>69.997</v>
      </c>
      <c r="G1232" s="26">
        <f t="shared" si="19"/>
        <v>-72202.714000000007</v>
      </c>
    </row>
    <row r="1233" spans="1:7" x14ac:dyDescent="0.2">
      <c r="A1233" s="26">
        <v>68</v>
      </c>
      <c r="B1233" s="26">
        <v>45</v>
      </c>
      <c r="C1233" s="26">
        <v>113</v>
      </c>
      <c r="D1233" s="26" t="s">
        <v>1417</v>
      </c>
      <c r="E1233" s="26">
        <v>-78682.714000000007</v>
      </c>
      <c r="F1233" s="26">
        <v>48.985999999999997</v>
      </c>
      <c r="G1233" s="26">
        <f t="shared" si="19"/>
        <v>-78682.714000000007</v>
      </c>
    </row>
    <row r="1234" spans="1:7" x14ac:dyDescent="0.2">
      <c r="A1234" s="26">
        <v>67</v>
      </c>
      <c r="B1234" s="26">
        <v>46</v>
      </c>
      <c r="C1234" s="26">
        <v>113</v>
      </c>
      <c r="D1234" s="26" t="s">
        <v>1418</v>
      </c>
      <c r="E1234" s="26">
        <v>-83692.028000000006</v>
      </c>
      <c r="F1234" s="26">
        <v>35.792000000000002</v>
      </c>
      <c r="G1234" s="26">
        <f t="shared" si="19"/>
        <v>-83692.028000000006</v>
      </c>
    </row>
    <row r="1235" spans="1:7" x14ac:dyDescent="0.2">
      <c r="A1235" s="26">
        <v>66</v>
      </c>
      <c r="B1235" s="26">
        <v>47</v>
      </c>
      <c r="C1235" s="26">
        <v>113</v>
      </c>
      <c r="D1235" s="26" t="s">
        <v>1419</v>
      </c>
      <c r="E1235" s="26">
        <v>-87032.672000000006</v>
      </c>
      <c r="F1235" s="26">
        <v>16.613</v>
      </c>
      <c r="G1235" s="26">
        <f t="shared" si="19"/>
        <v>-87032.672000000006</v>
      </c>
    </row>
    <row r="1236" spans="1:7" x14ac:dyDescent="0.2">
      <c r="A1236" s="26">
        <v>65</v>
      </c>
      <c r="B1236" s="26">
        <v>48</v>
      </c>
      <c r="C1236" s="26">
        <v>113</v>
      </c>
      <c r="D1236" s="26" t="s">
        <v>1420</v>
      </c>
      <c r="E1236" s="26">
        <v>-89049.278999999995</v>
      </c>
      <c r="F1236" s="26">
        <v>2.673</v>
      </c>
      <c r="G1236" s="26">
        <f t="shared" si="19"/>
        <v>-89049.278999999995</v>
      </c>
    </row>
    <row r="1237" spans="1:7" x14ac:dyDescent="0.2">
      <c r="A1237" s="26">
        <v>64</v>
      </c>
      <c r="B1237" s="26">
        <v>49</v>
      </c>
      <c r="C1237" s="26">
        <v>113</v>
      </c>
      <c r="D1237" s="26" t="s">
        <v>1421</v>
      </c>
      <c r="E1237" s="26">
        <v>-89369.62</v>
      </c>
      <c r="F1237" s="26">
        <v>3.2120000000000002</v>
      </c>
      <c r="G1237" s="26">
        <f t="shared" si="19"/>
        <v>-89369.62</v>
      </c>
    </row>
    <row r="1238" spans="1:7" x14ac:dyDescent="0.2">
      <c r="A1238" s="26">
        <v>63</v>
      </c>
      <c r="B1238" s="26">
        <v>50</v>
      </c>
      <c r="C1238" s="26">
        <v>113</v>
      </c>
      <c r="D1238" s="26" t="s">
        <v>1422</v>
      </c>
      <c r="E1238" s="26">
        <v>-88333.039000000004</v>
      </c>
      <c r="F1238" s="26">
        <v>4.0170000000000003</v>
      </c>
      <c r="G1238" s="26">
        <f t="shared" si="19"/>
        <v>-88333.039000000004</v>
      </c>
    </row>
    <row r="1239" spans="1:7" x14ac:dyDescent="0.2">
      <c r="A1239" s="26">
        <v>62</v>
      </c>
      <c r="B1239" s="26">
        <v>51</v>
      </c>
      <c r="C1239" s="26">
        <v>113</v>
      </c>
      <c r="D1239" s="26" t="s">
        <v>1423</v>
      </c>
      <c r="E1239" s="26">
        <v>-84419.744000000006</v>
      </c>
      <c r="F1239" s="26">
        <v>17.585999999999999</v>
      </c>
      <c r="G1239" s="26">
        <f t="shared" si="19"/>
        <v>-84419.744000000006</v>
      </c>
    </row>
    <row r="1240" spans="1:7" x14ac:dyDescent="0.2">
      <c r="A1240" s="26">
        <v>61</v>
      </c>
      <c r="B1240" s="26">
        <v>52</v>
      </c>
      <c r="C1240" s="26">
        <v>113</v>
      </c>
      <c r="D1240" s="26" t="s">
        <v>1424</v>
      </c>
      <c r="E1240" s="26">
        <v>-78347.03</v>
      </c>
      <c r="F1240" s="26">
        <v>27.945</v>
      </c>
      <c r="G1240" s="26">
        <f t="shared" si="19"/>
        <v>-78347.03</v>
      </c>
    </row>
    <row r="1241" spans="1:7" x14ac:dyDescent="0.2">
      <c r="A1241" s="26">
        <v>60</v>
      </c>
      <c r="B1241" s="26">
        <v>53</v>
      </c>
      <c r="C1241" s="26">
        <v>113</v>
      </c>
      <c r="D1241" s="26" t="s">
        <v>1425</v>
      </c>
      <c r="E1241" s="26">
        <v>-71128.339000000007</v>
      </c>
      <c r="F1241" s="26">
        <v>53.435000000000002</v>
      </c>
      <c r="G1241" s="26">
        <f t="shared" si="19"/>
        <v>-71128.339000000007</v>
      </c>
    </row>
    <row r="1242" spans="1:7" x14ac:dyDescent="0.2">
      <c r="A1242" s="26">
        <v>59</v>
      </c>
      <c r="B1242" s="26">
        <v>54</v>
      </c>
      <c r="C1242" s="26">
        <v>113</v>
      </c>
      <c r="D1242" s="26" t="s">
        <v>1426</v>
      </c>
      <c r="E1242" s="26">
        <v>-62092.296999999999</v>
      </c>
      <c r="F1242" s="26">
        <v>80.585999999999999</v>
      </c>
      <c r="G1242" s="26">
        <f t="shared" si="19"/>
        <v>-62092.296999999999</v>
      </c>
    </row>
    <row r="1243" spans="1:7" x14ac:dyDescent="0.2">
      <c r="A1243" s="26">
        <v>58</v>
      </c>
      <c r="B1243" s="26">
        <v>55</v>
      </c>
      <c r="C1243" s="26">
        <v>113</v>
      </c>
      <c r="D1243" s="26" t="s">
        <v>1427</v>
      </c>
      <c r="E1243" s="26">
        <v>-51704.182000000001</v>
      </c>
      <c r="F1243" s="26">
        <v>104.129</v>
      </c>
      <c r="G1243" s="26">
        <f t="shared" si="19"/>
        <v>-51704.182000000001</v>
      </c>
    </row>
    <row r="1244" spans="1:7" x14ac:dyDescent="0.2">
      <c r="A1244" s="26">
        <v>72</v>
      </c>
      <c r="B1244" s="26">
        <v>42</v>
      </c>
      <c r="C1244" s="26">
        <v>114</v>
      </c>
      <c r="D1244" s="26" t="s">
        <v>1414</v>
      </c>
      <c r="E1244" s="26" t="s">
        <v>774</v>
      </c>
      <c r="F1244" s="26" t="s">
        <v>1508</v>
      </c>
      <c r="G1244" s="26">
        <f t="shared" si="19"/>
        <v>-51307.01</v>
      </c>
    </row>
    <row r="1245" spans="1:7" x14ac:dyDescent="0.2">
      <c r="A1245" s="26">
        <v>71</v>
      </c>
      <c r="B1245" s="26">
        <v>43</v>
      </c>
      <c r="C1245" s="26">
        <v>114</v>
      </c>
      <c r="D1245" s="26" t="s">
        <v>1415</v>
      </c>
      <c r="E1245" s="26" t="s">
        <v>1332</v>
      </c>
      <c r="F1245" s="26" t="s">
        <v>1505</v>
      </c>
      <c r="G1245" s="26">
        <f t="shared" si="19"/>
        <v>-59727.01</v>
      </c>
    </row>
    <row r="1246" spans="1:7" x14ac:dyDescent="0.2">
      <c r="A1246" s="26">
        <v>70</v>
      </c>
      <c r="B1246" s="26">
        <v>44</v>
      </c>
      <c r="C1246" s="26">
        <v>114</v>
      </c>
      <c r="D1246" s="26" t="s">
        <v>1416</v>
      </c>
      <c r="E1246" s="26" t="s">
        <v>775</v>
      </c>
      <c r="F1246" s="26" t="s">
        <v>776</v>
      </c>
      <c r="G1246" s="26">
        <f t="shared" si="19"/>
        <v>-70532.009999999995</v>
      </c>
    </row>
    <row r="1247" spans="1:7" x14ac:dyDescent="0.2">
      <c r="A1247" s="26">
        <v>69</v>
      </c>
      <c r="B1247" s="26">
        <v>45</v>
      </c>
      <c r="C1247" s="26">
        <v>114</v>
      </c>
      <c r="D1247" s="26" t="s">
        <v>1417</v>
      </c>
      <c r="E1247" s="26">
        <v>-75631.725000000006</v>
      </c>
      <c r="F1247" s="26">
        <v>112.711</v>
      </c>
      <c r="G1247" s="26">
        <f t="shared" si="19"/>
        <v>-75631.725000000006</v>
      </c>
    </row>
    <row r="1248" spans="1:7" x14ac:dyDescent="0.2">
      <c r="A1248" s="26">
        <v>68</v>
      </c>
      <c r="B1248" s="26">
        <v>46</v>
      </c>
      <c r="C1248" s="26">
        <v>114</v>
      </c>
      <c r="D1248" s="26" t="s">
        <v>1418</v>
      </c>
      <c r="E1248" s="26">
        <v>-83496.664999999994</v>
      </c>
      <c r="F1248" s="26">
        <v>23.634</v>
      </c>
      <c r="G1248" s="26">
        <f t="shared" si="19"/>
        <v>-83496.664999999994</v>
      </c>
    </row>
    <row r="1249" spans="1:7" x14ac:dyDescent="0.2">
      <c r="A1249" s="26">
        <v>67</v>
      </c>
      <c r="B1249" s="26">
        <v>47</v>
      </c>
      <c r="C1249" s="26">
        <v>114</v>
      </c>
      <c r="D1249" s="26" t="s">
        <v>1419</v>
      </c>
      <c r="E1249" s="26">
        <v>-84948.803</v>
      </c>
      <c r="F1249" s="26">
        <v>24.824000000000002</v>
      </c>
      <c r="G1249" s="26">
        <f t="shared" si="19"/>
        <v>-84948.803</v>
      </c>
    </row>
    <row r="1250" spans="1:7" x14ac:dyDescent="0.2">
      <c r="A1250" s="26">
        <v>66</v>
      </c>
      <c r="B1250" s="26">
        <v>48</v>
      </c>
      <c r="C1250" s="26">
        <v>114</v>
      </c>
      <c r="D1250" s="26" t="s">
        <v>1420</v>
      </c>
      <c r="E1250" s="26">
        <v>-90020.941000000006</v>
      </c>
      <c r="F1250" s="26">
        <v>2.6739999999999999</v>
      </c>
      <c r="G1250" s="26">
        <f t="shared" si="19"/>
        <v>-90020.941000000006</v>
      </c>
    </row>
    <row r="1251" spans="1:7" x14ac:dyDescent="0.2">
      <c r="A1251" s="26">
        <v>65</v>
      </c>
      <c r="B1251" s="26">
        <v>49</v>
      </c>
      <c r="C1251" s="26">
        <v>114</v>
      </c>
      <c r="D1251" s="26" t="s">
        <v>1421</v>
      </c>
      <c r="E1251" s="26">
        <v>-88572.154999999999</v>
      </c>
      <c r="F1251" s="26">
        <v>3.2050000000000001</v>
      </c>
      <c r="G1251" s="26">
        <f t="shared" si="19"/>
        <v>-88572.154999999999</v>
      </c>
    </row>
    <row r="1252" spans="1:7" x14ac:dyDescent="0.2">
      <c r="A1252" s="26">
        <v>64</v>
      </c>
      <c r="B1252" s="26">
        <v>50</v>
      </c>
      <c r="C1252" s="26">
        <v>114</v>
      </c>
      <c r="D1252" s="26" t="s">
        <v>1422</v>
      </c>
      <c r="E1252" s="26">
        <v>-90560.900999999998</v>
      </c>
      <c r="F1252" s="26">
        <v>3.1720000000000002</v>
      </c>
      <c r="G1252" s="26">
        <f t="shared" si="19"/>
        <v>-90560.900999999998</v>
      </c>
    </row>
    <row r="1253" spans="1:7" x14ac:dyDescent="0.2">
      <c r="A1253" s="26">
        <v>63</v>
      </c>
      <c r="B1253" s="26">
        <v>51</v>
      </c>
      <c r="C1253" s="26">
        <v>114</v>
      </c>
      <c r="D1253" s="26" t="s">
        <v>1423</v>
      </c>
      <c r="E1253" s="26">
        <v>-84515.383000000002</v>
      </c>
      <c r="F1253" s="26">
        <v>27.945</v>
      </c>
      <c r="G1253" s="26">
        <f t="shared" si="19"/>
        <v>-84515.383000000002</v>
      </c>
    </row>
    <row r="1254" spans="1:7" x14ac:dyDescent="0.2">
      <c r="A1254" s="26">
        <v>62</v>
      </c>
      <c r="B1254" s="26">
        <v>52</v>
      </c>
      <c r="C1254" s="26">
        <v>114</v>
      </c>
      <c r="D1254" s="26" t="s">
        <v>1424</v>
      </c>
      <c r="E1254" s="26">
        <v>-81888.570000000007</v>
      </c>
      <c r="F1254" s="26">
        <v>27.945</v>
      </c>
      <c r="G1254" s="26">
        <f t="shared" si="19"/>
        <v>-81888.570000000007</v>
      </c>
    </row>
    <row r="1255" spans="1:7" x14ac:dyDescent="0.2">
      <c r="A1255" s="26">
        <v>61</v>
      </c>
      <c r="B1255" s="26">
        <v>53</v>
      </c>
      <c r="C1255" s="26">
        <v>114</v>
      </c>
      <c r="D1255" s="26" t="s">
        <v>1425</v>
      </c>
      <c r="E1255" s="26" t="s">
        <v>1335</v>
      </c>
      <c r="F1255" s="26" t="s">
        <v>1730</v>
      </c>
      <c r="G1255" s="26">
        <f t="shared" si="19"/>
        <v>-72796.009999999995</v>
      </c>
    </row>
    <row r="1256" spans="1:7" x14ac:dyDescent="0.2">
      <c r="A1256" s="26">
        <v>60</v>
      </c>
      <c r="B1256" s="26">
        <v>54</v>
      </c>
      <c r="C1256" s="26">
        <v>114</v>
      </c>
      <c r="D1256" s="26" t="s">
        <v>1426</v>
      </c>
      <c r="E1256" s="26">
        <v>-67085.913</v>
      </c>
      <c r="F1256" s="26">
        <v>11.178000000000001</v>
      </c>
      <c r="G1256" s="26">
        <f t="shared" si="19"/>
        <v>-67085.913</v>
      </c>
    </row>
    <row r="1257" spans="1:7" x14ac:dyDescent="0.2">
      <c r="A1257" s="26">
        <v>59</v>
      </c>
      <c r="B1257" s="26">
        <v>55</v>
      </c>
      <c r="C1257" s="26">
        <v>114</v>
      </c>
      <c r="D1257" s="26" t="s">
        <v>1427</v>
      </c>
      <c r="E1257" s="26" t="s">
        <v>1312</v>
      </c>
      <c r="F1257" s="26" t="s">
        <v>1337</v>
      </c>
      <c r="G1257" s="26">
        <f t="shared" si="19"/>
        <v>-54539.01</v>
      </c>
    </row>
    <row r="1258" spans="1:7" x14ac:dyDescent="0.2">
      <c r="A1258" s="26">
        <v>58</v>
      </c>
      <c r="B1258" s="26">
        <v>56</v>
      </c>
      <c r="C1258" s="26">
        <v>114</v>
      </c>
      <c r="D1258" s="26" t="s">
        <v>1428</v>
      </c>
      <c r="E1258" s="26">
        <v>-45945.563999999998</v>
      </c>
      <c r="F1258" s="26">
        <v>139.19999999999999</v>
      </c>
      <c r="G1258" s="26">
        <f t="shared" si="19"/>
        <v>-45945.563999999998</v>
      </c>
    </row>
    <row r="1259" spans="1:7" x14ac:dyDescent="0.2">
      <c r="A1259" s="26">
        <v>73</v>
      </c>
      <c r="B1259" s="26">
        <v>42</v>
      </c>
      <c r="C1259" s="26">
        <v>115</v>
      </c>
      <c r="D1259" s="26" t="s">
        <v>1414</v>
      </c>
      <c r="E1259" s="26" t="s">
        <v>1080</v>
      </c>
      <c r="F1259" s="26" t="s">
        <v>1725</v>
      </c>
      <c r="G1259" s="26">
        <f t="shared" si="19"/>
        <v>-46305.01</v>
      </c>
    </row>
    <row r="1260" spans="1:7" x14ac:dyDescent="0.2">
      <c r="A1260" s="26">
        <v>72</v>
      </c>
      <c r="B1260" s="26">
        <v>43</v>
      </c>
      <c r="C1260" s="26">
        <v>115</v>
      </c>
      <c r="D1260" s="26" t="s">
        <v>1415</v>
      </c>
      <c r="E1260" s="26" t="s">
        <v>777</v>
      </c>
      <c r="F1260" s="26" t="s">
        <v>1508</v>
      </c>
      <c r="G1260" s="26">
        <f t="shared" si="19"/>
        <v>-57110.01</v>
      </c>
    </row>
    <row r="1261" spans="1:7" x14ac:dyDescent="0.2">
      <c r="A1261" s="26">
        <v>71</v>
      </c>
      <c r="B1261" s="26">
        <v>44</v>
      </c>
      <c r="C1261" s="26">
        <v>115</v>
      </c>
      <c r="D1261" s="26" t="s">
        <v>1416</v>
      </c>
      <c r="E1261" s="26">
        <v>-66428.402000000002</v>
      </c>
      <c r="F1261" s="26">
        <v>128.715</v>
      </c>
      <c r="G1261" s="26">
        <f t="shared" si="19"/>
        <v>-66428.402000000002</v>
      </c>
    </row>
    <row r="1262" spans="1:7" x14ac:dyDescent="0.2">
      <c r="A1262" s="26">
        <v>70</v>
      </c>
      <c r="B1262" s="26">
        <v>45</v>
      </c>
      <c r="C1262" s="26">
        <v>115</v>
      </c>
      <c r="D1262" s="26" t="s">
        <v>1417</v>
      </c>
      <c r="E1262" s="26">
        <v>-74208.402000000002</v>
      </c>
      <c r="F1262" s="26">
        <v>81.040000000000006</v>
      </c>
      <c r="G1262" s="26">
        <f t="shared" si="19"/>
        <v>-74208.402000000002</v>
      </c>
    </row>
    <row r="1263" spans="1:7" x14ac:dyDescent="0.2">
      <c r="A1263" s="26">
        <v>69</v>
      </c>
      <c r="B1263" s="26">
        <v>46</v>
      </c>
      <c r="C1263" s="26">
        <v>115</v>
      </c>
      <c r="D1263" s="26" t="s">
        <v>1418</v>
      </c>
      <c r="E1263" s="26">
        <v>-80403</v>
      </c>
      <c r="F1263" s="26">
        <v>60.988</v>
      </c>
      <c r="G1263" s="26">
        <f t="shared" si="19"/>
        <v>-80403</v>
      </c>
    </row>
    <row r="1264" spans="1:7" x14ac:dyDescent="0.2">
      <c r="A1264" s="26">
        <v>68</v>
      </c>
      <c r="B1264" s="26">
        <v>47</v>
      </c>
      <c r="C1264" s="26">
        <v>115</v>
      </c>
      <c r="D1264" s="26" t="s">
        <v>1419</v>
      </c>
      <c r="E1264" s="26">
        <v>-84987</v>
      </c>
      <c r="F1264" s="26">
        <v>34.921999999999997</v>
      </c>
      <c r="G1264" s="26">
        <f t="shared" si="19"/>
        <v>-84987</v>
      </c>
    </row>
    <row r="1265" spans="1:7" x14ac:dyDescent="0.2">
      <c r="A1265" s="26">
        <v>67</v>
      </c>
      <c r="B1265" s="26">
        <v>48</v>
      </c>
      <c r="C1265" s="26">
        <v>115</v>
      </c>
      <c r="D1265" s="26" t="s">
        <v>1420</v>
      </c>
      <c r="E1265" s="26">
        <v>-88090.485000000001</v>
      </c>
      <c r="F1265" s="26">
        <v>2.7240000000000002</v>
      </c>
      <c r="G1265" s="26">
        <f t="shared" si="19"/>
        <v>-88090.485000000001</v>
      </c>
    </row>
    <row r="1266" spans="1:7" x14ac:dyDescent="0.2">
      <c r="A1266" s="26">
        <v>66</v>
      </c>
      <c r="B1266" s="26">
        <v>49</v>
      </c>
      <c r="C1266" s="26">
        <v>115</v>
      </c>
      <c r="D1266" s="26" t="s">
        <v>1421</v>
      </c>
      <c r="E1266" s="26">
        <v>-89536.615999999995</v>
      </c>
      <c r="F1266" s="26">
        <v>4.4630000000000001</v>
      </c>
      <c r="G1266" s="26">
        <f t="shared" si="19"/>
        <v>-89536.615999999995</v>
      </c>
    </row>
    <row r="1267" spans="1:7" x14ac:dyDescent="0.2">
      <c r="A1267" s="26">
        <v>65</v>
      </c>
      <c r="B1267" s="26">
        <v>50</v>
      </c>
      <c r="C1267" s="26">
        <v>115</v>
      </c>
      <c r="D1267" s="26" t="s">
        <v>1422</v>
      </c>
      <c r="E1267" s="26">
        <v>-90035.978000000003</v>
      </c>
      <c r="F1267" s="26">
        <v>2.944</v>
      </c>
      <c r="G1267" s="26">
        <f t="shared" si="19"/>
        <v>-90035.978000000003</v>
      </c>
    </row>
    <row r="1268" spans="1:7" x14ac:dyDescent="0.2">
      <c r="A1268" s="26">
        <v>64</v>
      </c>
      <c r="B1268" s="26">
        <v>51</v>
      </c>
      <c r="C1268" s="26">
        <v>115</v>
      </c>
      <c r="D1268" s="26" t="s">
        <v>1423</v>
      </c>
      <c r="E1268" s="26">
        <v>-87003.403000000006</v>
      </c>
      <c r="F1268" s="26">
        <v>16.024999999999999</v>
      </c>
      <c r="G1268" s="26">
        <f t="shared" si="19"/>
        <v>-87003.403000000006</v>
      </c>
    </row>
    <row r="1269" spans="1:7" x14ac:dyDescent="0.2">
      <c r="A1269" s="26">
        <v>63</v>
      </c>
      <c r="B1269" s="26">
        <v>52</v>
      </c>
      <c r="C1269" s="26">
        <v>115</v>
      </c>
      <c r="D1269" s="26" t="s">
        <v>1424</v>
      </c>
      <c r="E1269" s="26">
        <v>-82062.759000000005</v>
      </c>
      <c r="F1269" s="26">
        <v>27.945</v>
      </c>
      <c r="G1269" s="26">
        <f t="shared" si="19"/>
        <v>-82062.759000000005</v>
      </c>
    </row>
    <row r="1270" spans="1:7" x14ac:dyDescent="0.2">
      <c r="A1270" s="26">
        <v>62</v>
      </c>
      <c r="B1270" s="26">
        <v>53</v>
      </c>
      <c r="C1270" s="26">
        <v>115</v>
      </c>
      <c r="D1270" s="26" t="s">
        <v>1425</v>
      </c>
      <c r="E1270" s="26">
        <v>-76337.797000000006</v>
      </c>
      <c r="F1270" s="26">
        <v>28.876000000000001</v>
      </c>
      <c r="G1270" s="26">
        <f t="shared" si="19"/>
        <v>-76337.797000000006</v>
      </c>
    </row>
    <row r="1271" spans="1:7" x14ac:dyDescent="0.2">
      <c r="A1271" s="26">
        <v>61</v>
      </c>
      <c r="B1271" s="26">
        <v>54</v>
      </c>
      <c r="C1271" s="26">
        <v>115</v>
      </c>
      <c r="D1271" s="26" t="s">
        <v>1426</v>
      </c>
      <c r="E1271" s="26">
        <v>-68656.770999999993</v>
      </c>
      <c r="F1271" s="26">
        <v>12.109</v>
      </c>
      <c r="G1271" s="26">
        <f t="shared" si="19"/>
        <v>-68656.770999999993</v>
      </c>
    </row>
    <row r="1272" spans="1:7" x14ac:dyDescent="0.2">
      <c r="A1272" s="26">
        <v>60</v>
      </c>
      <c r="B1272" s="26">
        <v>55</v>
      </c>
      <c r="C1272" s="26">
        <v>115</v>
      </c>
      <c r="D1272" s="26" t="s">
        <v>1427</v>
      </c>
      <c r="E1272" s="26" t="s">
        <v>1602</v>
      </c>
      <c r="F1272" s="26" t="s">
        <v>1730</v>
      </c>
      <c r="G1272" s="26">
        <f t="shared" si="19"/>
        <v>-59699.01</v>
      </c>
    </row>
    <row r="1273" spans="1:7" x14ac:dyDescent="0.2">
      <c r="A1273" s="26">
        <v>59</v>
      </c>
      <c r="B1273" s="26">
        <v>56</v>
      </c>
      <c r="C1273" s="26">
        <v>115</v>
      </c>
      <c r="D1273" s="26" t="s">
        <v>1428</v>
      </c>
      <c r="E1273" s="26" t="s">
        <v>778</v>
      </c>
      <c r="F1273" s="26" t="s">
        <v>1505</v>
      </c>
      <c r="G1273" s="26">
        <f t="shared" si="19"/>
        <v>-49025.01</v>
      </c>
    </row>
    <row r="1274" spans="1:7" x14ac:dyDescent="0.2">
      <c r="A1274" s="26">
        <v>73</v>
      </c>
      <c r="B1274" s="26">
        <v>43</v>
      </c>
      <c r="C1274" s="26">
        <v>116</v>
      </c>
      <c r="D1274" s="26" t="s">
        <v>1415</v>
      </c>
      <c r="E1274" s="26" t="s">
        <v>779</v>
      </c>
      <c r="F1274" s="26" t="s">
        <v>1508</v>
      </c>
      <c r="G1274" s="26">
        <f t="shared" si="19"/>
        <v>-52751.01</v>
      </c>
    </row>
    <row r="1275" spans="1:7" x14ac:dyDescent="0.2">
      <c r="A1275" s="26">
        <v>72</v>
      </c>
      <c r="B1275" s="26">
        <v>44</v>
      </c>
      <c r="C1275" s="26">
        <v>116</v>
      </c>
      <c r="D1275" s="26" t="s">
        <v>1416</v>
      </c>
      <c r="E1275" s="26" t="s">
        <v>780</v>
      </c>
      <c r="F1275" s="26" t="s">
        <v>1508</v>
      </c>
      <c r="G1275" s="26">
        <f t="shared" si="19"/>
        <v>-64450.01</v>
      </c>
    </row>
    <row r="1276" spans="1:7" x14ac:dyDescent="0.2">
      <c r="A1276" s="26">
        <v>71</v>
      </c>
      <c r="B1276" s="26">
        <v>45</v>
      </c>
      <c r="C1276" s="26">
        <v>116</v>
      </c>
      <c r="D1276" s="26" t="s">
        <v>1417</v>
      </c>
      <c r="E1276" s="26">
        <v>-70735.792000000001</v>
      </c>
      <c r="F1276" s="26">
        <v>137.86099999999999</v>
      </c>
      <c r="G1276" s="26">
        <f t="shared" si="19"/>
        <v>-70735.792000000001</v>
      </c>
    </row>
    <row r="1277" spans="1:7" x14ac:dyDescent="0.2">
      <c r="A1277" s="26">
        <v>70</v>
      </c>
      <c r="B1277" s="26">
        <v>46</v>
      </c>
      <c r="C1277" s="26">
        <v>116</v>
      </c>
      <c r="D1277" s="26" t="s">
        <v>1418</v>
      </c>
      <c r="E1277" s="26">
        <v>-79960.691000000006</v>
      </c>
      <c r="F1277" s="26">
        <v>55.567999999999998</v>
      </c>
      <c r="G1277" s="26">
        <f t="shared" si="19"/>
        <v>-79960.691000000006</v>
      </c>
    </row>
    <row r="1278" spans="1:7" x14ac:dyDescent="0.2">
      <c r="A1278" s="26">
        <v>69</v>
      </c>
      <c r="B1278" s="26">
        <v>47</v>
      </c>
      <c r="C1278" s="26">
        <v>116</v>
      </c>
      <c r="D1278" s="26" t="s">
        <v>1419</v>
      </c>
      <c r="E1278" s="26">
        <v>-82567.691000000006</v>
      </c>
      <c r="F1278" s="26">
        <v>46.773000000000003</v>
      </c>
      <c r="G1278" s="26">
        <f t="shared" si="19"/>
        <v>-82567.691000000006</v>
      </c>
    </row>
    <row r="1279" spans="1:7" x14ac:dyDescent="0.2">
      <c r="A1279" s="26">
        <v>68</v>
      </c>
      <c r="B1279" s="26">
        <v>48</v>
      </c>
      <c r="C1279" s="26">
        <v>116</v>
      </c>
      <c r="D1279" s="26" t="s">
        <v>1420</v>
      </c>
      <c r="E1279" s="26">
        <v>-88719.392000000007</v>
      </c>
      <c r="F1279" s="26">
        <v>3.15</v>
      </c>
      <c r="G1279" s="26">
        <f t="shared" si="19"/>
        <v>-88719.392000000007</v>
      </c>
    </row>
    <row r="1280" spans="1:7" x14ac:dyDescent="0.2">
      <c r="A1280" s="26">
        <v>67</v>
      </c>
      <c r="B1280" s="26">
        <v>49</v>
      </c>
      <c r="C1280" s="26">
        <v>116</v>
      </c>
      <c r="D1280" s="26" t="s">
        <v>1421</v>
      </c>
      <c r="E1280" s="26">
        <v>-88250.019</v>
      </c>
      <c r="F1280" s="26">
        <v>4.468</v>
      </c>
      <c r="G1280" s="26">
        <f t="shared" si="19"/>
        <v>-88250.019</v>
      </c>
    </row>
    <row r="1281" spans="1:7" x14ac:dyDescent="0.2">
      <c r="A1281" s="26">
        <v>66</v>
      </c>
      <c r="B1281" s="26">
        <v>50</v>
      </c>
      <c r="C1281" s="26">
        <v>116</v>
      </c>
      <c r="D1281" s="26" t="s">
        <v>1422</v>
      </c>
      <c r="E1281" s="26">
        <v>-91528.107000000004</v>
      </c>
      <c r="F1281" s="26">
        <v>2.9430000000000001</v>
      </c>
      <c r="G1281" s="26">
        <f t="shared" si="19"/>
        <v>-91528.107000000004</v>
      </c>
    </row>
    <row r="1282" spans="1:7" x14ac:dyDescent="0.2">
      <c r="A1282" s="26">
        <v>65</v>
      </c>
      <c r="B1282" s="26">
        <v>51</v>
      </c>
      <c r="C1282" s="26">
        <v>116</v>
      </c>
      <c r="D1282" s="26" t="s">
        <v>1423</v>
      </c>
      <c r="E1282" s="26">
        <v>-86821.176000000007</v>
      </c>
      <c r="F1282" s="26">
        <v>5.84</v>
      </c>
      <c r="G1282" s="26">
        <f t="shared" si="19"/>
        <v>-86821.176000000007</v>
      </c>
    </row>
    <row r="1283" spans="1:7" x14ac:dyDescent="0.2">
      <c r="A1283" s="26">
        <v>64</v>
      </c>
      <c r="B1283" s="26">
        <v>52</v>
      </c>
      <c r="C1283" s="26">
        <v>116</v>
      </c>
      <c r="D1283" s="26" t="s">
        <v>1424</v>
      </c>
      <c r="E1283" s="26">
        <v>-85268.962</v>
      </c>
      <c r="F1283" s="26">
        <v>27.945</v>
      </c>
      <c r="G1283" s="26">
        <f t="shared" si="19"/>
        <v>-85268.962</v>
      </c>
    </row>
    <row r="1284" spans="1:7" x14ac:dyDescent="0.2">
      <c r="A1284" s="26">
        <v>63</v>
      </c>
      <c r="B1284" s="26">
        <v>53</v>
      </c>
      <c r="C1284" s="26">
        <v>116</v>
      </c>
      <c r="D1284" s="26" t="s">
        <v>1425</v>
      </c>
      <c r="E1284" s="26">
        <v>-77492.259999999995</v>
      </c>
      <c r="F1284" s="26">
        <v>96.591999999999999</v>
      </c>
      <c r="G1284" s="26">
        <f t="shared" si="19"/>
        <v>-77492.259999999995</v>
      </c>
    </row>
    <row r="1285" spans="1:7" x14ac:dyDescent="0.2">
      <c r="A1285" s="26">
        <v>62</v>
      </c>
      <c r="B1285" s="26">
        <v>54</v>
      </c>
      <c r="C1285" s="26">
        <v>116</v>
      </c>
      <c r="D1285" s="26" t="s">
        <v>1426</v>
      </c>
      <c r="E1285" s="26">
        <v>-73046.747000000003</v>
      </c>
      <c r="F1285" s="26">
        <v>13.041</v>
      </c>
      <c r="G1285" s="26">
        <f t="shared" si="19"/>
        <v>-73046.747000000003</v>
      </c>
    </row>
    <row r="1286" spans="1:7" x14ac:dyDescent="0.2">
      <c r="A1286" s="26">
        <v>61</v>
      </c>
      <c r="B1286" s="26">
        <v>55</v>
      </c>
      <c r="C1286" s="26">
        <v>116</v>
      </c>
      <c r="D1286" s="26" t="s">
        <v>1427</v>
      </c>
      <c r="E1286" s="26" t="s">
        <v>781</v>
      </c>
      <c r="F1286" s="26" t="s">
        <v>782</v>
      </c>
      <c r="G1286" s="26">
        <f t="shared" si="19"/>
        <v>-62068.01</v>
      </c>
    </row>
    <row r="1287" spans="1:7" x14ac:dyDescent="0.2">
      <c r="A1287" s="26">
        <v>60</v>
      </c>
      <c r="B1287" s="26">
        <v>56</v>
      </c>
      <c r="C1287" s="26">
        <v>116</v>
      </c>
      <c r="D1287" s="26" t="s">
        <v>1428</v>
      </c>
      <c r="E1287" s="26" t="s">
        <v>783</v>
      </c>
      <c r="F1287" s="26" t="s">
        <v>1723</v>
      </c>
      <c r="G1287" s="26">
        <f t="shared" si="19"/>
        <v>-54604.01</v>
      </c>
    </row>
    <row r="1288" spans="1:7" x14ac:dyDescent="0.2">
      <c r="A1288" s="26">
        <v>74</v>
      </c>
      <c r="B1288" s="26">
        <v>43</v>
      </c>
      <c r="C1288" s="26">
        <v>117</v>
      </c>
      <c r="D1288" s="26" t="s">
        <v>1415</v>
      </c>
      <c r="E1288" s="26" t="s">
        <v>1102</v>
      </c>
      <c r="F1288" s="26" t="s">
        <v>1508</v>
      </c>
      <c r="G1288" s="26">
        <f t="shared" si="19"/>
        <v>-49854.01</v>
      </c>
    </row>
    <row r="1289" spans="1:7" x14ac:dyDescent="0.2">
      <c r="A1289" s="26">
        <v>73</v>
      </c>
      <c r="B1289" s="26">
        <v>44</v>
      </c>
      <c r="C1289" s="26">
        <v>117</v>
      </c>
      <c r="D1289" s="26" t="s">
        <v>1416</v>
      </c>
      <c r="E1289" s="26" t="s">
        <v>784</v>
      </c>
      <c r="F1289" s="26" t="s">
        <v>1508</v>
      </c>
      <c r="G1289" s="26">
        <f t="shared" si="19"/>
        <v>-60007.01</v>
      </c>
    </row>
    <row r="1290" spans="1:7" x14ac:dyDescent="0.2">
      <c r="A1290" s="26">
        <v>72</v>
      </c>
      <c r="B1290" s="26">
        <v>45</v>
      </c>
      <c r="C1290" s="26">
        <v>117</v>
      </c>
      <c r="D1290" s="26" t="s">
        <v>1417</v>
      </c>
      <c r="E1290" s="26" t="s">
        <v>785</v>
      </c>
      <c r="F1290" s="26" t="s">
        <v>1728</v>
      </c>
      <c r="G1290" s="26">
        <f t="shared" ref="G1290:G1353" si="20">IF(ISNUMBER(E1290),E1290,VALUE(SUBSTITUTE(E1290,"#",".01")))</f>
        <v>-68949.009999999995</v>
      </c>
    </row>
    <row r="1291" spans="1:7" x14ac:dyDescent="0.2">
      <c r="A1291" s="26">
        <v>71</v>
      </c>
      <c r="B1291" s="26">
        <v>46</v>
      </c>
      <c r="C1291" s="26">
        <v>117</v>
      </c>
      <c r="D1291" s="26" t="s">
        <v>1418</v>
      </c>
      <c r="E1291" s="26">
        <v>-76530.301000000007</v>
      </c>
      <c r="F1291" s="26">
        <v>59.454999999999998</v>
      </c>
      <c r="G1291" s="26">
        <f t="shared" si="20"/>
        <v>-76530.301000000007</v>
      </c>
    </row>
    <row r="1292" spans="1:7" x14ac:dyDescent="0.2">
      <c r="A1292" s="26">
        <v>70</v>
      </c>
      <c r="B1292" s="26">
        <v>47</v>
      </c>
      <c r="C1292" s="26">
        <v>117</v>
      </c>
      <c r="D1292" s="26" t="s">
        <v>1419</v>
      </c>
      <c r="E1292" s="26">
        <v>-82265.301000000007</v>
      </c>
      <c r="F1292" s="26">
        <v>50.109000000000002</v>
      </c>
      <c r="G1292" s="26">
        <f t="shared" si="20"/>
        <v>-82265.301000000007</v>
      </c>
    </row>
    <row r="1293" spans="1:7" x14ac:dyDescent="0.2">
      <c r="A1293" s="26">
        <v>69</v>
      </c>
      <c r="B1293" s="26">
        <v>48</v>
      </c>
      <c r="C1293" s="26">
        <v>117</v>
      </c>
      <c r="D1293" s="26" t="s">
        <v>1420</v>
      </c>
      <c r="E1293" s="26">
        <v>-86425.301000000007</v>
      </c>
      <c r="F1293" s="26">
        <v>3.3050000000000002</v>
      </c>
      <c r="G1293" s="26">
        <f t="shared" si="20"/>
        <v>-86425.301000000007</v>
      </c>
    </row>
    <row r="1294" spans="1:7" x14ac:dyDescent="0.2">
      <c r="A1294" s="26">
        <v>68</v>
      </c>
      <c r="B1294" s="26">
        <v>49</v>
      </c>
      <c r="C1294" s="26">
        <v>117</v>
      </c>
      <c r="D1294" s="26" t="s">
        <v>1421</v>
      </c>
      <c r="E1294" s="26">
        <v>-88945.042000000001</v>
      </c>
      <c r="F1294" s="26">
        <v>5.6680000000000001</v>
      </c>
      <c r="G1294" s="26">
        <f t="shared" si="20"/>
        <v>-88945.042000000001</v>
      </c>
    </row>
    <row r="1295" spans="1:7" x14ac:dyDescent="0.2">
      <c r="A1295" s="26">
        <v>67</v>
      </c>
      <c r="B1295" s="26">
        <v>50</v>
      </c>
      <c r="C1295" s="26">
        <v>117</v>
      </c>
      <c r="D1295" s="26" t="s">
        <v>1422</v>
      </c>
      <c r="E1295" s="26">
        <v>-90399.95</v>
      </c>
      <c r="F1295" s="26">
        <v>2.9220000000000002</v>
      </c>
      <c r="G1295" s="26">
        <f t="shared" si="20"/>
        <v>-90399.95</v>
      </c>
    </row>
    <row r="1296" spans="1:7" x14ac:dyDescent="0.2">
      <c r="A1296" s="26">
        <v>66</v>
      </c>
      <c r="B1296" s="26">
        <v>51</v>
      </c>
      <c r="C1296" s="26">
        <v>117</v>
      </c>
      <c r="D1296" s="26" t="s">
        <v>1423</v>
      </c>
      <c r="E1296" s="26">
        <v>-88644.75</v>
      </c>
      <c r="F1296" s="26">
        <v>9.4130000000000003</v>
      </c>
      <c r="G1296" s="26">
        <f t="shared" si="20"/>
        <v>-88644.75</v>
      </c>
    </row>
    <row r="1297" spans="1:7" x14ac:dyDescent="0.2">
      <c r="A1297" s="26">
        <v>65</v>
      </c>
      <c r="B1297" s="26">
        <v>52</v>
      </c>
      <c r="C1297" s="26">
        <v>117</v>
      </c>
      <c r="D1297" s="26" t="s">
        <v>1424</v>
      </c>
      <c r="E1297" s="26">
        <v>-85096.896999999997</v>
      </c>
      <c r="F1297" s="26">
        <v>13.412000000000001</v>
      </c>
      <c r="G1297" s="26">
        <f t="shared" si="20"/>
        <v>-85096.896999999997</v>
      </c>
    </row>
    <row r="1298" spans="1:7" x14ac:dyDescent="0.2">
      <c r="A1298" s="26">
        <v>64</v>
      </c>
      <c r="B1298" s="26">
        <v>53</v>
      </c>
      <c r="C1298" s="26">
        <v>117</v>
      </c>
      <c r="D1298" s="26" t="s">
        <v>1425</v>
      </c>
      <c r="E1298" s="26">
        <v>-80434.508000000002</v>
      </c>
      <c r="F1298" s="26">
        <v>27.945</v>
      </c>
      <c r="G1298" s="26">
        <f t="shared" si="20"/>
        <v>-80434.508000000002</v>
      </c>
    </row>
    <row r="1299" spans="1:7" x14ac:dyDescent="0.2">
      <c r="A1299" s="26">
        <v>63</v>
      </c>
      <c r="B1299" s="26">
        <v>54</v>
      </c>
      <c r="C1299" s="26">
        <v>117</v>
      </c>
      <c r="D1299" s="26" t="s">
        <v>1426</v>
      </c>
      <c r="E1299" s="26">
        <v>-74185.361000000004</v>
      </c>
      <c r="F1299" s="26">
        <v>10.378</v>
      </c>
      <c r="G1299" s="26">
        <f t="shared" si="20"/>
        <v>-74185.361000000004</v>
      </c>
    </row>
    <row r="1300" spans="1:7" x14ac:dyDescent="0.2">
      <c r="A1300" s="26">
        <v>62</v>
      </c>
      <c r="B1300" s="26">
        <v>55</v>
      </c>
      <c r="C1300" s="26">
        <v>117</v>
      </c>
      <c r="D1300" s="26" t="s">
        <v>1427</v>
      </c>
      <c r="E1300" s="26">
        <v>-66442.813999999998</v>
      </c>
      <c r="F1300" s="26">
        <v>62.41</v>
      </c>
      <c r="G1300" s="26">
        <f t="shared" si="20"/>
        <v>-66442.813999999998</v>
      </c>
    </row>
    <row r="1301" spans="1:7" x14ac:dyDescent="0.2">
      <c r="A1301" s="26">
        <v>61</v>
      </c>
      <c r="B1301" s="26">
        <v>56</v>
      </c>
      <c r="C1301" s="26">
        <v>117</v>
      </c>
      <c r="D1301" s="26" t="s">
        <v>1428</v>
      </c>
      <c r="E1301" s="26" t="s">
        <v>786</v>
      </c>
      <c r="F1301" s="26" t="s">
        <v>1258</v>
      </c>
      <c r="G1301" s="26">
        <f t="shared" si="20"/>
        <v>-57288.01</v>
      </c>
    </row>
    <row r="1302" spans="1:7" x14ac:dyDescent="0.2">
      <c r="A1302" s="26">
        <v>60</v>
      </c>
      <c r="B1302" s="26">
        <v>57</v>
      </c>
      <c r="C1302" s="26">
        <v>117</v>
      </c>
      <c r="D1302" s="26" t="s">
        <v>1429</v>
      </c>
      <c r="E1302" s="26" t="s">
        <v>787</v>
      </c>
      <c r="F1302" s="26" t="s">
        <v>1723</v>
      </c>
      <c r="G1302" s="26">
        <f t="shared" si="20"/>
        <v>-46512.01</v>
      </c>
    </row>
    <row r="1303" spans="1:7" x14ac:dyDescent="0.2">
      <c r="A1303" s="26">
        <v>75</v>
      </c>
      <c r="B1303" s="26">
        <v>43</v>
      </c>
      <c r="C1303" s="26">
        <v>118</v>
      </c>
      <c r="D1303" s="26" t="s">
        <v>1415</v>
      </c>
      <c r="E1303" s="26" t="s">
        <v>788</v>
      </c>
      <c r="F1303" s="26" t="s">
        <v>1731</v>
      </c>
      <c r="G1303" s="26">
        <f t="shared" si="20"/>
        <v>-45196.01</v>
      </c>
    </row>
    <row r="1304" spans="1:7" x14ac:dyDescent="0.2">
      <c r="A1304" s="26">
        <v>74</v>
      </c>
      <c r="B1304" s="26">
        <v>44</v>
      </c>
      <c r="C1304" s="26">
        <v>118</v>
      </c>
      <c r="D1304" s="26" t="s">
        <v>1416</v>
      </c>
      <c r="E1304" s="26" t="s">
        <v>789</v>
      </c>
      <c r="F1304" s="26" t="s">
        <v>1725</v>
      </c>
      <c r="G1304" s="26">
        <f t="shared" si="20"/>
        <v>-57920.01</v>
      </c>
    </row>
    <row r="1305" spans="1:7" x14ac:dyDescent="0.2">
      <c r="A1305" s="26">
        <v>73</v>
      </c>
      <c r="B1305" s="26">
        <v>45</v>
      </c>
      <c r="C1305" s="26">
        <v>118</v>
      </c>
      <c r="D1305" s="26" t="s">
        <v>1417</v>
      </c>
      <c r="E1305" s="26" t="s">
        <v>790</v>
      </c>
      <c r="F1305" s="26" t="s">
        <v>1728</v>
      </c>
      <c r="G1305" s="26">
        <f t="shared" si="20"/>
        <v>-65139.01</v>
      </c>
    </row>
    <row r="1306" spans="1:7" x14ac:dyDescent="0.2">
      <c r="A1306" s="26">
        <v>72</v>
      </c>
      <c r="B1306" s="26">
        <v>46</v>
      </c>
      <c r="C1306" s="26">
        <v>118</v>
      </c>
      <c r="D1306" s="26" t="s">
        <v>1418</v>
      </c>
      <c r="E1306" s="26">
        <v>-75465.638999999996</v>
      </c>
      <c r="F1306" s="26">
        <v>209.93100000000001</v>
      </c>
      <c r="G1306" s="26">
        <f t="shared" si="20"/>
        <v>-75465.638999999996</v>
      </c>
    </row>
    <row r="1307" spans="1:7" x14ac:dyDescent="0.2">
      <c r="A1307" s="26">
        <v>71</v>
      </c>
      <c r="B1307" s="26">
        <v>47</v>
      </c>
      <c r="C1307" s="26">
        <v>118</v>
      </c>
      <c r="D1307" s="26" t="s">
        <v>1419</v>
      </c>
      <c r="E1307" s="26">
        <v>-79565.638999999996</v>
      </c>
      <c r="F1307" s="26">
        <v>63.805999999999997</v>
      </c>
      <c r="G1307" s="26">
        <f t="shared" si="20"/>
        <v>-79565.638999999996</v>
      </c>
    </row>
    <row r="1308" spans="1:7" x14ac:dyDescent="0.2">
      <c r="A1308" s="26">
        <v>70</v>
      </c>
      <c r="B1308" s="26">
        <v>48</v>
      </c>
      <c r="C1308" s="26">
        <v>118</v>
      </c>
      <c r="D1308" s="26" t="s">
        <v>1420</v>
      </c>
      <c r="E1308" s="26">
        <v>-86708.557000000001</v>
      </c>
      <c r="F1308" s="26">
        <v>20.247</v>
      </c>
      <c r="G1308" s="26">
        <f t="shared" si="20"/>
        <v>-86708.557000000001</v>
      </c>
    </row>
    <row r="1309" spans="1:7" x14ac:dyDescent="0.2">
      <c r="A1309" s="26">
        <v>69</v>
      </c>
      <c r="B1309" s="26">
        <v>49</v>
      </c>
      <c r="C1309" s="26">
        <v>118</v>
      </c>
      <c r="D1309" s="26" t="s">
        <v>1421</v>
      </c>
      <c r="E1309" s="26">
        <v>-87230.346000000005</v>
      </c>
      <c r="F1309" s="26">
        <v>8.25</v>
      </c>
      <c r="G1309" s="26">
        <f t="shared" si="20"/>
        <v>-87230.346000000005</v>
      </c>
    </row>
    <row r="1310" spans="1:7" x14ac:dyDescent="0.2">
      <c r="A1310" s="26">
        <v>68</v>
      </c>
      <c r="B1310" s="26">
        <v>50</v>
      </c>
      <c r="C1310" s="26">
        <v>118</v>
      </c>
      <c r="D1310" s="26" t="s">
        <v>1422</v>
      </c>
      <c r="E1310" s="26">
        <v>-91656.06</v>
      </c>
      <c r="F1310" s="26">
        <v>2.8879999999999999</v>
      </c>
      <c r="G1310" s="26">
        <f t="shared" si="20"/>
        <v>-91656.06</v>
      </c>
    </row>
    <row r="1311" spans="1:7" x14ac:dyDescent="0.2">
      <c r="A1311" s="26">
        <v>67</v>
      </c>
      <c r="B1311" s="26">
        <v>51</v>
      </c>
      <c r="C1311" s="26">
        <v>118</v>
      </c>
      <c r="D1311" s="26" t="s">
        <v>1423</v>
      </c>
      <c r="E1311" s="26">
        <v>-87999.42</v>
      </c>
      <c r="F1311" s="26">
        <v>4.1459999999999999</v>
      </c>
      <c r="G1311" s="26">
        <f t="shared" si="20"/>
        <v>-87999.42</v>
      </c>
    </row>
    <row r="1312" spans="1:7" x14ac:dyDescent="0.2">
      <c r="A1312" s="26">
        <v>66</v>
      </c>
      <c r="B1312" s="26">
        <v>52</v>
      </c>
      <c r="C1312" s="26">
        <v>118</v>
      </c>
      <c r="D1312" s="26" t="s">
        <v>1424</v>
      </c>
      <c r="E1312" s="26">
        <v>-87721.043999999994</v>
      </c>
      <c r="F1312" s="26">
        <v>14.77</v>
      </c>
      <c r="G1312" s="26">
        <f t="shared" si="20"/>
        <v>-87721.043999999994</v>
      </c>
    </row>
    <row r="1313" spans="1:7" x14ac:dyDescent="0.2">
      <c r="A1313" s="26">
        <v>65</v>
      </c>
      <c r="B1313" s="26">
        <v>53</v>
      </c>
      <c r="C1313" s="26">
        <v>118</v>
      </c>
      <c r="D1313" s="26" t="s">
        <v>1425</v>
      </c>
      <c r="E1313" s="26">
        <v>-80971.047999999995</v>
      </c>
      <c r="F1313" s="26">
        <v>19.760000000000002</v>
      </c>
      <c r="G1313" s="26">
        <f t="shared" si="20"/>
        <v>-80971.047999999995</v>
      </c>
    </row>
    <row r="1314" spans="1:7" x14ac:dyDescent="0.2">
      <c r="A1314" s="26">
        <v>64</v>
      </c>
      <c r="B1314" s="26">
        <v>54</v>
      </c>
      <c r="C1314" s="26">
        <v>118</v>
      </c>
      <c r="D1314" s="26" t="s">
        <v>1426</v>
      </c>
      <c r="E1314" s="26">
        <v>-78079.081000000006</v>
      </c>
      <c r="F1314" s="26">
        <v>10.378</v>
      </c>
      <c r="G1314" s="26">
        <f t="shared" si="20"/>
        <v>-78079.081000000006</v>
      </c>
    </row>
    <row r="1315" spans="1:7" x14ac:dyDescent="0.2">
      <c r="A1315" s="26">
        <v>63</v>
      </c>
      <c r="B1315" s="26">
        <v>55</v>
      </c>
      <c r="C1315" s="26">
        <v>118</v>
      </c>
      <c r="D1315" s="26" t="s">
        <v>1427</v>
      </c>
      <c r="E1315" s="26">
        <v>-68409.391000000003</v>
      </c>
      <c r="F1315" s="26">
        <v>12.753</v>
      </c>
      <c r="G1315" s="26">
        <f t="shared" si="20"/>
        <v>-68409.391000000003</v>
      </c>
    </row>
    <row r="1316" spans="1:7" x14ac:dyDescent="0.2">
      <c r="A1316" s="26">
        <v>62</v>
      </c>
      <c r="B1316" s="26">
        <v>56</v>
      </c>
      <c r="C1316" s="26">
        <v>118</v>
      </c>
      <c r="D1316" s="26" t="s">
        <v>1428</v>
      </c>
      <c r="E1316" s="26" t="s">
        <v>791</v>
      </c>
      <c r="F1316" s="26" t="s">
        <v>1480</v>
      </c>
      <c r="G1316" s="26">
        <f t="shared" si="20"/>
        <v>-62373.01</v>
      </c>
    </row>
    <row r="1317" spans="1:7" x14ac:dyDescent="0.2">
      <c r="A1317" s="26">
        <v>61</v>
      </c>
      <c r="B1317" s="26">
        <v>57</v>
      </c>
      <c r="C1317" s="26">
        <v>118</v>
      </c>
      <c r="D1317" s="26" t="s">
        <v>1429</v>
      </c>
      <c r="E1317" s="26" t="s">
        <v>792</v>
      </c>
      <c r="F1317" s="26" t="s">
        <v>1730</v>
      </c>
      <c r="G1317" s="26">
        <f t="shared" si="20"/>
        <v>-49621.01</v>
      </c>
    </row>
    <row r="1318" spans="1:7" x14ac:dyDescent="0.2">
      <c r="A1318" s="26">
        <v>75</v>
      </c>
      <c r="B1318" s="26">
        <v>44</v>
      </c>
      <c r="C1318" s="26">
        <v>119</v>
      </c>
      <c r="D1318" s="26" t="s">
        <v>1416</v>
      </c>
      <c r="E1318" s="26" t="s">
        <v>793</v>
      </c>
      <c r="F1318" s="26" t="s">
        <v>1508</v>
      </c>
      <c r="G1318" s="26">
        <f t="shared" si="20"/>
        <v>-53244.01</v>
      </c>
    </row>
    <row r="1319" spans="1:7" x14ac:dyDescent="0.2">
      <c r="A1319" s="26">
        <v>74</v>
      </c>
      <c r="B1319" s="26">
        <v>45</v>
      </c>
      <c r="C1319" s="26">
        <v>119</v>
      </c>
      <c r="D1319" s="26" t="s">
        <v>1417</v>
      </c>
      <c r="E1319" s="26" t="s">
        <v>794</v>
      </c>
      <c r="F1319" s="26" t="s">
        <v>1505</v>
      </c>
      <c r="G1319" s="26">
        <f t="shared" si="20"/>
        <v>-63239.01</v>
      </c>
    </row>
    <row r="1320" spans="1:7" x14ac:dyDescent="0.2">
      <c r="A1320" s="26">
        <v>73</v>
      </c>
      <c r="B1320" s="26">
        <v>46</v>
      </c>
      <c r="C1320" s="26">
        <v>119</v>
      </c>
      <c r="D1320" s="26" t="s">
        <v>1418</v>
      </c>
      <c r="E1320" s="26" t="s">
        <v>795</v>
      </c>
      <c r="F1320" s="26" t="s">
        <v>1730</v>
      </c>
      <c r="G1320" s="26">
        <f t="shared" si="20"/>
        <v>-71623.009999999995</v>
      </c>
    </row>
    <row r="1321" spans="1:7" x14ac:dyDescent="0.2">
      <c r="A1321" s="26">
        <v>72</v>
      </c>
      <c r="B1321" s="26">
        <v>47</v>
      </c>
      <c r="C1321" s="26">
        <v>119</v>
      </c>
      <c r="D1321" s="26" t="s">
        <v>1419</v>
      </c>
      <c r="E1321" s="26">
        <v>-78557.491999999998</v>
      </c>
      <c r="F1321" s="26">
        <v>89.775000000000006</v>
      </c>
      <c r="G1321" s="26">
        <f t="shared" si="20"/>
        <v>-78557.491999999998</v>
      </c>
    </row>
    <row r="1322" spans="1:7" x14ac:dyDescent="0.2">
      <c r="A1322" s="26">
        <v>71</v>
      </c>
      <c r="B1322" s="26">
        <v>48</v>
      </c>
      <c r="C1322" s="26">
        <v>119</v>
      </c>
      <c r="D1322" s="26" t="s">
        <v>1420</v>
      </c>
      <c r="E1322" s="26">
        <v>-83907.491999999998</v>
      </c>
      <c r="F1322" s="26">
        <v>80.370999999999995</v>
      </c>
      <c r="G1322" s="26">
        <f t="shared" si="20"/>
        <v>-83907.491999999998</v>
      </c>
    </row>
    <row r="1323" spans="1:7" x14ac:dyDescent="0.2">
      <c r="A1323" s="26">
        <v>70</v>
      </c>
      <c r="B1323" s="26">
        <v>49</v>
      </c>
      <c r="C1323" s="26">
        <v>119</v>
      </c>
      <c r="D1323" s="26" t="s">
        <v>1421</v>
      </c>
      <c r="E1323" s="26">
        <v>-87704.491999999998</v>
      </c>
      <c r="F1323" s="26">
        <v>7.7130000000000001</v>
      </c>
      <c r="G1323" s="26">
        <f t="shared" si="20"/>
        <v>-87704.491999999998</v>
      </c>
    </row>
    <row r="1324" spans="1:7" x14ac:dyDescent="0.2">
      <c r="A1324" s="26">
        <v>69</v>
      </c>
      <c r="B1324" s="26">
        <v>50</v>
      </c>
      <c r="C1324" s="26">
        <v>119</v>
      </c>
      <c r="D1324" s="26" t="s">
        <v>1422</v>
      </c>
      <c r="E1324" s="26">
        <v>-90068.362999999998</v>
      </c>
      <c r="F1324" s="26">
        <v>2.8730000000000002</v>
      </c>
      <c r="G1324" s="26">
        <f t="shared" si="20"/>
        <v>-90068.362999999998</v>
      </c>
    </row>
    <row r="1325" spans="1:7" x14ac:dyDescent="0.2">
      <c r="A1325" s="26">
        <v>68</v>
      </c>
      <c r="B1325" s="26">
        <v>51</v>
      </c>
      <c r="C1325" s="26">
        <v>119</v>
      </c>
      <c r="D1325" s="26" t="s">
        <v>1423</v>
      </c>
      <c r="E1325" s="26">
        <v>-89477.442999999999</v>
      </c>
      <c r="F1325" s="26">
        <v>8.1999999999999993</v>
      </c>
      <c r="G1325" s="26">
        <f t="shared" si="20"/>
        <v>-89477.442999999999</v>
      </c>
    </row>
    <row r="1326" spans="1:7" x14ac:dyDescent="0.2">
      <c r="A1326" s="26">
        <v>67</v>
      </c>
      <c r="B1326" s="26">
        <v>52</v>
      </c>
      <c r="C1326" s="26">
        <v>119</v>
      </c>
      <c r="D1326" s="26" t="s">
        <v>1424</v>
      </c>
      <c r="E1326" s="26">
        <v>-87184.442999999999</v>
      </c>
      <c r="F1326" s="26">
        <v>8.4410000000000007</v>
      </c>
      <c r="G1326" s="26">
        <f t="shared" si="20"/>
        <v>-87184.442999999999</v>
      </c>
    </row>
    <row r="1327" spans="1:7" x14ac:dyDescent="0.2">
      <c r="A1327" s="26">
        <v>66</v>
      </c>
      <c r="B1327" s="26">
        <v>53</v>
      </c>
      <c r="C1327" s="26">
        <v>119</v>
      </c>
      <c r="D1327" s="26" t="s">
        <v>1425</v>
      </c>
      <c r="E1327" s="26">
        <v>-83765.53</v>
      </c>
      <c r="F1327" s="26">
        <v>27.945</v>
      </c>
      <c r="G1327" s="26">
        <f t="shared" si="20"/>
        <v>-83765.53</v>
      </c>
    </row>
    <row r="1328" spans="1:7" x14ac:dyDescent="0.2">
      <c r="A1328" s="26">
        <v>65</v>
      </c>
      <c r="B1328" s="26">
        <v>54</v>
      </c>
      <c r="C1328" s="26">
        <v>119</v>
      </c>
      <c r="D1328" s="26" t="s">
        <v>1426</v>
      </c>
      <c r="E1328" s="26">
        <v>-78794.437000000005</v>
      </c>
      <c r="F1328" s="26">
        <v>10.378</v>
      </c>
      <c r="G1328" s="26">
        <f t="shared" si="20"/>
        <v>-78794.437000000005</v>
      </c>
    </row>
    <row r="1329" spans="1:7" x14ac:dyDescent="0.2">
      <c r="A1329" s="26">
        <v>64</v>
      </c>
      <c r="B1329" s="26">
        <v>55</v>
      </c>
      <c r="C1329" s="26">
        <v>119</v>
      </c>
      <c r="D1329" s="26" t="s">
        <v>1427</v>
      </c>
      <c r="E1329" s="26">
        <v>-72305.074999999997</v>
      </c>
      <c r="F1329" s="26">
        <v>13.94</v>
      </c>
      <c r="G1329" s="26">
        <f t="shared" si="20"/>
        <v>-72305.074999999997</v>
      </c>
    </row>
    <row r="1330" spans="1:7" x14ac:dyDescent="0.2">
      <c r="A1330" s="26">
        <v>63</v>
      </c>
      <c r="B1330" s="26">
        <v>56</v>
      </c>
      <c r="C1330" s="26">
        <v>119</v>
      </c>
      <c r="D1330" s="26" t="s">
        <v>1428</v>
      </c>
      <c r="E1330" s="26">
        <v>-64590.11</v>
      </c>
      <c r="F1330" s="26">
        <v>200.26900000000001</v>
      </c>
      <c r="G1330" s="26">
        <f t="shared" si="20"/>
        <v>-64590.11</v>
      </c>
    </row>
    <row r="1331" spans="1:7" x14ac:dyDescent="0.2">
      <c r="A1331" s="26">
        <v>62</v>
      </c>
      <c r="B1331" s="26">
        <v>57</v>
      </c>
      <c r="C1331" s="26">
        <v>119</v>
      </c>
      <c r="D1331" s="26" t="s">
        <v>1429</v>
      </c>
      <c r="E1331" s="26" t="s">
        <v>1340</v>
      </c>
      <c r="F1331" s="26" t="s">
        <v>1723</v>
      </c>
      <c r="G1331" s="26">
        <f t="shared" si="20"/>
        <v>-54967.01</v>
      </c>
    </row>
    <row r="1332" spans="1:7" x14ac:dyDescent="0.2">
      <c r="A1332" s="26">
        <v>61</v>
      </c>
      <c r="B1332" s="26">
        <v>58</v>
      </c>
      <c r="C1332" s="26">
        <v>119</v>
      </c>
      <c r="D1332" s="26" t="s">
        <v>1677</v>
      </c>
      <c r="E1332" s="26" t="s">
        <v>1341</v>
      </c>
      <c r="F1332" s="26" t="s">
        <v>1505</v>
      </c>
      <c r="G1332" s="26">
        <f t="shared" si="20"/>
        <v>-44004.01</v>
      </c>
    </row>
    <row r="1333" spans="1:7" x14ac:dyDescent="0.2">
      <c r="A1333" s="26">
        <v>76</v>
      </c>
      <c r="B1333" s="26">
        <v>44</v>
      </c>
      <c r="C1333" s="26">
        <v>120</v>
      </c>
      <c r="D1333" s="26" t="s">
        <v>1416</v>
      </c>
      <c r="E1333" s="26" t="s">
        <v>796</v>
      </c>
      <c r="F1333" s="26" t="s">
        <v>1725</v>
      </c>
      <c r="G1333" s="26">
        <f t="shared" si="20"/>
        <v>-50943.01</v>
      </c>
    </row>
    <row r="1334" spans="1:7" x14ac:dyDescent="0.2">
      <c r="A1334" s="26">
        <v>75</v>
      </c>
      <c r="B1334" s="26">
        <v>45</v>
      </c>
      <c r="C1334" s="26">
        <v>120</v>
      </c>
      <c r="D1334" s="26" t="s">
        <v>1417</v>
      </c>
      <c r="E1334" s="26" t="s">
        <v>797</v>
      </c>
      <c r="F1334" s="26" t="s">
        <v>1505</v>
      </c>
      <c r="G1334" s="26">
        <f t="shared" si="20"/>
        <v>-59234.01</v>
      </c>
    </row>
    <row r="1335" spans="1:7" x14ac:dyDescent="0.2">
      <c r="A1335" s="26">
        <v>74</v>
      </c>
      <c r="B1335" s="26">
        <v>46</v>
      </c>
      <c r="C1335" s="26">
        <v>120</v>
      </c>
      <c r="D1335" s="26" t="s">
        <v>1418</v>
      </c>
      <c r="E1335" s="26">
        <v>-70149.063999999998</v>
      </c>
      <c r="F1335" s="26">
        <v>123.908</v>
      </c>
      <c r="G1335" s="26">
        <f t="shared" si="20"/>
        <v>-70149.063999999998</v>
      </c>
    </row>
    <row r="1336" spans="1:7" x14ac:dyDescent="0.2">
      <c r="A1336" s="26">
        <v>73</v>
      </c>
      <c r="B1336" s="26">
        <v>47</v>
      </c>
      <c r="C1336" s="26">
        <v>120</v>
      </c>
      <c r="D1336" s="26" t="s">
        <v>1419</v>
      </c>
      <c r="E1336" s="26">
        <v>-75649.063999999998</v>
      </c>
      <c r="F1336" s="26">
        <v>73.165000000000006</v>
      </c>
      <c r="G1336" s="26">
        <f t="shared" si="20"/>
        <v>-75649.063999999998</v>
      </c>
    </row>
    <row r="1337" spans="1:7" x14ac:dyDescent="0.2">
      <c r="A1337" s="26">
        <v>72</v>
      </c>
      <c r="B1337" s="26">
        <v>48</v>
      </c>
      <c r="C1337" s="26">
        <v>120</v>
      </c>
      <c r="D1337" s="26" t="s">
        <v>1420</v>
      </c>
      <c r="E1337" s="26">
        <v>-83974.063999999998</v>
      </c>
      <c r="F1337" s="26">
        <v>18.792999999999999</v>
      </c>
      <c r="G1337" s="26">
        <f t="shared" si="20"/>
        <v>-83974.063999999998</v>
      </c>
    </row>
    <row r="1338" spans="1:7" x14ac:dyDescent="0.2">
      <c r="A1338" s="26">
        <v>71</v>
      </c>
      <c r="B1338" s="26">
        <v>49</v>
      </c>
      <c r="C1338" s="26">
        <v>120</v>
      </c>
      <c r="D1338" s="26" t="s">
        <v>1421</v>
      </c>
      <c r="E1338" s="26">
        <v>-85735.073000000004</v>
      </c>
      <c r="F1338" s="26">
        <v>40.078000000000003</v>
      </c>
      <c r="G1338" s="26">
        <f t="shared" si="20"/>
        <v>-85735.073000000004</v>
      </c>
    </row>
    <row r="1339" spans="1:7" x14ac:dyDescent="0.2">
      <c r="A1339" s="26">
        <v>70</v>
      </c>
      <c r="B1339" s="26">
        <v>50</v>
      </c>
      <c r="C1339" s="26">
        <v>120</v>
      </c>
      <c r="D1339" s="26" t="s">
        <v>1422</v>
      </c>
      <c r="E1339" s="26">
        <v>-91105.073000000004</v>
      </c>
      <c r="F1339" s="26">
        <v>2.504</v>
      </c>
      <c r="G1339" s="26">
        <f t="shared" si="20"/>
        <v>-91105.073000000004</v>
      </c>
    </row>
    <row r="1340" spans="1:7" x14ac:dyDescent="0.2">
      <c r="A1340" s="26">
        <v>69</v>
      </c>
      <c r="B1340" s="26">
        <v>51</v>
      </c>
      <c r="C1340" s="26">
        <v>120</v>
      </c>
      <c r="D1340" s="26" t="s">
        <v>1423</v>
      </c>
      <c r="E1340" s="26">
        <v>-88424.464999999997</v>
      </c>
      <c r="F1340" s="26">
        <v>7.5659999999999998</v>
      </c>
      <c r="G1340" s="26">
        <f t="shared" si="20"/>
        <v>-88424.464999999997</v>
      </c>
    </row>
    <row r="1341" spans="1:7" x14ac:dyDescent="0.2">
      <c r="A1341" s="26">
        <v>68</v>
      </c>
      <c r="B1341" s="26">
        <v>52</v>
      </c>
      <c r="C1341" s="26">
        <v>120</v>
      </c>
      <c r="D1341" s="26" t="s">
        <v>1424</v>
      </c>
      <c r="E1341" s="26">
        <v>-89404.587</v>
      </c>
      <c r="F1341" s="26">
        <v>9.6959999999999997</v>
      </c>
      <c r="G1341" s="26">
        <f t="shared" si="20"/>
        <v>-89404.587</v>
      </c>
    </row>
    <row r="1342" spans="1:7" x14ac:dyDescent="0.2">
      <c r="A1342" s="26">
        <v>67</v>
      </c>
      <c r="B1342" s="26">
        <v>53</v>
      </c>
      <c r="C1342" s="26">
        <v>120</v>
      </c>
      <c r="D1342" s="26" t="s">
        <v>1425</v>
      </c>
      <c r="E1342" s="26">
        <v>-83789.587</v>
      </c>
      <c r="F1342" s="26">
        <v>17.861000000000001</v>
      </c>
      <c r="G1342" s="26">
        <f t="shared" si="20"/>
        <v>-83789.587</v>
      </c>
    </row>
    <row r="1343" spans="1:7" x14ac:dyDescent="0.2">
      <c r="A1343" s="26">
        <v>66</v>
      </c>
      <c r="B1343" s="26">
        <v>54</v>
      </c>
      <c r="C1343" s="26">
        <v>120</v>
      </c>
      <c r="D1343" s="26" t="s">
        <v>1426</v>
      </c>
      <c r="E1343" s="26">
        <v>-82172.448000000004</v>
      </c>
      <c r="F1343" s="26">
        <v>11.817</v>
      </c>
      <c r="G1343" s="26">
        <f t="shared" si="20"/>
        <v>-82172.448000000004</v>
      </c>
    </row>
    <row r="1344" spans="1:7" x14ac:dyDescent="0.2">
      <c r="A1344" s="26">
        <v>65</v>
      </c>
      <c r="B1344" s="26">
        <v>55</v>
      </c>
      <c r="C1344" s="26">
        <v>120</v>
      </c>
      <c r="D1344" s="26" t="s">
        <v>1427</v>
      </c>
      <c r="E1344" s="26">
        <v>-73888.663</v>
      </c>
      <c r="F1344" s="26">
        <v>9.9700000000000006</v>
      </c>
      <c r="G1344" s="26">
        <f t="shared" si="20"/>
        <v>-73888.663</v>
      </c>
    </row>
    <row r="1345" spans="1:7" x14ac:dyDescent="0.2">
      <c r="A1345" s="26">
        <v>64</v>
      </c>
      <c r="B1345" s="26">
        <v>56</v>
      </c>
      <c r="C1345" s="26">
        <v>120</v>
      </c>
      <c r="D1345" s="26" t="s">
        <v>1428</v>
      </c>
      <c r="E1345" s="26">
        <v>-68888.663</v>
      </c>
      <c r="F1345" s="26">
        <v>300.166</v>
      </c>
      <c r="G1345" s="26">
        <f t="shared" si="20"/>
        <v>-68888.663</v>
      </c>
    </row>
    <row r="1346" spans="1:7" x14ac:dyDescent="0.2">
      <c r="A1346" s="26">
        <v>63</v>
      </c>
      <c r="B1346" s="26">
        <v>57</v>
      </c>
      <c r="C1346" s="26">
        <v>120</v>
      </c>
      <c r="D1346" s="26" t="s">
        <v>1429</v>
      </c>
      <c r="E1346" s="26" t="s">
        <v>1342</v>
      </c>
      <c r="F1346" s="26" t="s">
        <v>1728</v>
      </c>
      <c r="G1346" s="26">
        <f t="shared" si="20"/>
        <v>-57687.01</v>
      </c>
    </row>
    <row r="1347" spans="1:7" x14ac:dyDescent="0.2">
      <c r="A1347" s="26">
        <v>62</v>
      </c>
      <c r="B1347" s="26">
        <v>58</v>
      </c>
      <c r="C1347" s="26">
        <v>120</v>
      </c>
      <c r="D1347" s="26" t="s">
        <v>1677</v>
      </c>
      <c r="E1347" s="26" t="s">
        <v>1343</v>
      </c>
      <c r="F1347" s="26" t="s">
        <v>1508</v>
      </c>
      <c r="G1347" s="26">
        <f t="shared" si="20"/>
        <v>-49705.01</v>
      </c>
    </row>
    <row r="1348" spans="1:7" x14ac:dyDescent="0.2">
      <c r="A1348" s="26">
        <v>76</v>
      </c>
      <c r="B1348" s="26">
        <v>45</v>
      </c>
      <c r="C1348" s="26">
        <v>121</v>
      </c>
      <c r="D1348" s="26" t="s">
        <v>1417</v>
      </c>
      <c r="E1348" s="26" t="s">
        <v>798</v>
      </c>
      <c r="F1348" s="26" t="s">
        <v>1731</v>
      </c>
      <c r="G1348" s="26">
        <f t="shared" si="20"/>
        <v>-57082.01</v>
      </c>
    </row>
    <row r="1349" spans="1:7" x14ac:dyDescent="0.2">
      <c r="A1349" s="26">
        <v>75</v>
      </c>
      <c r="B1349" s="26">
        <v>46</v>
      </c>
      <c r="C1349" s="26">
        <v>121</v>
      </c>
      <c r="D1349" s="26" t="s">
        <v>1418</v>
      </c>
      <c r="E1349" s="26" t="s">
        <v>799</v>
      </c>
      <c r="F1349" s="26" t="s">
        <v>1728</v>
      </c>
      <c r="G1349" s="26">
        <f t="shared" si="20"/>
        <v>-66257.009999999995</v>
      </c>
    </row>
    <row r="1350" spans="1:7" x14ac:dyDescent="0.2">
      <c r="A1350" s="26">
        <v>74</v>
      </c>
      <c r="B1350" s="26">
        <v>47</v>
      </c>
      <c r="C1350" s="26">
        <v>121</v>
      </c>
      <c r="D1350" s="26" t="s">
        <v>1419</v>
      </c>
      <c r="E1350" s="26">
        <v>-74661.063999999998</v>
      </c>
      <c r="F1350" s="26">
        <v>146.81</v>
      </c>
      <c r="G1350" s="26">
        <f t="shared" si="20"/>
        <v>-74661.063999999998</v>
      </c>
    </row>
    <row r="1351" spans="1:7" x14ac:dyDescent="0.2">
      <c r="A1351" s="26">
        <v>73</v>
      </c>
      <c r="B1351" s="26">
        <v>48</v>
      </c>
      <c r="C1351" s="26">
        <v>121</v>
      </c>
      <c r="D1351" s="26" t="s">
        <v>1420</v>
      </c>
      <c r="E1351" s="26">
        <v>-81061.063999999998</v>
      </c>
      <c r="F1351" s="26">
        <v>84.575999999999993</v>
      </c>
      <c r="G1351" s="26">
        <f t="shared" si="20"/>
        <v>-81061.063999999998</v>
      </c>
    </row>
    <row r="1352" spans="1:7" x14ac:dyDescent="0.2">
      <c r="A1352" s="26">
        <v>72</v>
      </c>
      <c r="B1352" s="26">
        <v>49</v>
      </c>
      <c r="C1352" s="26">
        <v>121</v>
      </c>
      <c r="D1352" s="26" t="s">
        <v>1421</v>
      </c>
      <c r="E1352" s="26">
        <v>-85841.063999999998</v>
      </c>
      <c r="F1352" s="26">
        <v>27.443999999999999</v>
      </c>
      <c r="G1352" s="26">
        <f t="shared" si="20"/>
        <v>-85841.063999999998</v>
      </c>
    </row>
    <row r="1353" spans="1:7" x14ac:dyDescent="0.2">
      <c r="A1353" s="26">
        <v>71</v>
      </c>
      <c r="B1353" s="26">
        <v>50</v>
      </c>
      <c r="C1353" s="26">
        <v>121</v>
      </c>
      <c r="D1353" s="26" t="s">
        <v>1422</v>
      </c>
      <c r="E1353" s="26">
        <v>-89204.076000000001</v>
      </c>
      <c r="F1353" s="26">
        <v>2.4950000000000001</v>
      </c>
      <c r="G1353" s="26">
        <f t="shared" si="20"/>
        <v>-89204.076000000001</v>
      </c>
    </row>
    <row r="1354" spans="1:7" x14ac:dyDescent="0.2">
      <c r="A1354" s="26">
        <v>70</v>
      </c>
      <c r="B1354" s="26">
        <v>51</v>
      </c>
      <c r="C1354" s="26">
        <v>121</v>
      </c>
      <c r="D1354" s="26" t="s">
        <v>1423</v>
      </c>
      <c r="E1354" s="26">
        <v>-89595.111000000004</v>
      </c>
      <c r="F1354" s="26">
        <v>2.198</v>
      </c>
      <c r="G1354" s="26">
        <f t="shared" ref="G1354:G1417" si="21">IF(ISNUMBER(E1354),E1354,VALUE(SUBSTITUTE(E1354,"#",".01")))</f>
        <v>-89595.111000000004</v>
      </c>
    </row>
    <row r="1355" spans="1:7" x14ac:dyDescent="0.2">
      <c r="A1355" s="26">
        <v>69</v>
      </c>
      <c r="B1355" s="26">
        <v>52</v>
      </c>
      <c r="C1355" s="26">
        <v>121</v>
      </c>
      <c r="D1355" s="26" t="s">
        <v>1424</v>
      </c>
      <c r="E1355" s="26">
        <v>-88551.150999999998</v>
      </c>
      <c r="F1355" s="26">
        <v>25.93</v>
      </c>
      <c r="G1355" s="26">
        <f t="shared" si="21"/>
        <v>-88551.150999999998</v>
      </c>
    </row>
    <row r="1356" spans="1:7" x14ac:dyDescent="0.2">
      <c r="A1356" s="26">
        <v>68</v>
      </c>
      <c r="B1356" s="26">
        <v>53</v>
      </c>
      <c r="C1356" s="26">
        <v>121</v>
      </c>
      <c r="D1356" s="26" t="s">
        <v>1425</v>
      </c>
      <c r="E1356" s="26">
        <v>-86287.26</v>
      </c>
      <c r="F1356" s="26">
        <v>10.361000000000001</v>
      </c>
      <c r="G1356" s="26">
        <f t="shared" si="21"/>
        <v>-86287.26</v>
      </c>
    </row>
    <row r="1357" spans="1:7" x14ac:dyDescent="0.2">
      <c r="A1357" s="26">
        <v>67</v>
      </c>
      <c r="B1357" s="26">
        <v>54</v>
      </c>
      <c r="C1357" s="26">
        <v>121</v>
      </c>
      <c r="D1357" s="26" t="s">
        <v>1426</v>
      </c>
      <c r="E1357" s="26">
        <v>-82472.774999999994</v>
      </c>
      <c r="F1357" s="26">
        <v>11.111000000000001</v>
      </c>
      <c r="G1357" s="26">
        <f t="shared" si="21"/>
        <v>-82472.774999999994</v>
      </c>
    </row>
    <row r="1358" spans="1:7" x14ac:dyDescent="0.2">
      <c r="A1358" s="26">
        <v>66</v>
      </c>
      <c r="B1358" s="26">
        <v>55</v>
      </c>
      <c r="C1358" s="26">
        <v>121</v>
      </c>
      <c r="D1358" s="26" t="s">
        <v>1427</v>
      </c>
      <c r="E1358" s="26">
        <v>-77100.494999999995</v>
      </c>
      <c r="F1358" s="26">
        <v>13.817</v>
      </c>
      <c r="G1358" s="26">
        <f t="shared" si="21"/>
        <v>-77100.494999999995</v>
      </c>
    </row>
    <row r="1359" spans="1:7" x14ac:dyDescent="0.2">
      <c r="A1359" s="26">
        <v>65</v>
      </c>
      <c r="B1359" s="26">
        <v>56</v>
      </c>
      <c r="C1359" s="26">
        <v>121</v>
      </c>
      <c r="D1359" s="26" t="s">
        <v>1428</v>
      </c>
      <c r="E1359" s="26">
        <v>-70742.778999999995</v>
      </c>
      <c r="F1359" s="26">
        <v>141.851</v>
      </c>
      <c r="G1359" s="26">
        <f t="shared" si="21"/>
        <v>-70742.778999999995</v>
      </c>
    </row>
    <row r="1360" spans="1:7" x14ac:dyDescent="0.2">
      <c r="A1360" s="26">
        <v>64</v>
      </c>
      <c r="B1360" s="26">
        <v>57</v>
      </c>
      <c r="C1360" s="26">
        <v>121</v>
      </c>
      <c r="D1360" s="26" t="s">
        <v>1429</v>
      </c>
      <c r="E1360" s="26" t="s">
        <v>1344</v>
      </c>
      <c r="F1360" s="26" t="s">
        <v>1728</v>
      </c>
      <c r="G1360" s="26">
        <f t="shared" si="21"/>
        <v>-62401.01</v>
      </c>
    </row>
    <row r="1361" spans="1:7" x14ac:dyDescent="0.2">
      <c r="A1361" s="26">
        <v>63</v>
      </c>
      <c r="B1361" s="26">
        <v>58</v>
      </c>
      <c r="C1361" s="26">
        <v>121</v>
      </c>
      <c r="D1361" s="26" t="s">
        <v>1677</v>
      </c>
      <c r="E1361" s="26" t="s">
        <v>800</v>
      </c>
      <c r="F1361" s="26" t="s">
        <v>1728</v>
      </c>
      <c r="G1361" s="26">
        <f t="shared" si="21"/>
        <v>-52704.01</v>
      </c>
    </row>
    <row r="1362" spans="1:7" x14ac:dyDescent="0.2">
      <c r="A1362" s="26">
        <v>62</v>
      </c>
      <c r="B1362" s="26">
        <v>59</v>
      </c>
      <c r="C1362" s="26">
        <v>121</v>
      </c>
      <c r="D1362" s="26" t="s">
        <v>1678</v>
      </c>
      <c r="E1362" s="26" t="s">
        <v>1345</v>
      </c>
      <c r="F1362" s="26" t="s">
        <v>801</v>
      </c>
      <c r="G1362" s="26">
        <f t="shared" si="21"/>
        <v>-41579.01</v>
      </c>
    </row>
    <row r="1363" spans="1:7" x14ac:dyDescent="0.2">
      <c r="A1363" s="26">
        <v>77</v>
      </c>
      <c r="B1363" s="26">
        <v>45</v>
      </c>
      <c r="C1363" s="26">
        <v>122</v>
      </c>
      <c r="D1363" s="26" t="s">
        <v>1417</v>
      </c>
      <c r="E1363" s="26" t="s">
        <v>1107</v>
      </c>
      <c r="F1363" s="26" t="s">
        <v>1508</v>
      </c>
      <c r="G1363" s="26">
        <f t="shared" si="21"/>
        <v>-52900.01</v>
      </c>
    </row>
    <row r="1364" spans="1:7" x14ac:dyDescent="0.2">
      <c r="A1364" s="26">
        <v>76</v>
      </c>
      <c r="B1364" s="26">
        <v>46</v>
      </c>
      <c r="C1364" s="26">
        <v>122</v>
      </c>
      <c r="D1364" s="26" t="s">
        <v>1418</v>
      </c>
      <c r="E1364" s="26" t="s">
        <v>1108</v>
      </c>
      <c r="F1364" s="26" t="s">
        <v>1723</v>
      </c>
      <c r="G1364" s="26">
        <f t="shared" si="21"/>
        <v>-64692.01</v>
      </c>
    </row>
    <row r="1365" spans="1:7" x14ac:dyDescent="0.2">
      <c r="A1365" s="26">
        <v>75</v>
      </c>
      <c r="B1365" s="26">
        <v>47</v>
      </c>
      <c r="C1365" s="26">
        <v>122</v>
      </c>
      <c r="D1365" s="26" t="s">
        <v>1419</v>
      </c>
      <c r="E1365" s="26" t="s">
        <v>1109</v>
      </c>
      <c r="F1365" s="26" t="s">
        <v>1306</v>
      </c>
      <c r="G1365" s="26">
        <f t="shared" si="21"/>
        <v>-71231.009999999995</v>
      </c>
    </row>
    <row r="1366" spans="1:7" x14ac:dyDescent="0.2">
      <c r="A1366" s="26">
        <v>74</v>
      </c>
      <c r="B1366" s="26">
        <v>48</v>
      </c>
      <c r="C1366" s="26">
        <v>122</v>
      </c>
      <c r="D1366" s="26" t="s">
        <v>1420</v>
      </c>
      <c r="E1366" s="26">
        <v>-80730.320000000007</v>
      </c>
      <c r="F1366" s="26">
        <v>43.023000000000003</v>
      </c>
      <c r="G1366" s="26">
        <f t="shared" si="21"/>
        <v>-80730.320000000007</v>
      </c>
    </row>
    <row r="1367" spans="1:7" x14ac:dyDescent="0.2">
      <c r="A1367" s="26">
        <v>73</v>
      </c>
      <c r="B1367" s="26">
        <v>49</v>
      </c>
      <c r="C1367" s="26">
        <v>122</v>
      </c>
      <c r="D1367" s="26" t="s">
        <v>1421</v>
      </c>
      <c r="E1367" s="26">
        <v>-83577.358999999997</v>
      </c>
      <c r="F1367" s="26">
        <v>50.073999999999998</v>
      </c>
      <c r="G1367" s="26">
        <f t="shared" si="21"/>
        <v>-83577.358999999997</v>
      </c>
    </row>
    <row r="1368" spans="1:7" x14ac:dyDescent="0.2">
      <c r="A1368" s="26">
        <v>72</v>
      </c>
      <c r="B1368" s="26">
        <v>50</v>
      </c>
      <c r="C1368" s="26">
        <v>122</v>
      </c>
      <c r="D1368" s="26" t="s">
        <v>1422</v>
      </c>
      <c r="E1368" s="26">
        <v>-89945.95</v>
      </c>
      <c r="F1368" s="26">
        <v>2.7160000000000002</v>
      </c>
      <c r="G1368" s="26">
        <f t="shared" si="21"/>
        <v>-89945.95</v>
      </c>
    </row>
    <row r="1369" spans="1:7" x14ac:dyDescent="0.2">
      <c r="A1369" s="26">
        <v>71</v>
      </c>
      <c r="B1369" s="26">
        <v>51</v>
      </c>
      <c r="C1369" s="26">
        <v>122</v>
      </c>
      <c r="D1369" s="26" t="s">
        <v>1423</v>
      </c>
      <c r="E1369" s="26">
        <v>-88330.175000000003</v>
      </c>
      <c r="F1369" s="26">
        <v>2.1970000000000001</v>
      </c>
      <c r="G1369" s="26">
        <f t="shared" si="21"/>
        <v>-88330.175000000003</v>
      </c>
    </row>
    <row r="1370" spans="1:7" x14ac:dyDescent="0.2">
      <c r="A1370" s="26">
        <v>70</v>
      </c>
      <c r="B1370" s="26">
        <v>52</v>
      </c>
      <c r="C1370" s="26">
        <v>122</v>
      </c>
      <c r="D1370" s="26" t="s">
        <v>1424</v>
      </c>
      <c r="E1370" s="26">
        <v>-90314.028000000006</v>
      </c>
      <c r="F1370" s="26">
        <v>1.49</v>
      </c>
      <c r="G1370" s="26">
        <f t="shared" si="21"/>
        <v>-90314.028000000006</v>
      </c>
    </row>
    <row r="1371" spans="1:7" x14ac:dyDescent="0.2">
      <c r="A1371" s="26">
        <v>69</v>
      </c>
      <c r="B1371" s="26">
        <v>53</v>
      </c>
      <c r="C1371" s="26">
        <v>122</v>
      </c>
      <c r="D1371" s="26" t="s">
        <v>1425</v>
      </c>
      <c r="E1371" s="26">
        <v>-86080.028000000006</v>
      </c>
      <c r="F1371" s="26">
        <v>5.2169999999999996</v>
      </c>
      <c r="G1371" s="26">
        <f t="shared" si="21"/>
        <v>-86080.028000000006</v>
      </c>
    </row>
    <row r="1372" spans="1:7" x14ac:dyDescent="0.2">
      <c r="A1372" s="26">
        <v>68</v>
      </c>
      <c r="B1372" s="26">
        <v>54</v>
      </c>
      <c r="C1372" s="26">
        <v>122</v>
      </c>
      <c r="D1372" s="26" t="s">
        <v>1426</v>
      </c>
      <c r="E1372" s="26">
        <v>-85355.001999999993</v>
      </c>
      <c r="F1372" s="26">
        <v>11.111000000000001</v>
      </c>
      <c r="G1372" s="26">
        <f t="shared" si="21"/>
        <v>-85355.001999999993</v>
      </c>
    </row>
    <row r="1373" spans="1:7" x14ac:dyDescent="0.2">
      <c r="A1373" s="26">
        <v>67</v>
      </c>
      <c r="B1373" s="26">
        <v>55</v>
      </c>
      <c r="C1373" s="26">
        <v>122</v>
      </c>
      <c r="D1373" s="26" t="s">
        <v>1427</v>
      </c>
      <c r="E1373" s="26">
        <v>-78139.832999999999</v>
      </c>
      <c r="F1373" s="26">
        <v>31.952999999999999</v>
      </c>
      <c r="G1373" s="26">
        <f t="shared" si="21"/>
        <v>-78139.832999999999</v>
      </c>
    </row>
    <row r="1374" spans="1:7" x14ac:dyDescent="0.2">
      <c r="A1374" s="26">
        <v>66</v>
      </c>
      <c r="B1374" s="26">
        <v>56</v>
      </c>
      <c r="C1374" s="26">
        <v>122</v>
      </c>
      <c r="D1374" s="26" t="s">
        <v>1428</v>
      </c>
      <c r="E1374" s="26">
        <v>-74608.944000000003</v>
      </c>
      <c r="F1374" s="26">
        <v>27.945</v>
      </c>
      <c r="G1374" s="26">
        <f t="shared" si="21"/>
        <v>-74608.944000000003</v>
      </c>
    </row>
    <row r="1375" spans="1:7" x14ac:dyDescent="0.2">
      <c r="A1375" s="26">
        <v>65</v>
      </c>
      <c r="B1375" s="26">
        <v>57</v>
      </c>
      <c r="C1375" s="26">
        <v>122</v>
      </c>
      <c r="D1375" s="26" t="s">
        <v>1429</v>
      </c>
      <c r="E1375" s="26" t="s">
        <v>1346</v>
      </c>
      <c r="F1375" s="26" t="s">
        <v>1730</v>
      </c>
      <c r="G1375" s="26">
        <f t="shared" si="21"/>
        <v>-64543.01</v>
      </c>
    </row>
    <row r="1376" spans="1:7" x14ac:dyDescent="0.2">
      <c r="A1376" s="26">
        <v>64</v>
      </c>
      <c r="B1376" s="26">
        <v>58</v>
      </c>
      <c r="C1376" s="26">
        <v>122</v>
      </c>
      <c r="D1376" s="26" t="s">
        <v>1677</v>
      </c>
      <c r="E1376" s="26" t="s">
        <v>1110</v>
      </c>
      <c r="F1376" s="26" t="s">
        <v>1723</v>
      </c>
      <c r="G1376" s="26">
        <f t="shared" si="21"/>
        <v>-57836.01</v>
      </c>
    </row>
    <row r="1377" spans="1:7" x14ac:dyDescent="0.2">
      <c r="A1377" s="26">
        <v>63</v>
      </c>
      <c r="B1377" s="26">
        <v>59</v>
      </c>
      <c r="C1377" s="26">
        <v>122</v>
      </c>
      <c r="D1377" s="26" t="s">
        <v>1678</v>
      </c>
      <c r="E1377" s="26" t="s">
        <v>1111</v>
      </c>
      <c r="F1377" s="26" t="s">
        <v>1728</v>
      </c>
      <c r="G1377" s="26">
        <f t="shared" si="21"/>
        <v>-44889.01</v>
      </c>
    </row>
    <row r="1378" spans="1:7" x14ac:dyDescent="0.2">
      <c r="A1378" s="26">
        <v>77</v>
      </c>
      <c r="B1378" s="26">
        <v>46</v>
      </c>
      <c r="C1378" s="26">
        <v>123</v>
      </c>
      <c r="D1378" s="26" t="s">
        <v>1418</v>
      </c>
      <c r="E1378" s="26" t="s">
        <v>1112</v>
      </c>
      <c r="F1378" s="26" t="s">
        <v>1505</v>
      </c>
      <c r="G1378" s="26">
        <f t="shared" si="21"/>
        <v>-60612.01</v>
      </c>
    </row>
    <row r="1379" spans="1:7" x14ac:dyDescent="0.2">
      <c r="A1379" s="26">
        <v>76</v>
      </c>
      <c r="B1379" s="26">
        <v>47</v>
      </c>
      <c r="C1379" s="26">
        <v>123</v>
      </c>
      <c r="D1379" s="26" t="s">
        <v>1419</v>
      </c>
      <c r="E1379" s="26" t="s">
        <v>1347</v>
      </c>
      <c r="F1379" s="26" t="s">
        <v>1306</v>
      </c>
      <c r="G1379" s="26">
        <f t="shared" si="21"/>
        <v>-69955.009999999995</v>
      </c>
    </row>
    <row r="1380" spans="1:7" x14ac:dyDescent="0.2">
      <c r="A1380" s="26">
        <v>75</v>
      </c>
      <c r="B1380" s="26">
        <v>48</v>
      </c>
      <c r="C1380" s="26">
        <v>123</v>
      </c>
      <c r="D1380" s="26" t="s">
        <v>1420</v>
      </c>
      <c r="E1380" s="26">
        <v>-77311.209000000003</v>
      </c>
      <c r="F1380" s="26">
        <v>40.875999999999998</v>
      </c>
      <c r="G1380" s="26">
        <f t="shared" si="21"/>
        <v>-77311.209000000003</v>
      </c>
    </row>
    <row r="1381" spans="1:7" x14ac:dyDescent="0.2">
      <c r="A1381" s="26">
        <v>74</v>
      </c>
      <c r="B1381" s="26">
        <v>49</v>
      </c>
      <c r="C1381" s="26">
        <v>123</v>
      </c>
      <c r="D1381" s="26" t="s">
        <v>1421</v>
      </c>
      <c r="E1381" s="26">
        <v>-83426.209000000003</v>
      </c>
      <c r="F1381" s="26">
        <v>24.120999999999999</v>
      </c>
      <c r="G1381" s="26">
        <f t="shared" si="21"/>
        <v>-83426.209000000003</v>
      </c>
    </row>
    <row r="1382" spans="1:7" x14ac:dyDescent="0.2">
      <c r="A1382" s="26">
        <v>73</v>
      </c>
      <c r="B1382" s="26">
        <v>50</v>
      </c>
      <c r="C1382" s="26">
        <v>123</v>
      </c>
      <c r="D1382" s="26" t="s">
        <v>1422</v>
      </c>
      <c r="E1382" s="26">
        <v>-87820.474000000002</v>
      </c>
      <c r="F1382" s="26">
        <v>2.706</v>
      </c>
      <c r="G1382" s="26">
        <f t="shared" si="21"/>
        <v>-87820.474000000002</v>
      </c>
    </row>
    <row r="1383" spans="1:7" x14ac:dyDescent="0.2">
      <c r="A1383" s="26">
        <v>72</v>
      </c>
      <c r="B1383" s="26">
        <v>51</v>
      </c>
      <c r="C1383" s="26">
        <v>123</v>
      </c>
      <c r="D1383" s="26" t="s">
        <v>1423</v>
      </c>
      <c r="E1383" s="26">
        <v>-89224.112999999998</v>
      </c>
      <c r="F1383" s="26">
        <v>2.0710000000000002</v>
      </c>
      <c r="G1383" s="26">
        <f t="shared" si="21"/>
        <v>-89224.112999999998</v>
      </c>
    </row>
    <row r="1384" spans="1:7" x14ac:dyDescent="0.2">
      <c r="A1384" s="26">
        <v>71</v>
      </c>
      <c r="B1384" s="26">
        <v>52</v>
      </c>
      <c r="C1384" s="26">
        <v>123</v>
      </c>
      <c r="D1384" s="26" t="s">
        <v>1424</v>
      </c>
      <c r="E1384" s="26">
        <v>-89171.894</v>
      </c>
      <c r="F1384" s="26">
        <v>1.4830000000000001</v>
      </c>
      <c r="G1384" s="26">
        <f t="shared" si="21"/>
        <v>-89171.894</v>
      </c>
    </row>
    <row r="1385" spans="1:7" x14ac:dyDescent="0.2">
      <c r="A1385" s="26">
        <v>70</v>
      </c>
      <c r="B1385" s="26">
        <v>53</v>
      </c>
      <c r="C1385" s="26">
        <v>123</v>
      </c>
      <c r="D1385" s="26" t="s">
        <v>1425</v>
      </c>
      <c r="E1385" s="26">
        <v>-87943.312999999995</v>
      </c>
      <c r="F1385" s="26">
        <v>3.734</v>
      </c>
      <c r="G1385" s="26">
        <f t="shared" si="21"/>
        <v>-87943.312999999995</v>
      </c>
    </row>
    <row r="1386" spans="1:7" x14ac:dyDescent="0.2">
      <c r="A1386" s="26">
        <v>69</v>
      </c>
      <c r="B1386" s="26">
        <v>54</v>
      </c>
      <c r="C1386" s="26">
        <v>123</v>
      </c>
      <c r="D1386" s="26" t="s">
        <v>1426</v>
      </c>
      <c r="E1386" s="26">
        <v>-85248.551999999996</v>
      </c>
      <c r="F1386" s="26">
        <v>9.5370000000000008</v>
      </c>
      <c r="G1386" s="26">
        <f t="shared" si="21"/>
        <v>-85248.551999999996</v>
      </c>
    </row>
    <row r="1387" spans="1:7" x14ac:dyDescent="0.2">
      <c r="A1387" s="26">
        <v>68</v>
      </c>
      <c r="B1387" s="26">
        <v>55</v>
      </c>
      <c r="C1387" s="26">
        <v>123</v>
      </c>
      <c r="D1387" s="26" t="s">
        <v>1427</v>
      </c>
      <c r="E1387" s="26">
        <v>-81043.671000000002</v>
      </c>
      <c r="F1387" s="26">
        <v>12.109</v>
      </c>
      <c r="G1387" s="26">
        <f t="shared" si="21"/>
        <v>-81043.671000000002</v>
      </c>
    </row>
    <row r="1388" spans="1:7" x14ac:dyDescent="0.2">
      <c r="A1388" s="26">
        <v>67</v>
      </c>
      <c r="B1388" s="26">
        <v>56</v>
      </c>
      <c r="C1388" s="26">
        <v>123</v>
      </c>
      <c r="D1388" s="26" t="s">
        <v>1428</v>
      </c>
      <c r="E1388" s="26">
        <v>-75654.978000000003</v>
      </c>
      <c r="F1388" s="26">
        <v>12.109</v>
      </c>
      <c r="G1388" s="26">
        <f t="shared" si="21"/>
        <v>-75654.978000000003</v>
      </c>
    </row>
    <row r="1389" spans="1:7" x14ac:dyDescent="0.2">
      <c r="A1389" s="26">
        <v>66</v>
      </c>
      <c r="B1389" s="26">
        <v>57</v>
      </c>
      <c r="C1389" s="26">
        <v>123</v>
      </c>
      <c r="D1389" s="26" t="s">
        <v>1429</v>
      </c>
      <c r="E1389" s="26" t="s">
        <v>1348</v>
      </c>
      <c r="F1389" s="26" t="s">
        <v>1480</v>
      </c>
      <c r="G1389" s="26">
        <f t="shared" si="21"/>
        <v>-68707.009999999995</v>
      </c>
    </row>
    <row r="1390" spans="1:7" x14ac:dyDescent="0.2">
      <c r="A1390" s="26">
        <v>65</v>
      </c>
      <c r="B1390" s="26">
        <v>58</v>
      </c>
      <c r="C1390" s="26">
        <v>123</v>
      </c>
      <c r="D1390" s="26" t="s">
        <v>1677</v>
      </c>
      <c r="E1390" s="26" t="s">
        <v>1113</v>
      </c>
      <c r="F1390" s="26" t="s">
        <v>1730</v>
      </c>
      <c r="G1390" s="26">
        <f t="shared" si="21"/>
        <v>-60175.01</v>
      </c>
    </row>
    <row r="1391" spans="1:7" x14ac:dyDescent="0.2">
      <c r="A1391" s="26">
        <v>64</v>
      </c>
      <c r="B1391" s="26">
        <v>59</v>
      </c>
      <c r="C1391" s="26">
        <v>123</v>
      </c>
      <c r="D1391" s="26" t="s">
        <v>1678</v>
      </c>
      <c r="E1391" s="26" t="s">
        <v>1635</v>
      </c>
      <c r="F1391" s="26" t="s">
        <v>1505</v>
      </c>
      <c r="G1391" s="26">
        <f t="shared" si="21"/>
        <v>-50338.01</v>
      </c>
    </row>
    <row r="1392" spans="1:7" x14ac:dyDescent="0.2">
      <c r="A1392" s="26">
        <v>78</v>
      </c>
      <c r="B1392" s="26">
        <v>46</v>
      </c>
      <c r="C1392" s="26">
        <v>124</v>
      </c>
      <c r="D1392" s="26" t="s">
        <v>1418</v>
      </c>
      <c r="E1392" s="26" t="s">
        <v>1640</v>
      </c>
      <c r="F1392" s="26" t="s">
        <v>1728</v>
      </c>
      <c r="G1392" s="26">
        <f t="shared" si="21"/>
        <v>-58796.01</v>
      </c>
    </row>
    <row r="1393" spans="1:7" x14ac:dyDescent="0.2">
      <c r="A1393" s="26">
        <v>77</v>
      </c>
      <c r="B1393" s="26">
        <v>47</v>
      </c>
      <c r="C1393" s="26">
        <v>124</v>
      </c>
      <c r="D1393" s="26" t="s">
        <v>1419</v>
      </c>
      <c r="E1393" s="26" t="s">
        <v>1114</v>
      </c>
      <c r="F1393" s="26" t="s">
        <v>1480</v>
      </c>
      <c r="G1393" s="26">
        <f t="shared" si="21"/>
        <v>-66471.009999999995</v>
      </c>
    </row>
    <row r="1394" spans="1:7" x14ac:dyDescent="0.2">
      <c r="A1394" s="26">
        <v>76</v>
      </c>
      <c r="B1394" s="26">
        <v>48</v>
      </c>
      <c r="C1394" s="26">
        <v>124</v>
      </c>
      <c r="D1394" s="26" t="s">
        <v>1420</v>
      </c>
      <c r="E1394" s="26">
        <v>-76710.751999999993</v>
      </c>
      <c r="F1394" s="26">
        <v>62.640999999999998</v>
      </c>
      <c r="G1394" s="26">
        <f t="shared" si="21"/>
        <v>-76710.751999999993</v>
      </c>
    </row>
    <row r="1395" spans="1:7" x14ac:dyDescent="0.2">
      <c r="A1395" s="26">
        <v>75</v>
      </c>
      <c r="B1395" s="26">
        <v>49</v>
      </c>
      <c r="C1395" s="26">
        <v>124</v>
      </c>
      <c r="D1395" s="26" t="s">
        <v>1421</v>
      </c>
      <c r="E1395" s="26">
        <v>-80876.751999999993</v>
      </c>
      <c r="F1395" s="26">
        <v>49.02</v>
      </c>
      <c r="G1395" s="26">
        <f t="shared" si="21"/>
        <v>-80876.751999999993</v>
      </c>
    </row>
    <row r="1396" spans="1:7" x14ac:dyDescent="0.2">
      <c r="A1396" s="26">
        <v>74</v>
      </c>
      <c r="B1396" s="26">
        <v>50</v>
      </c>
      <c r="C1396" s="26">
        <v>124</v>
      </c>
      <c r="D1396" s="26" t="s">
        <v>1422</v>
      </c>
      <c r="E1396" s="26">
        <v>-88236.751999999993</v>
      </c>
      <c r="F1396" s="26">
        <v>1.3939999999999999</v>
      </c>
      <c r="G1396" s="26">
        <f t="shared" si="21"/>
        <v>-88236.751999999993</v>
      </c>
    </row>
    <row r="1397" spans="1:7" x14ac:dyDescent="0.2">
      <c r="A1397" s="26">
        <v>73</v>
      </c>
      <c r="B1397" s="26">
        <v>51</v>
      </c>
      <c r="C1397" s="26">
        <v>124</v>
      </c>
      <c r="D1397" s="26" t="s">
        <v>1423</v>
      </c>
      <c r="E1397" s="26">
        <v>-87620.290999999997</v>
      </c>
      <c r="F1397" s="26">
        <v>2.0699999999999998</v>
      </c>
      <c r="G1397" s="26">
        <f t="shared" si="21"/>
        <v>-87620.290999999997</v>
      </c>
    </row>
    <row r="1398" spans="1:7" x14ac:dyDescent="0.2">
      <c r="A1398" s="26">
        <v>72</v>
      </c>
      <c r="B1398" s="26">
        <v>52</v>
      </c>
      <c r="C1398" s="26">
        <v>124</v>
      </c>
      <c r="D1398" s="26" t="s">
        <v>1424</v>
      </c>
      <c r="E1398" s="26">
        <v>-90524.547999999995</v>
      </c>
      <c r="F1398" s="26">
        <v>1.4750000000000001</v>
      </c>
      <c r="G1398" s="26">
        <f t="shared" si="21"/>
        <v>-90524.547999999995</v>
      </c>
    </row>
    <row r="1399" spans="1:7" x14ac:dyDescent="0.2">
      <c r="A1399" s="26">
        <v>71</v>
      </c>
      <c r="B1399" s="26">
        <v>53</v>
      </c>
      <c r="C1399" s="26">
        <v>124</v>
      </c>
      <c r="D1399" s="26" t="s">
        <v>1425</v>
      </c>
      <c r="E1399" s="26">
        <v>-87364.960999999996</v>
      </c>
      <c r="F1399" s="26">
        <v>2.3730000000000002</v>
      </c>
      <c r="G1399" s="26">
        <f t="shared" si="21"/>
        <v>-87364.960999999996</v>
      </c>
    </row>
    <row r="1400" spans="1:7" x14ac:dyDescent="0.2">
      <c r="A1400" s="26">
        <v>70</v>
      </c>
      <c r="B1400" s="26">
        <v>54</v>
      </c>
      <c r="C1400" s="26">
        <v>124</v>
      </c>
      <c r="D1400" s="26" t="s">
        <v>1426</v>
      </c>
      <c r="E1400" s="26">
        <v>-87660.103000000003</v>
      </c>
      <c r="F1400" s="26">
        <v>1.827</v>
      </c>
      <c r="G1400" s="26">
        <f t="shared" si="21"/>
        <v>-87660.103000000003</v>
      </c>
    </row>
    <row r="1401" spans="1:7" x14ac:dyDescent="0.2">
      <c r="A1401" s="26">
        <v>69</v>
      </c>
      <c r="B1401" s="26">
        <v>55</v>
      </c>
      <c r="C1401" s="26">
        <v>124</v>
      </c>
      <c r="D1401" s="26" t="s">
        <v>1427</v>
      </c>
      <c r="E1401" s="26">
        <v>-81731.335000000006</v>
      </c>
      <c r="F1401" s="26">
        <v>8.3040000000000003</v>
      </c>
      <c r="G1401" s="26">
        <f t="shared" si="21"/>
        <v>-81731.335000000006</v>
      </c>
    </row>
    <row r="1402" spans="1:7" x14ac:dyDescent="0.2">
      <c r="A1402" s="26">
        <v>68</v>
      </c>
      <c r="B1402" s="26">
        <v>56</v>
      </c>
      <c r="C1402" s="26">
        <v>124</v>
      </c>
      <c r="D1402" s="26" t="s">
        <v>1428</v>
      </c>
      <c r="E1402" s="26">
        <v>-79089.8</v>
      </c>
      <c r="F1402" s="26">
        <v>12.497</v>
      </c>
      <c r="G1402" s="26">
        <f t="shared" si="21"/>
        <v>-79089.8</v>
      </c>
    </row>
    <row r="1403" spans="1:7" x14ac:dyDescent="0.2">
      <c r="A1403" s="26">
        <v>67</v>
      </c>
      <c r="B1403" s="26">
        <v>57</v>
      </c>
      <c r="C1403" s="26">
        <v>124</v>
      </c>
      <c r="D1403" s="26" t="s">
        <v>1429</v>
      </c>
      <c r="E1403" s="26">
        <v>-70258.61</v>
      </c>
      <c r="F1403" s="26">
        <v>56.668999999999997</v>
      </c>
      <c r="G1403" s="26">
        <f t="shared" si="21"/>
        <v>-70258.61</v>
      </c>
    </row>
    <row r="1404" spans="1:7" x14ac:dyDescent="0.2">
      <c r="A1404" s="26">
        <v>66</v>
      </c>
      <c r="B1404" s="26">
        <v>58</v>
      </c>
      <c r="C1404" s="26">
        <v>124</v>
      </c>
      <c r="D1404" s="26" t="s">
        <v>1677</v>
      </c>
      <c r="E1404" s="26" t="s">
        <v>1115</v>
      </c>
      <c r="F1404" s="26" t="s">
        <v>1730</v>
      </c>
      <c r="G1404" s="26">
        <f t="shared" si="21"/>
        <v>-64823.01</v>
      </c>
    </row>
    <row r="1405" spans="1:7" x14ac:dyDescent="0.2">
      <c r="A1405" s="26">
        <v>65</v>
      </c>
      <c r="B1405" s="26">
        <v>59</v>
      </c>
      <c r="C1405" s="26">
        <v>124</v>
      </c>
      <c r="D1405" s="26" t="s">
        <v>1678</v>
      </c>
      <c r="E1405" s="26" t="s">
        <v>1636</v>
      </c>
      <c r="F1405" s="26" t="s">
        <v>1505</v>
      </c>
      <c r="G1405" s="26">
        <f t="shared" si="21"/>
        <v>-53132.01</v>
      </c>
    </row>
    <row r="1406" spans="1:7" x14ac:dyDescent="0.2">
      <c r="A1406" s="26">
        <v>64</v>
      </c>
      <c r="B1406" s="26">
        <v>60</v>
      </c>
      <c r="C1406" s="26">
        <v>124</v>
      </c>
      <c r="D1406" s="26" t="s">
        <v>1679</v>
      </c>
      <c r="E1406" s="26" t="s">
        <v>1116</v>
      </c>
      <c r="F1406" s="26" t="s">
        <v>1505</v>
      </c>
      <c r="G1406" s="26">
        <f t="shared" si="21"/>
        <v>-44497.01</v>
      </c>
    </row>
    <row r="1407" spans="1:7" x14ac:dyDescent="0.2">
      <c r="A1407" s="26">
        <v>78</v>
      </c>
      <c r="B1407" s="26">
        <v>47</v>
      </c>
      <c r="C1407" s="26">
        <v>125</v>
      </c>
      <c r="D1407" s="26" t="s">
        <v>1419</v>
      </c>
      <c r="E1407" s="26" t="s">
        <v>1117</v>
      </c>
      <c r="F1407" s="26" t="s">
        <v>1730</v>
      </c>
      <c r="G1407" s="26">
        <f t="shared" si="21"/>
        <v>-64804.01</v>
      </c>
    </row>
    <row r="1408" spans="1:7" x14ac:dyDescent="0.2">
      <c r="A1408" s="26">
        <v>77</v>
      </c>
      <c r="B1408" s="26">
        <v>48</v>
      </c>
      <c r="C1408" s="26">
        <v>125</v>
      </c>
      <c r="D1408" s="26" t="s">
        <v>1420</v>
      </c>
      <c r="E1408" s="26">
        <v>-73358.534</v>
      </c>
      <c r="F1408" s="26">
        <v>68.893000000000001</v>
      </c>
      <c r="G1408" s="26">
        <f t="shared" si="21"/>
        <v>-73358.534</v>
      </c>
    </row>
    <row r="1409" spans="1:7" x14ac:dyDescent="0.2">
      <c r="A1409" s="26">
        <v>76</v>
      </c>
      <c r="B1409" s="26">
        <v>49</v>
      </c>
      <c r="C1409" s="26">
        <v>125</v>
      </c>
      <c r="D1409" s="26" t="s">
        <v>1421</v>
      </c>
      <c r="E1409" s="26">
        <v>-80480.534</v>
      </c>
      <c r="F1409" s="26">
        <v>30.038</v>
      </c>
      <c r="G1409" s="26">
        <f t="shared" si="21"/>
        <v>-80480.534</v>
      </c>
    </row>
    <row r="1410" spans="1:7" x14ac:dyDescent="0.2">
      <c r="A1410" s="26">
        <v>75</v>
      </c>
      <c r="B1410" s="26">
        <v>50</v>
      </c>
      <c r="C1410" s="26">
        <v>125</v>
      </c>
      <c r="D1410" s="26" t="s">
        <v>1422</v>
      </c>
      <c r="E1410" s="26">
        <v>-85898.534</v>
      </c>
      <c r="F1410" s="26">
        <v>1.5009999999999999</v>
      </c>
      <c r="G1410" s="26">
        <f t="shared" si="21"/>
        <v>-85898.534</v>
      </c>
    </row>
    <row r="1411" spans="1:7" x14ac:dyDescent="0.2">
      <c r="A1411" s="26">
        <v>74</v>
      </c>
      <c r="B1411" s="26">
        <v>51</v>
      </c>
      <c r="C1411" s="26">
        <v>125</v>
      </c>
      <c r="D1411" s="26" t="s">
        <v>1423</v>
      </c>
      <c r="E1411" s="26">
        <v>-88255.501000000004</v>
      </c>
      <c r="F1411" s="26">
        <v>2.5840000000000001</v>
      </c>
      <c r="G1411" s="26">
        <f t="shared" si="21"/>
        <v>-88255.501000000004</v>
      </c>
    </row>
    <row r="1412" spans="1:7" x14ac:dyDescent="0.2">
      <c r="A1412" s="26">
        <v>73</v>
      </c>
      <c r="B1412" s="26">
        <v>52</v>
      </c>
      <c r="C1412" s="26">
        <v>125</v>
      </c>
      <c r="D1412" s="26" t="s">
        <v>1424</v>
      </c>
      <c r="E1412" s="26">
        <v>-89022.201000000001</v>
      </c>
      <c r="F1412" s="26">
        <v>1.4750000000000001</v>
      </c>
      <c r="G1412" s="26">
        <f t="shared" si="21"/>
        <v>-89022.201000000001</v>
      </c>
    </row>
    <row r="1413" spans="1:7" x14ac:dyDescent="0.2">
      <c r="A1413" s="26">
        <v>72</v>
      </c>
      <c r="B1413" s="26">
        <v>53</v>
      </c>
      <c r="C1413" s="26">
        <v>125</v>
      </c>
      <c r="D1413" s="26" t="s">
        <v>1425</v>
      </c>
      <c r="E1413" s="26">
        <v>-88836.430999999997</v>
      </c>
      <c r="F1413" s="26">
        <v>1.4770000000000001</v>
      </c>
      <c r="G1413" s="26">
        <f t="shared" si="21"/>
        <v>-88836.430999999997</v>
      </c>
    </row>
    <row r="1414" spans="1:7" x14ac:dyDescent="0.2">
      <c r="A1414" s="26">
        <v>71</v>
      </c>
      <c r="B1414" s="26">
        <v>54</v>
      </c>
      <c r="C1414" s="26">
        <v>125</v>
      </c>
      <c r="D1414" s="26" t="s">
        <v>1426</v>
      </c>
      <c r="E1414" s="26">
        <v>-87192.063999999998</v>
      </c>
      <c r="F1414" s="26">
        <v>1.869</v>
      </c>
      <c r="G1414" s="26">
        <f t="shared" si="21"/>
        <v>-87192.063999999998</v>
      </c>
    </row>
    <row r="1415" spans="1:7" x14ac:dyDescent="0.2">
      <c r="A1415" s="26">
        <v>70</v>
      </c>
      <c r="B1415" s="26">
        <v>55</v>
      </c>
      <c r="C1415" s="26">
        <v>125</v>
      </c>
      <c r="D1415" s="26" t="s">
        <v>1427</v>
      </c>
      <c r="E1415" s="26">
        <v>-84087.574999999997</v>
      </c>
      <c r="F1415" s="26">
        <v>7.7439999999999998</v>
      </c>
      <c r="G1415" s="26">
        <f t="shared" si="21"/>
        <v>-84087.574999999997</v>
      </c>
    </row>
    <row r="1416" spans="1:7" x14ac:dyDescent="0.2">
      <c r="A1416" s="26">
        <v>69</v>
      </c>
      <c r="B1416" s="26">
        <v>56</v>
      </c>
      <c r="C1416" s="26">
        <v>125</v>
      </c>
      <c r="D1416" s="26" t="s">
        <v>1428</v>
      </c>
      <c r="E1416" s="26">
        <v>-79667.97</v>
      </c>
      <c r="F1416" s="26">
        <v>11.111000000000001</v>
      </c>
      <c r="G1416" s="26">
        <f t="shared" si="21"/>
        <v>-79667.97</v>
      </c>
    </row>
    <row r="1417" spans="1:7" x14ac:dyDescent="0.2">
      <c r="A1417" s="26">
        <v>68</v>
      </c>
      <c r="B1417" s="26">
        <v>57</v>
      </c>
      <c r="C1417" s="26">
        <v>125</v>
      </c>
      <c r="D1417" s="26" t="s">
        <v>1429</v>
      </c>
      <c r="E1417" s="26">
        <v>-73759.388999999996</v>
      </c>
      <c r="F1417" s="26">
        <v>25.946000000000002</v>
      </c>
      <c r="G1417" s="26">
        <f t="shared" si="21"/>
        <v>-73759.388999999996</v>
      </c>
    </row>
    <row r="1418" spans="1:7" x14ac:dyDescent="0.2">
      <c r="A1418" s="26">
        <v>67</v>
      </c>
      <c r="B1418" s="26">
        <v>58</v>
      </c>
      <c r="C1418" s="26">
        <v>125</v>
      </c>
      <c r="D1418" s="26" t="s">
        <v>1677</v>
      </c>
      <c r="E1418" s="26" t="s">
        <v>1118</v>
      </c>
      <c r="F1418" s="26" t="s">
        <v>1480</v>
      </c>
      <c r="G1418" s="26">
        <f t="shared" ref="G1418:G1481" si="22">IF(ISNUMBER(E1418),E1418,VALUE(SUBSTITUTE(E1418,"#",".01")))</f>
        <v>-66658.009999999995</v>
      </c>
    </row>
    <row r="1419" spans="1:7" x14ac:dyDescent="0.2">
      <c r="A1419" s="26">
        <v>66</v>
      </c>
      <c r="B1419" s="26">
        <v>59</v>
      </c>
      <c r="C1419" s="26">
        <v>125</v>
      </c>
      <c r="D1419" s="26" t="s">
        <v>1678</v>
      </c>
      <c r="E1419" s="26" t="s">
        <v>1637</v>
      </c>
      <c r="F1419" s="26" t="s">
        <v>1723</v>
      </c>
      <c r="G1419" s="26">
        <f t="shared" si="22"/>
        <v>-57911.01</v>
      </c>
    </row>
    <row r="1420" spans="1:7" x14ac:dyDescent="0.2">
      <c r="A1420" s="26">
        <v>65</v>
      </c>
      <c r="B1420" s="26">
        <v>60</v>
      </c>
      <c r="C1420" s="26">
        <v>125</v>
      </c>
      <c r="D1420" s="26" t="s">
        <v>1679</v>
      </c>
      <c r="E1420" s="26" t="s">
        <v>1119</v>
      </c>
      <c r="F1420" s="26" t="s">
        <v>1723</v>
      </c>
      <c r="G1420" s="26">
        <f t="shared" si="22"/>
        <v>-47618.01</v>
      </c>
    </row>
    <row r="1421" spans="1:7" x14ac:dyDescent="0.2">
      <c r="A1421" s="26">
        <v>79</v>
      </c>
      <c r="B1421" s="26">
        <v>47</v>
      </c>
      <c r="C1421" s="26">
        <v>126</v>
      </c>
      <c r="D1421" s="26" t="s">
        <v>1419</v>
      </c>
      <c r="E1421" s="26" t="s">
        <v>1638</v>
      </c>
      <c r="F1421" s="26" t="s">
        <v>1730</v>
      </c>
      <c r="G1421" s="26">
        <f t="shared" si="22"/>
        <v>-61013.01</v>
      </c>
    </row>
    <row r="1422" spans="1:7" x14ac:dyDescent="0.2">
      <c r="A1422" s="26">
        <v>78</v>
      </c>
      <c r="B1422" s="26">
        <v>48</v>
      </c>
      <c r="C1422" s="26">
        <v>126</v>
      </c>
      <c r="D1422" s="26" t="s">
        <v>1420</v>
      </c>
      <c r="E1422" s="26">
        <v>-72327.415999999997</v>
      </c>
      <c r="F1422" s="26">
        <v>54.143000000000001</v>
      </c>
      <c r="G1422" s="26">
        <f t="shared" si="22"/>
        <v>-72327.415999999997</v>
      </c>
    </row>
    <row r="1423" spans="1:7" x14ac:dyDescent="0.2">
      <c r="A1423" s="26">
        <v>77</v>
      </c>
      <c r="B1423" s="26">
        <v>49</v>
      </c>
      <c r="C1423" s="26">
        <v>126</v>
      </c>
      <c r="D1423" s="26" t="s">
        <v>1421</v>
      </c>
      <c r="E1423" s="26">
        <v>-77813.415999999997</v>
      </c>
      <c r="F1423" s="26">
        <v>40.441000000000003</v>
      </c>
      <c r="G1423" s="26">
        <f t="shared" si="22"/>
        <v>-77813.415999999997</v>
      </c>
    </row>
    <row r="1424" spans="1:7" x14ac:dyDescent="0.2">
      <c r="A1424" s="26">
        <v>76</v>
      </c>
      <c r="B1424" s="26">
        <v>50</v>
      </c>
      <c r="C1424" s="26">
        <v>126</v>
      </c>
      <c r="D1424" s="26" t="s">
        <v>1422</v>
      </c>
      <c r="E1424" s="26">
        <v>-86020.415999999997</v>
      </c>
      <c r="F1424" s="26">
        <v>10.698</v>
      </c>
      <c r="G1424" s="26">
        <f t="shared" si="22"/>
        <v>-86020.415999999997</v>
      </c>
    </row>
    <row r="1425" spans="1:7" x14ac:dyDescent="0.2">
      <c r="A1425" s="26">
        <v>75</v>
      </c>
      <c r="B1425" s="26">
        <v>51</v>
      </c>
      <c r="C1425" s="26">
        <v>126</v>
      </c>
      <c r="D1425" s="26" t="s">
        <v>1423</v>
      </c>
      <c r="E1425" s="26">
        <v>-86398.415999999997</v>
      </c>
      <c r="F1425" s="26">
        <v>31.85</v>
      </c>
      <c r="G1425" s="26">
        <f t="shared" si="22"/>
        <v>-86398.415999999997</v>
      </c>
    </row>
    <row r="1426" spans="1:7" x14ac:dyDescent="0.2">
      <c r="A1426" s="26">
        <v>74</v>
      </c>
      <c r="B1426" s="26">
        <v>52</v>
      </c>
      <c r="C1426" s="26">
        <v>126</v>
      </c>
      <c r="D1426" s="26" t="s">
        <v>1424</v>
      </c>
      <c r="E1426" s="26">
        <v>-90064.574999999997</v>
      </c>
      <c r="F1426" s="26">
        <v>1.4770000000000001</v>
      </c>
      <c r="G1426" s="26">
        <f t="shared" si="22"/>
        <v>-90064.574999999997</v>
      </c>
    </row>
    <row r="1427" spans="1:7" x14ac:dyDescent="0.2">
      <c r="A1427" s="26">
        <v>73</v>
      </c>
      <c r="B1427" s="26">
        <v>53</v>
      </c>
      <c r="C1427" s="26">
        <v>126</v>
      </c>
      <c r="D1427" s="26" t="s">
        <v>1425</v>
      </c>
      <c r="E1427" s="26">
        <v>-87910.535999999993</v>
      </c>
      <c r="F1427" s="26">
        <v>3.7440000000000002</v>
      </c>
      <c r="G1427" s="26">
        <f t="shared" si="22"/>
        <v>-87910.535999999993</v>
      </c>
    </row>
    <row r="1428" spans="1:7" x14ac:dyDescent="0.2">
      <c r="A1428" s="26">
        <v>72</v>
      </c>
      <c r="B1428" s="26">
        <v>54</v>
      </c>
      <c r="C1428" s="26">
        <v>126</v>
      </c>
      <c r="D1428" s="26" t="s">
        <v>1426</v>
      </c>
      <c r="E1428" s="26">
        <v>-89168.535999999993</v>
      </c>
      <c r="F1428" s="26">
        <v>6.2460000000000004</v>
      </c>
      <c r="G1428" s="26">
        <f t="shared" si="22"/>
        <v>-89168.535999999993</v>
      </c>
    </row>
    <row r="1429" spans="1:7" x14ac:dyDescent="0.2">
      <c r="A1429" s="26">
        <v>71</v>
      </c>
      <c r="B1429" s="26">
        <v>55</v>
      </c>
      <c r="C1429" s="26">
        <v>126</v>
      </c>
      <c r="D1429" s="26" t="s">
        <v>1427</v>
      </c>
      <c r="E1429" s="26">
        <v>-84344.94</v>
      </c>
      <c r="F1429" s="26">
        <v>12.109</v>
      </c>
      <c r="G1429" s="26">
        <f t="shared" si="22"/>
        <v>-84344.94</v>
      </c>
    </row>
    <row r="1430" spans="1:7" x14ac:dyDescent="0.2">
      <c r="A1430" s="26">
        <v>70</v>
      </c>
      <c r="B1430" s="26">
        <v>56</v>
      </c>
      <c r="C1430" s="26">
        <v>126</v>
      </c>
      <c r="D1430" s="26" t="s">
        <v>1428</v>
      </c>
      <c r="E1430" s="26">
        <v>-82669.928</v>
      </c>
      <c r="F1430" s="26">
        <v>12.497</v>
      </c>
      <c r="G1430" s="26">
        <f t="shared" si="22"/>
        <v>-82669.928</v>
      </c>
    </row>
    <row r="1431" spans="1:7" x14ac:dyDescent="0.2">
      <c r="A1431" s="26">
        <v>69</v>
      </c>
      <c r="B1431" s="26">
        <v>57</v>
      </c>
      <c r="C1431" s="26">
        <v>126</v>
      </c>
      <c r="D1431" s="26" t="s">
        <v>1429</v>
      </c>
      <c r="E1431" s="26">
        <v>-74973.467999999993</v>
      </c>
      <c r="F1431" s="26">
        <v>90.507999999999996</v>
      </c>
      <c r="G1431" s="26">
        <f t="shared" si="22"/>
        <v>-74973.467999999993</v>
      </c>
    </row>
    <row r="1432" spans="1:7" x14ac:dyDescent="0.2">
      <c r="A1432" s="26">
        <v>68</v>
      </c>
      <c r="B1432" s="26">
        <v>58</v>
      </c>
      <c r="C1432" s="26">
        <v>126</v>
      </c>
      <c r="D1432" s="26" t="s">
        <v>1677</v>
      </c>
      <c r="E1432" s="26">
        <v>-70820.558000000005</v>
      </c>
      <c r="F1432" s="26">
        <v>27.945</v>
      </c>
      <c r="G1432" s="26">
        <f t="shared" si="22"/>
        <v>-70820.558000000005</v>
      </c>
    </row>
    <row r="1433" spans="1:7" x14ac:dyDescent="0.2">
      <c r="A1433" s="26">
        <v>67</v>
      </c>
      <c r="B1433" s="26">
        <v>59</v>
      </c>
      <c r="C1433" s="26">
        <v>126</v>
      </c>
      <c r="D1433" s="26" t="s">
        <v>1678</v>
      </c>
      <c r="E1433" s="26" t="s">
        <v>1639</v>
      </c>
      <c r="F1433" s="26" t="s">
        <v>1480</v>
      </c>
      <c r="G1433" s="26">
        <f t="shared" si="22"/>
        <v>-60258.01</v>
      </c>
    </row>
    <row r="1434" spans="1:7" x14ac:dyDescent="0.2">
      <c r="A1434" s="26">
        <v>66</v>
      </c>
      <c r="B1434" s="26">
        <v>60</v>
      </c>
      <c r="C1434" s="26">
        <v>126</v>
      </c>
      <c r="D1434" s="26" t="s">
        <v>1679</v>
      </c>
      <c r="E1434" s="26" t="s">
        <v>1120</v>
      </c>
      <c r="F1434" s="26" t="s">
        <v>1723</v>
      </c>
      <c r="G1434" s="26">
        <f t="shared" si="22"/>
        <v>-52890.01</v>
      </c>
    </row>
    <row r="1435" spans="1:7" x14ac:dyDescent="0.2">
      <c r="A1435" s="26">
        <v>65</v>
      </c>
      <c r="B1435" s="26">
        <v>61</v>
      </c>
      <c r="C1435" s="26">
        <v>126</v>
      </c>
      <c r="D1435" s="26" t="s">
        <v>1680</v>
      </c>
      <c r="E1435" s="26" t="s">
        <v>1121</v>
      </c>
      <c r="F1435" s="26" t="s">
        <v>1728</v>
      </c>
      <c r="G1435" s="26">
        <f t="shared" si="22"/>
        <v>-39570.01</v>
      </c>
    </row>
    <row r="1436" spans="1:7" x14ac:dyDescent="0.2">
      <c r="A1436" s="26">
        <v>80</v>
      </c>
      <c r="B1436" s="26">
        <v>47</v>
      </c>
      <c r="C1436" s="26">
        <v>127</v>
      </c>
      <c r="D1436" s="26" t="s">
        <v>1419</v>
      </c>
      <c r="E1436" s="26" t="s">
        <v>1122</v>
      </c>
      <c r="F1436" s="26" t="s">
        <v>1730</v>
      </c>
      <c r="G1436" s="26">
        <f t="shared" si="22"/>
        <v>-58898.01</v>
      </c>
    </row>
    <row r="1437" spans="1:7" x14ac:dyDescent="0.2">
      <c r="A1437" s="26">
        <v>79</v>
      </c>
      <c r="B1437" s="26">
        <v>48</v>
      </c>
      <c r="C1437" s="26">
        <v>127</v>
      </c>
      <c r="D1437" s="26" t="s">
        <v>1420</v>
      </c>
      <c r="E1437" s="26">
        <v>-68517.100000000006</v>
      </c>
      <c r="F1437" s="26">
        <v>74.385999999999996</v>
      </c>
      <c r="G1437" s="26">
        <f t="shared" si="22"/>
        <v>-68517.100000000006</v>
      </c>
    </row>
    <row r="1438" spans="1:7" x14ac:dyDescent="0.2">
      <c r="A1438" s="26">
        <v>78</v>
      </c>
      <c r="B1438" s="26">
        <v>49</v>
      </c>
      <c r="C1438" s="26">
        <v>127</v>
      </c>
      <c r="D1438" s="26" t="s">
        <v>1421</v>
      </c>
      <c r="E1438" s="26">
        <v>-76985.100000000006</v>
      </c>
      <c r="F1438" s="26">
        <v>39.552</v>
      </c>
      <c r="G1438" s="26">
        <f t="shared" si="22"/>
        <v>-76985.100000000006</v>
      </c>
    </row>
    <row r="1439" spans="1:7" x14ac:dyDescent="0.2">
      <c r="A1439" s="26">
        <v>77</v>
      </c>
      <c r="B1439" s="26">
        <v>50</v>
      </c>
      <c r="C1439" s="26">
        <v>127</v>
      </c>
      <c r="D1439" s="26" t="s">
        <v>1422</v>
      </c>
      <c r="E1439" s="26">
        <v>-83499.100000000006</v>
      </c>
      <c r="F1439" s="26">
        <v>24.562999999999999</v>
      </c>
      <c r="G1439" s="26">
        <f t="shared" si="22"/>
        <v>-83499.100000000006</v>
      </c>
    </row>
    <row r="1440" spans="1:7" x14ac:dyDescent="0.2">
      <c r="A1440" s="26">
        <v>76</v>
      </c>
      <c r="B1440" s="26">
        <v>51</v>
      </c>
      <c r="C1440" s="26">
        <v>127</v>
      </c>
      <c r="D1440" s="26" t="s">
        <v>1423</v>
      </c>
      <c r="E1440" s="26">
        <v>-86700.1</v>
      </c>
      <c r="F1440" s="26">
        <v>5.2279999999999998</v>
      </c>
      <c r="G1440" s="26">
        <f t="shared" si="22"/>
        <v>-86700.1</v>
      </c>
    </row>
    <row r="1441" spans="1:7" x14ac:dyDescent="0.2">
      <c r="A1441" s="26">
        <v>75</v>
      </c>
      <c r="B1441" s="26">
        <v>52</v>
      </c>
      <c r="C1441" s="26">
        <v>127</v>
      </c>
      <c r="D1441" s="26" t="s">
        <v>1424</v>
      </c>
      <c r="E1441" s="26">
        <v>-88281.1</v>
      </c>
      <c r="F1441" s="26">
        <v>1.528</v>
      </c>
      <c r="G1441" s="26">
        <f t="shared" si="22"/>
        <v>-88281.1</v>
      </c>
    </row>
    <row r="1442" spans="1:7" x14ac:dyDescent="0.2">
      <c r="A1442" s="26">
        <v>74</v>
      </c>
      <c r="B1442" s="26">
        <v>53</v>
      </c>
      <c r="C1442" s="26">
        <v>127</v>
      </c>
      <c r="D1442" s="26" t="s">
        <v>1425</v>
      </c>
      <c r="E1442" s="26">
        <v>-88983.125</v>
      </c>
      <c r="F1442" s="26">
        <v>3.532</v>
      </c>
      <c r="G1442" s="26">
        <f t="shared" si="22"/>
        <v>-88983.125</v>
      </c>
    </row>
    <row r="1443" spans="1:7" x14ac:dyDescent="0.2">
      <c r="A1443" s="26">
        <v>73</v>
      </c>
      <c r="B1443" s="26">
        <v>54</v>
      </c>
      <c r="C1443" s="26">
        <v>127</v>
      </c>
      <c r="D1443" s="26" t="s">
        <v>1426</v>
      </c>
      <c r="E1443" s="26">
        <v>-88320.793000000005</v>
      </c>
      <c r="F1443" s="26">
        <v>4.0129999999999999</v>
      </c>
      <c r="G1443" s="26">
        <f t="shared" si="22"/>
        <v>-88320.793000000005</v>
      </c>
    </row>
    <row r="1444" spans="1:7" x14ac:dyDescent="0.2">
      <c r="A1444" s="26">
        <v>72</v>
      </c>
      <c r="B1444" s="26">
        <v>55</v>
      </c>
      <c r="C1444" s="26">
        <v>127</v>
      </c>
      <c r="D1444" s="26" t="s">
        <v>1427</v>
      </c>
      <c r="E1444" s="26">
        <v>-86240.02</v>
      </c>
      <c r="F1444" s="26">
        <v>5.5750000000000002</v>
      </c>
      <c r="G1444" s="26">
        <f t="shared" si="22"/>
        <v>-86240.02</v>
      </c>
    </row>
    <row r="1445" spans="1:7" x14ac:dyDescent="0.2">
      <c r="A1445" s="26">
        <v>71</v>
      </c>
      <c r="B1445" s="26">
        <v>56</v>
      </c>
      <c r="C1445" s="26">
        <v>127</v>
      </c>
      <c r="D1445" s="26" t="s">
        <v>1428</v>
      </c>
      <c r="E1445" s="26">
        <v>-82815.595000000001</v>
      </c>
      <c r="F1445" s="26">
        <v>11.488</v>
      </c>
      <c r="G1445" s="26">
        <f t="shared" si="22"/>
        <v>-82815.595000000001</v>
      </c>
    </row>
    <row r="1446" spans="1:7" x14ac:dyDescent="0.2">
      <c r="A1446" s="26">
        <v>70</v>
      </c>
      <c r="B1446" s="26">
        <v>57</v>
      </c>
      <c r="C1446" s="26">
        <v>127</v>
      </c>
      <c r="D1446" s="26" t="s">
        <v>1429</v>
      </c>
      <c r="E1446" s="26">
        <v>-77895.769</v>
      </c>
      <c r="F1446" s="26">
        <v>25.946000000000002</v>
      </c>
      <c r="G1446" s="26">
        <f t="shared" si="22"/>
        <v>-77895.769</v>
      </c>
    </row>
    <row r="1447" spans="1:7" x14ac:dyDescent="0.2">
      <c r="A1447" s="26">
        <v>69</v>
      </c>
      <c r="B1447" s="26">
        <v>58</v>
      </c>
      <c r="C1447" s="26">
        <v>127</v>
      </c>
      <c r="D1447" s="26" t="s">
        <v>1677</v>
      </c>
      <c r="E1447" s="26">
        <v>-71975.611000000004</v>
      </c>
      <c r="F1447" s="26">
        <v>57.753</v>
      </c>
      <c r="G1447" s="26">
        <f t="shared" si="22"/>
        <v>-71975.611000000004</v>
      </c>
    </row>
    <row r="1448" spans="1:7" x14ac:dyDescent="0.2">
      <c r="A1448" s="26">
        <v>68</v>
      </c>
      <c r="B1448" s="26">
        <v>59</v>
      </c>
      <c r="C1448" s="26">
        <v>127</v>
      </c>
      <c r="D1448" s="26" t="s">
        <v>1678</v>
      </c>
      <c r="E1448" s="26" t="s">
        <v>1641</v>
      </c>
      <c r="F1448" s="26" t="s">
        <v>1480</v>
      </c>
      <c r="G1448" s="26">
        <f t="shared" si="22"/>
        <v>-64431.01</v>
      </c>
    </row>
    <row r="1449" spans="1:7" x14ac:dyDescent="0.2">
      <c r="A1449" s="26">
        <v>67</v>
      </c>
      <c r="B1449" s="26">
        <v>60</v>
      </c>
      <c r="C1449" s="26">
        <v>127</v>
      </c>
      <c r="D1449" s="26" t="s">
        <v>1679</v>
      </c>
      <c r="E1449" s="26" t="s">
        <v>1642</v>
      </c>
      <c r="F1449" s="26" t="s">
        <v>1723</v>
      </c>
      <c r="G1449" s="26">
        <f t="shared" si="22"/>
        <v>-55424.01</v>
      </c>
    </row>
    <row r="1450" spans="1:7" x14ac:dyDescent="0.2">
      <c r="A1450" s="26">
        <v>66</v>
      </c>
      <c r="B1450" s="26">
        <v>61</v>
      </c>
      <c r="C1450" s="26">
        <v>127</v>
      </c>
      <c r="D1450" s="26" t="s">
        <v>1680</v>
      </c>
      <c r="E1450" s="26" t="s">
        <v>1123</v>
      </c>
      <c r="F1450" s="26" t="s">
        <v>1505</v>
      </c>
      <c r="G1450" s="26">
        <f t="shared" si="22"/>
        <v>-45056.01</v>
      </c>
    </row>
    <row r="1451" spans="1:7" x14ac:dyDescent="0.2">
      <c r="A1451" s="26">
        <v>81</v>
      </c>
      <c r="B1451" s="26">
        <v>47</v>
      </c>
      <c r="C1451" s="26">
        <v>128</v>
      </c>
      <c r="D1451" s="26" t="s">
        <v>1419</v>
      </c>
      <c r="E1451" s="26" t="s">
        <v>1124</v>
      </c>
      <c r="F1451" s="26" t="s">
        <v>1730</v>
      </c>
      <c r="G1451" s="26">
        <f t="shared" si="22"/>
        <v>-54800.01</v>
      </c>
    </row>
    <row r="1452" spans="1:7" x14ac:dyDescent="0.2">
      <c r="A1452" s="26">
        <v>80</v>
      </c>
      <c r="B1452" s="26">
        <v>48</v>
      </c>
      <c r="C1452" s="26">
        <v>128</v>
      </c>
      <c r="D1452" s="26" t="s">
        <v>1420</v>
      </c>
      <c r="E1452" s="26">
        <v>-67288.998000000007</v>
      </c>
      <c r="F1452" s="26">
        <v>294.04199999999997</v>
      </c>
      <c r="G1452" s="26">
        <f t="shared" si="22"/>
        <v>-67288.998000000007</v>
      </c>
    </row>
    <row r="1453" spans="1:7" x14ac:dyDescent="0.2">
      <c r="A1453" s="26">
        <v>79</v>
      </c>
      <c r="B1453" s="26">
        <v>49</v>
      </c>
      <c r="C1453" s="26">
        <v>128</v>
      </c>
      <c r="D1453" s="26" t="s">
        <v>1421</v>
      </c>
      <c r="E1453" s="26">
        <v>-74358.998000000007</v>
      </c>
      <c r="F1453" s="26">
        <v>48.588999999999999</v>
      </c>
      <c r="G1453" s="26">
        <f t="shared" si="22"/>
        <v>-74358.998000000007</v>
      </c>
    </row>
    <row r="1454" spans="1:7" x14ac:dyDescent="0.2">
      <c r="A1454" s="26">
        <v>78</v>
      </c>
      <c r="B1454" s="26">
        <v>50</v>
      </c>
      <c r="C1454" s="26">
        <v>128</v>
      </c>
      <c r="D1454" s="26" t="s">
        <v>1422</v>
      </c>
      <c r="E1454" s="26">
        <v>-83334.597999999998</v>
      </c>
      <c r="F1454" s="26">
        <v>27.219000000000001</v>
      </c>
      <c r="G1454" s="26">
        <f t="shared" si="22"/>
        <v>-83334.597999999998</v>
      </c>
    </row>
    <row r="1455" spans="1:7" x14ac:dyDescent="0.2">
      <c r="A1455" s="26">
        <v>77</v>
      </c>
      <c r="B1455" s="26">
        <v>51</v>
      </c>
      <c r="C1455" s="26">
        <v>128</v>
      </c>
      <c r="D1455" s="26" t="s">
        <v>1423</v>
      </c>
      <c r="E1455" s="26">
        <v>-84608.531000000003</v>
      </c>
      <c r="F1455" s="26">
        <v>25.061</v>
      </c>
      <c r="G1455" s="26">
        <f t="shared" si="22"/>
        <v>-84608.531000000003</v>
      </c>
    </row>
    <row r="1456" spans="1:7" x14ac:dyDescent="0.2">
      <c r="A1456" s="26">
        <v>76</v>
      </c>
      <c r="B1456" s="26">
        <v>52</v>
      </c>
      <c r="C1456" s="26">
        <v>128</v>
      </c>
      <c r="D1456" s="26" t="s">
        <v>1424</v>
      </c>
      <c r="E1456" s="26">
        <v>-88992.091</v>
      </c>
      <c r="F1456" s="26">
        <v>1.75</v>
      </c>
      <c r="G1456" s="26">
        <f t="shared" si="22"/>
        <v>-88992.091</v>
      </c>
    </row>
    <row r="1457" spans="1:7" x14ac:dyDescent="0.2">
      <c r="A1457" s="26">
        <v>75</v>
      </c>
      <c r="B1457" s="26">
        <v>53</v>
      </c>
      <c r="C1457" s="26">
        <v>128</v>
      </c>
      <c r="D1457" s="26" t="s">
        <v>1425</v>
      </c>
      <c r="E1457" s="26">
        <v>-87737.938999999998</v>
      </c>
      <c r="F1457" s="26">
        <v>3.532</v>
      </c>
      <c r="G1457" s="26">
        <f t="shared" si="22"/>
        <v>-87737.938999999998</v>
      </c>
    </row>
    <row r="1458" spans="1:7" x14ac:dyDescent="0.2">
      <c r="A1458" s="26">
        <v>74</v>
      </c>
      <c r="B1458" s="26">
        <v>54</v>
      </c>
      <c r="C1458" s="26">
        <v>128</v>
      </c>
      <c r="D1458" s="26" t="s">
        <v>1426</v>
      </c>
      <c r="E1458" s="26">
        <v>-89860.039000000004</v>
      </c>
      <c r="F1458" s="26">
        <v>1.4279999999999999</v>
      </c>
      <c r="G1458" s="26">
        <f t="shared" si="22"/>
        <v>-89860.039000000004</v>
      </c>
    </row>
    <row r="1459" spans="1:7" x14ac:dyDescent="0.2">
      <c r="A1459" s="26">
        <v>73</v>
      </c>
      <c r="B1459" s="26">
        <v>55</v>
      </c>
      <c r="C1459" s="26">
        <v>128</v>
      </c>
      <c r="D1459" s="26" t="s">
        <v>1427</v>
      </c>
      <c r="E1459" s="26">
        <v>-85931.377999999997</v>
      </c>
      <c r="F1459" s="26">
        <v>5.4969999999999999</v>
      </c>
      <c r="G1459" s="26">
        <f t="shared" si="22"/>
        <v>-85931.377999999997</v>
      </c>
    </row>
    <row r="1460" spans="1:7" x14ac:dyDescent="0.2">
      <c r="A1460" s="26">
        <v>72</v>
      </c>
      <c r="B1460" s="26">
        <v>56</v>
      </c>
      <c r="C1460" s="26">
        <v>128</v>
      </c>
      <c r="D1460" s="26" t="s">
        <v>1428</v>
      </c>
      <c r="E1460" s="26">
        <v>-85401.513999999996</v>
      </c>
      <c r="F1460" s="26">
        <v>10.095000000000001</v>
      </c>
      <c r="G1460" s="26">
        <f t="shared" si="22"/>
        <v>-85401.513999999996</v>
      </c>
    </row>
    <row r="1461" spans="1:7" x14ac:dyDescent="0.2">
      <c r="A1461" s="26">
        <v>71</v>
      </c>
      <c r="B1461" s="26">
        <v>57</v>
      </c>
      <c r="C1461" s="26">
        <v>128</v>
      </c>
      <c r="D1461" s="26" t="s">
        <v>1429</v>
      </c>
      <c r="E1461" s="26">
        <v>-78631.900999999998</v>
      </c>
      <c r="F1461" s="26">
        <v>54.448</v>
      </c>
      <c r="G1461" s="26">
        <f t="shared" si="22"/>
        <v>-78631.900999999998</v>
      </c>
    </row>
    <row r="1462" spans="1:7" x14ac:dyDescent="0.2">
      <c r="A1462" s="26">
        <v>70</v>
      </c>
      <c r="B1462" s="26">
        <v>58</v>
      </c>
      <c r="C1462" s="26">
        <v>128</v>
      </c>
      <c r="D1462" s="26" t="s">
        <v>1677</v>
      </c>
      <c r="E1462" s="26">
        <v>-75533.918000000005</v>
      </c>
      <c r="F1462" s="26">
        <v>27.945</v>
      </c>
      <c r="G1462" s="26">
        <f t="shared" si="22"/>
        <v>-75533.918000000005</v>
      </c>
    </row>
    <row r="1463" spans="1:7" x14ac:dyDescent="0.2">
      <c r="A1463" s="26">
        <v>69</v>
      </c>
      <c r="B1463" s="26">
        <v>59</v>
      </c>
      <c r="C1463" s="26">
        <v>128</v>
      </c>
      <c r="D1463" s="26" t="s">
        <v>1678</v>
      </c>
      <c r="E1463" s="26">
        <v>-66330.756999999998</v>
      </c>
      <c r="F1463" s="26">
        <v>29.808</v>
      </c>
      <c r="G1463" s="26">
        <f t="shared" si="22"/>
        <v>-66330.756999999998</v>
      </c>
    </row>
    <row r="1464" spans="1:7" x14ac:dyDescent="0.2">
      <c r="A1464" s="26">
        <v>68</v>
      </c>
      <c r="B1464" s="26">
        <v>60</v>
      </c>
      <c r="C1464" s="26">
        <v>128</v>
      </c>
      <c r="D1464" s="26" t="s">
        <v>1679</v>
      </c>
      <c r="E1464" s="26" t="s">
        <v>1643</v>
      </c>
      <c r="F1464" s="26" t="s">
        <v>1480</v>
      </c>
      <c r="G1464" s="26">
        <f t="shared" si="22"/>
        <v>-60184.01</v>
      </c>
    </row>
    <row r="1465" spans="1:7" x14ac:dyDescent="0.2">
      <c r="A1465" s="26">
        <v>67</v>
      </c>
      <c r="B1465" s="26">
        <v>61</v>
      </c>
      <c r="C1465" s="26">
        <v>128</v>
      </c>
      <c r="D1465" s="26" t="s">
        <v>1680</v>
      </c>
      <c r="E1465" s="26" t="s">
        <v>1125</v>
      </c>
      <c r="F1465" s="26" t="s">
        <v>1723</v>
      </c>
      <c r="G1465" s="26">
        <f t="shared" si="22"/>
        <v>-48046.01</v>
      </c>
    </row>
    <row r="1466" spans="1:7" x14ac:dyDescent="0.2">
      <c r="A1466" s="26">
        <v>66</v>
      </c>
      <c r="B1466" s="26">
        <v>62</v>
      </c>
      <c r="C1466" s="26">
        <v>128</v>
      </c>
      <c r="D1466" s="26" t="s">
        <v>1681</v>
      </c>
      <c r="E1466" s="26" t="s">
        <v>1126</v>
      </c>
      <c r="F1466" s="26" t="s">
        <v>1728</v>
      </c>
      <c r="G1466" s="26">
        <f t="shared" si="22"/>
        <v>-39048.01</v>
      </c>
    </row>
    <row r="1467" spans="1:7" x14ac:dyDescent="0.2">
      <c r="A1467" s="26">
        <v>82</v>
      </c>
      <c r="B1467" s="26">
        <v>47</v>
      </c>
      <c r="C1467" s="26">
        <v>129</v>
      </c>
      <c r="D1467" s="26" t="s">
        <v>1419</v>
      </c>
      <c r="E1467" s="26" t="s">
        <v>1127</v>
      </c>
      <c r="F1467" s="26" t="s">
        <v>1723</v>
      </c>
      <c r="G1467" s="26">
        <f t="shared" si="22"/>
        <v>-52452.01</v>
      </c>
    </row>
    <row r="1468" spans="1:7" x14ac:dyDescent="0.2">
      <c r="A1468" s="26">
        <v>81</v>
      </c>
      <c r="B1468" s="26">
        <v>48</v>
      </c>
      <c r="C1468" s="26">
        <v>129</v>
      </c>
      <c r="D1468" s="26" t="s">
        <v>1420</v>
      </c>
      <c r="E1468" s="26" t="s">
        <v>1128</v>
      </c>
      <c r="F1468" s="26" t="s">
        <v>1730</v>
      </c>
      <c r="G1468" s="26">
        <f t="shared" si="22"/>
        <v>-63202.01</v>
      </c>
    </row>
    <row r="1469" spans="1:7" x14ac:dyDescent="0.2">
      <c r="A1469" s="26">
        <v>80</v>
      </c>
      <c r="B1469" s="26">
        <v>49</v>
      </c>
      <c r="C1469" s="26">
        <v>129</v>
      </c>
      <c r="D1469" s="26" t="s">
        <v>1421</v>
      </c>
      <c r="E1469" s="26">
        <v>-72938.793000000005</v>
      </c>
      <c r="F1469" s="26">
        <v>43.103000000000002</v>
      </c>
      <c r="G1469" s="26">
        <f t="shared" si="22"/>
        <v>-72938.793000000005</v>
      </c>
    </row>
    <row r="1470" spans="1:7" x14ac:dyDescent="0.2">
      <c r="A1470" s="26">
        <v>79</v>
      </c>
      <c r="B1470" s="26">
        <v>50</v>
      </c>
      <c r="C1470" s="26">
        <v>129</v>
      </c>
      <c r="D1470" s="26" t="s">
        <v>1422</v>
      </c>
      <c r="E1470" s="26">
        <v>-80593.793000000005</v>
      </c>
      <c r="F1470" s="26">
        <v>28.876000000000001</v>
      </c>
      <c r="G1470" s="26">
        <f t="shared" si="22"/>
        <v>-80593.793000000005</v>
      </c>
    </row>
    <row r="1471" spans="1:7" x14ac:dyDescent="0.2">
      <c r="A1471" s="26">
        <v>78</v>
      </c>
      <c r="B1471" s="26">
        <v>51</v>
      </c>
      <c r="C1471" s="26">
        <v>129</v>
      </c>
      <c r="D1471" s="26" t="s">
        <v>1423</v>
      </c>
      <c r="E1471" s="26">
        <v>-84627.680999999997</v>
      </c>
      <c r="F1471" s="26">
        <v>21.285</v>
      </c>
      <c r="G1471" s="26">
        <f t="shared" si="22"/>
        <v>-84627.680999999997</v>
      </c>
    </row>
    <row r="1472" spans="1:7" x14ac:dyDescent="0.2">
      <c r="A1472" s="26">
        <v>77</v>
      </c>
      <c r="B1472" s="26">
        <v>52</v>
      </c>
      <c r="C1472" s="26">
        <v>129</v>
      </c>
      <c r="D1472" s="26" t="s">
        <v>1424</v>
      </c>
      <c r="E1472" s="26">
        <v>-87003.180999999997</v>
      </c>
      <c r="F1472" s="26">
        <v>1.7509999999999999</v>
      </c>
      <c r="G1472" s="26">
        <f t="shared" si="22"/>
        <v>-87003.180999999997</v>
      </c>
    </row>
    <row r="1473" spans="1:7" x14ac:dyDescent="0.2">
      <c r="A1473" s="26">
        <v>76</v>
      </c>
      <c r="B1473" s="26">
        <v>53</v>
      </c>
      <c r="C1473" s="26">
        <v>129</v>
      </c>
      <c r="D1473" s="26" t="s">
        <v>1425</v>
      </c>
      <c r="E1473" s="26">
        <v>-88503.366999999998</v>
      </c>
      <c r="F1473" s="26">
        <v>3.1629999999999998</v>
      </c>
      <c r="G1473" s="26">
        <f t="shared" si="22"/>
        <v>-88503.366999999998</v>
      </c>
    </row>
    <row r="1474" spans="1:7" x14ac:dyDescent="0.2">
      <c r="A1474" s="26">
        <v>75</v>
      </c>
      <c r="B1474" s="26">
        <v>54</v>
      </c>
      <c r="C1474" s="26">
        <v>129</v>
      </c>
      <c r="D1474" s="26" t="s">
        <v>1426</v>
      </c>
      <c r="E1474" s="26">
        <v>-88697.385999999999</v>
      </c>
      <c r="F1474" s="26">
        <v>0.73899999999999999</v>
      </c>
      <c r="G1474" s="26">
        <f t="shared" si="22"/>
        <v>-88697.385999999999</v>
      </c>
    </row>
    <row r="1475" spans="1:7" x14ac:dyDescent="0.2">
      <c r="A1475" s="26">
        <v>74</v>
      </c>
      <c r="B1475" s="26">
        <v>55</v>
      </c>
      <c r="C1475" s="26">
        <v>129</v>
      </c>
      <c r="D1475" s="26" t="s">
        <v>1427</v>
      </c>
      <c r="E1475" s="26">
        <v>-87500.423999999999</v>
      </c>
      <c r="F1475" s="26">
        <v>4.6029999999999998</v>
      </c>
      <c r="G1475" s="26">
        <f t="shared" si="22"/>
        <v>-87500.423999999999</v>
      </c>
    </row>
    <row r="1476" spans="1:7" x14ac:dyDescent="0.2">
      <c r="A1476" s="26">
        <v>73</v>
      </c>
      <c r="B1476" s="26">
        <v>56</v>
      </c>
      <c r="C1476" s="26">
        <v>129</v>
      </c>
      <c r="D1476" s="26" t="s">
        <v>1428</v>
      </c>
      <c r="E1476" s="26">
        <v>-85064.554999999993</v>
      </c>
      <c r="F1476" s="26">
        <v>10.951000000000001</v>
      </c>
      <c r="G1476" s="26">
        <f t="shared" si="22"/>
        <v>-85064.554999999993</v>
      </c>
    </row>
    <row r="1477" spans="1:7" x14ac:dyDescent="0.2">
      <c r="A1477" s="26">
        <v>72</v>
      </c>
      <c r="B1477" s="26">
        <v>57</v>
      </c>
      <c r="C1477" s="26">
        <v>129</v>
      </c>
      <c r="D1477" s="26" t="s">
        <v>1429</v>
      </c>
      <c r="E1477" s="26">
        <v>-81326.12</v>
      </c>
      <c r="F1477" s="26">
        <v>20.92</v>
      </c>
      <c r="G1477" s="26">
        <f t="shared" si="22"/>
        <v>-81326.12</v>
      </c>
    </row>
    <row r="1478" spans="1:7" x14ac:dyDescent="0.2">
      <c r="A1478" s="26">
        <v>71</v>
      </c>
      <c r="B1478" s="26">
        <v>58</v>
      </c>
      <c r="C1478" s="26">
        <v>129</v>
      </c>
      <c r="D1478" s="26" t="s">
        <v>1677</v>
      </c>
      <c r="E1478" s="26">
        <v>-76287.495999999999</v>
      </c>
      <c r="F1478" s="26">
        <v>27.945</v>
      </c>
      <c r="G1478" s="26">
        <f t="shared" si="22"/>
        <v>-76287.495999999999</v>
      </c>
    </row>
    <row r="1479" spans="1:7" x14ac:dyDescent="0.2">
      <c r="A1479" s="26">
        <v>70</v>
      </c>
      <c r="B1479" s="26">
        <v>59</v>
      </c>
      <c r="C1479" s="26">
        <v>129</v>
      </c>
      <c r="D1479" s="26" t="s">
        <v>1678</v>
      </c>
      <c r="E1479" s="26">
        <v>-69773.558999999994</v>
      </c>
      <c r="F1479" s="26">
        <v>29.808</v>
      </c>
      <c r="G1479" s="26">
        <f t="shared" si="22"/>
        <v>-69773.558999999994</v>
      </c>
    </row>
    <row r="1480" spans="1:7" x14ac:dyDescent="0.2">
      <c r="A1480" s="26">
        <v>69</v>
      </c>
      <c r="B1480" s="26">
        <v>60</v>
      </c>
      <c r="C1480" s="26">
        <v>129</v>
      </c>
      <c r="D1480" s="26" t="s">
        <v>1679</v>
      </c>
      <c r="E1480" s="26" t="s">
        <v>1129</v>
      </c>
      <c r="F1480" s="26" t="s">
        <v>1252</v>
      </c>
      <c r="G1480" s="26">
        <f t="shared" si="22"/>
        <v>-62235.01</v>
      </c>
    </row>
    <row r="1481" spans="1:7" x14ac:dyDescent="0.2">
      <c r="A1481" s="26">
        <v>68</v>
      </c>
      <c r="B1481" s="26">
        <v>61</v>
      </c>
      <c r="C1481" s="26">
        <v>129</v>
      </c>
      <c r="D1481" s="26" t="s">
        <v>1680</v>
      </c>
      <c r="E1481" s="26" t="s">
        <v>1583</v>
      </c>
      <c r="F1481" s="26" t="s">
        <v>1723</v>
      </c>
      <c r="G1481" s="26">
        <f t="shared" si="22"/>
        <v>-52946.01</v>
      </c>
    </row>
    <row r="1482" spans="1:7" x14ac:dyDescent="0.2">
      <c r="A1482" s="26">
        <v>67</v>
      </c>
      <c r="B1482" s="26">
        <v>62</v>
      </c>
      <c r="C1482" s="26">
        <v>129</v>
      </c>
      <c r="D1482" s="26" t="s">
        <v>1681</v>
      </c>
      <c r="E1482" s="26" t="s">
        <v>1130</v>
      </c>
      <c r="F1482" s="26" t="s">
        <v>1728</v>
      </c>
      <c r="G1482" s="26">
        <f t="shared" ref="G1482:G1545" si="23">IF(ISNUMBER(E1482),E1482,VALUE(SUBSTITUTE(E1482,"#",".01")))</f>
        <v>-42253.01</v>
      </c>
    </row>
    <row r="1483" spans="1:7" x14ac:dyDescent="0.2">
      <c r="A1483" s="26">
        <v>83</v>
      </c>
      <c r="B1483" s="26">
        <v>47</v>
      </c>
      <c r="C1483" s="26">
        <v>130</v>
      </c>
      <c r="D1483" s="26" t="s">
        <v>1419</v>
      </c>
      <c r="E1483" s="26" t="s">
        <v>1131</v>
      </c>
      <c r="F1483" s="26" t="s">
        <v>1132</v>
      </c>
      <c r="G1483" s="26">
        <f t="shared" si="23"/>
        <v>-46157.01</v>
      </c>
    </row>
    <row r="1484" spans="1:7" x14ac:dyDescent="0.2">
      <c r="A1484" s="26">
        <v>82</v>
      </c>
      <c r="B1484" s="26">
        <v>48</v>
      </c>
      <c r="C1484" s="26">
        <v>130</v>
      </c>
      <c r="D1484" s="26" t="s">
        <v>1420</v>
      </c>
      <c r="E1484" s="26">
        <v>-61569.949000000001</v>
      </c>
      <c r="F1484" s="26">
        <v>282.76900000000001</v>
      </c>
      <c r="G1484" s="26">
        <f t="shared" si="23"/>
        <v>-61569.949000000001</v>
      </c>
    </row>
    <row r="1485" spans="1:7" x14ac:dyDescent="0.2">
      <c r="A1485" s="26">
        <v>81</v>
      </c>
      <c r="B1485" s="26">
        <v>49</v>
      </c>
      <c r="C1485" s="26">
        <v>130</v>
      </c>
      <c r="D1485" s="26" t="s">
        <v>1421</v>
      </c>
      <c r="E1485" s="26">
        <v>-69889.948999999993</v>
      </c>
      <c r="F1485" s="26">
        <v>39.473999999999997</v>
      </c>
      <c r="G1485" s="26">
        <f t="shared" si="23"/>
        <v>-69889.948999999993</v>
      </c>
    </row>
    <row r="1486" spans="1:7" x14ac:dyDescent="0.2">
      <c r="A1486" s="26">
        <v>80</v>
      </c>
      <c r="B1486" s="26">
        <v>50</v>
      </c>
      <c r="C1486" s="26">
        <v>130</v>
      </c>
      <c r="D1486" s="26" t="s">
        <v>1422</v>
      </c>
      <c r="E1486" s="26">
        <v>-80138.948999999993</v>
      </c>
      <c r="F1486" s="26">
        <v>10.685</v>
      </c>
      <c r="G1486" s="26">
        <f t="shared" si="23"/>
        <v>-80138.948999999993</v>
      </c>
    </row>
    <row r="1487" spans="1:7" x14ac:dyDescent="0.2">
      <c r="A1487" s="26">
        <v>79</v>
      </c>
      <c r="B1487" s="26">
        <v>51</v>
      </c>
      <c r="C1487" s="26">
        <v>130</v>
      </c>
      <c r="D1487" s="26" t="s">
        <v>1423</v>
      </c>
      <c r="E1487" s="26">
        <v>-82291.604999999996</v>
      </c>
      <c r="F1487" s="26">
        <v>17.088999999999999</v>
      </c>
      <c r="G1487" s="26">
        <f t="shared" si="23"/>
        <v>-82291.604999999996</v>
      </c>
    </row>
    <row r="1488" spans="1:7" x14ac:dyDescent="0.2">
      <c r="A1488" s="26">
        <v>78</v>
      </c>
      <c r="B1488" s="26">
        <v>52</v>
      </c>
      <c r="C1488" s="26">
        <v>130</v>
      </c>
      <c r="D1488" s="26" t="s">
        <v>1424</v>
      </c>
      <c r="E1488" s="26">
        <v>-87351.41</v>
      </c>
      <c r="F1488" s="26">
        <v>1.9259999999999999</v>
      </c>
      <c r="G1488" s="26">
        <f t="shared" si="23"/>
        <v>-87351.41</v>
      </c>
    </row>
    <row r="1489" spans="1:7" x14ac:dyDescent="0.2">
      <c r="A1489" s="26">
        <v>77</v>
      </c>
      <c r="B1489" s="26">
        <v>53</v>
      </c>
      <c r="C1489" s="26">
        <v>130</v>
      </c>
      <c r="D1489" s="26" t="s">
        <v>1425</v>
      </c>
      <c r="E1489" s="26">
        <v>-86932.379000000001</v>
      </c>
      <c r="F1489" s="26">
        <v>3.1629999999999998</v>
      </c>
      <c r="G1489" s="26">
        <f t="shared" si="23"/>
        <v>-86932.379000000001</v>
      </c>
    </row>
    <row r="1490" spans="1:7" x14ac:dyDescent="0.2">
      <c r="A1490" s="26">
        <v>76</v>
      </c>
      <c r="B1490" s="26">
        <v>54</v>
      </c>
      <c r="C1490" s="26">
        <v>130</v>
      </c>
      <c r="D1490" s="26" t="s">
        <v>1426</v>
      </c>
      <c r="E1490" s="26">
        <v>-89881.713000000003</v>
      </c>
      <c r="F1490" s="26">
        <v>0.75</v>
      </c>
      <c r="G1490" s="26">
        <f t="shared" si="23"/>
        <v>-89881.713000000003</v>
      </c>
    </row>
    <row r="1491" spans="1:7" x14ac:dyDescent="0.2">
      <c r="A1491" s="26">
        <v>75</v>
      </c>
      <c r="B1491" s="26">
        <v>55</v>
      </c>
      <c r="C1491" s="26">
        <v>130</v>
      </c>
      <c r="D1491" s="26" t="s">
        <v>1427</v>
      </c>
      <c r="E1491" s="26">
        <v>-86900.423999999999</v>
      </c>
      <c r="F1491" s="26">
        <v>8.3659999999999997</v>
      </c>
      <c r="G1491" s="26">
        <f t="shared" si="23"/>
        <v>-86900.423999999999</v>
      </c>
    </row>
    <row r="1492" spans="1:7" x14ac:dyDescent="0.2">
      <c r="A1492" s="26">
        <v>74</v>
      </c>
      <c r="B1492" s="26">
        <v>56</v>
      </c>
      <c r="C1492" s="26">
        <v>130</v>
      </c>
      <c r="D1492" s="26" t="s">
        <v>1428</v>
      </c>
      <c r="E1492" s="26">
        <v>-87261.603000000003</v>
      </c>
      <c r="F1492" s="26">
        <v>2.79</v>
      </c>
      <c r="G1492" s="26">
        <f t="shared" si="23"/>
        <v>-87261.603000000003</v>
      </c>
    </row>
    <row r="1493" spans="1:7" x14ac:dyDescent="0.2">
      <c r="A1493" s="26">
        <v>73</v>
      </c>
      <c r="B1493" s="26">
        <v>57</v>
      </c>
      <c r="C1493" s="26">
        <v>130</v>
      </c>
      <c r="D1493" s="26" t="s">
        <v>1429</v>
      </c>
      <c r="E1493" s="26">
        <v>-81628.008000000002</v>
      </c>
      <c r="F1493" s="26">
        <v>25.946000000000002</v>
      </c>
      <c r="G1493" s="26">
        <f t="shared" si="23"/>
        <v>-81628.008000000002</v>
      </c>
    </row>
    <row r="1494" spans="1:7" x14ac:dyDescent="0.2">
      <c r="A1494" s="26">
        <v>72</v>
      </c>
      <c r="B1494" s="26">
        <v>58</v>
      </c>
      <c r="C1494" s="26">
        <v>130</v>
      </c>
      <c r="D1494" s="26" t="s">
        <v>1677</v>
      </c>
      <c r="E1494" s="26">
        <v>-79422.904999999999</v>
      </c>
      <c r="F1494" s="26">
        <v>27.945</v>
      </c>
      <c r="G1494" s="26">
        <f t="shared" si="23"/>
        <v>-79422.904999999999</v>
      </c>
    </row>
    <row r="1495" spans="1:7" x14ac:dyDescent="0.2">
      <c r="A1495" s="26">
        <v>71</v>
      </c>
      <c r="B1495" s="26">
        <v>59</v>
      </c>
      <c r="C1495" s="26">
        <v>130</v>
      </c>
      <c r="D1495" s="26" t="s">
        <v>1678</v>
      </c>
      <c r="E1495" s="26">
        <v>-71175.456999999995</v>
      </c>
      <c r="F1495" s="26">
        <v>64.272999999999996</v>
      </c>
      <c r="G1495" s="26">
        <f t="shared" si="23"/>
        <v>-71175.456999999995</v>
      </c>
    </row>
    <row r="1496" spans="1:7" x14ac:dyDescent="0.2">
      <c r="A1496" s="26">
        <v>70</v>
      </c>
      <c r="B1496" s="26">
        <v>60</v>
      </c>
      <c r="C1496" s="26">
        <v>130</v>
      </c>
      <c r="D1496" s="26" t="s">
        <v>1679</v>
      </c>
      <c r="E1496" s="26">
        <v>-66596.232999999993</v>
      </c>
      <c r="F1496" s="26">
        <v>27.945</v>
      </c>
      <c r="G1496" s="26">
        <f t="shared" si="23"/>
        <v>-66596.232999999993</v>
      </c>
    </row>
    <row r="1497" spans="1:7" x14ac:dyDescent="0.2">
      <c r="A1497" s="26">
        <v>69</v>
      </c>
      <c r="B1497" s="26">
        <v>61</v>
      </c>
      <c r="C1497" s="26">
        <v>130</v>
      </c>
      <c r="D1497" s="26" t="s">
        <v>1680</v>
      </c>
      <c r="E1497" s="26" t="s">
        <v>1644</v>
      </c>
      <c r="F1497" s="26" t="s">
        <v>1730</v>
      </c>
      <c r="G1497" s="26">
        <f t="shared" si="23"/>
        <v>-55470.01</v>
      </c>
    </row>
    <row r="1498" spans="1:7" x14ac:dyDescent="0.2">
      <c r="A1498" s="26">
        <v>68</v>
      </c>
      <c r="B1498" s="26">
        <v>62</v>
      </c>
      <c r="C1498" s="26">
        <v>130</v>
      </c>
      <c r="D1498" s="26" t="s">
        <v>1681</v>
      </c>
      <c r="E1498" s="26" t="s">
        <v>1133</v>
      </c>
      <c r="F1498" s="26" t="s">
        <v>1723</v>
      </c>
      <c r="G1498" s="26">
        <f t="shared" si="23"/>
        <v>-47581.01</v>
      </c>
    </row>
    <row r="1499" spans="1:7" x14ac:dyDescent="0.2">
      <c r="A1499" s="26">
        <v>67</v>
      </c>
      <c r="B1499" s="26">
        <v>63</v>
      </c>
      <c r="C1499" s="26">
        <v>130</v>
      </c>
      <c r="D1499" s="26" t="s">
        <v>1682</v>
      </c>
      <c r="E1499" s="26" t="s">
        <v>1134</v>
      </c>
      <c r="F1499" s="26" t="s">
        <v>1728</v>
      </c>
      <c r="G1499" s="26">
        <f t="shared" si="23"/>
        <v>-33936.01</v>
      </c>
    </row>
    <row r="1500" spans="1:7" x14ac:dyDescent="0.2">
      <c r="A1500" s="26">
        <v>83</v>
      </c>
      <c r="B1500" s="26">
        <v>48</v>
      </c>
      <c r="C1500" s="26">
        <v>131</v>
      </c>
      <c r="D1500" s="26" t="s">
        <v>1420</v>
      </c>
      <c r="E1500" s="26" t="s">
        <v>1135</v>
      </c>
      <c r="F1500" s="26" t="s">
        <v>1730</v>
      </c>
      <c r="G1500" s="26">
        <f t="shared" si="23"/>
        <v>-55266.01</v>
      </c>
    </row>
    <row r="1501" spans="1:7" x14ac:dyDescent="0.2">
      <c r="A1501" s="26">
        <v>82</v>
      </c>
      <c r="B1501" s="26">
        <v>49</v>
      </c>
      <c r="C1501" s="26">
        <v>131</v>
      </c>
      <c r="D1501" s="26" t="s">
        <v>1421</v>
      </c>
      <c r="E1501" s="26">
        <v>-68137.141000000003</v>
      </c>
      <c r="F1501" s="26">
        <v>27.992999999999999</v>
      </c>
      <c r="G1501" s="26">
        <f t="shared" si="23"/>
        <v>-68137.141000000003</v>
      </c>
    </row>
    <row r="1502" spans="1:7" x14ac:dyDescent="0.2">
      <c r="A1502" s="26">
        <v>81</v>
      </c>
      <c r="B1502" s="26">
        <v>50</v>
      </c>
      <c r="C1502" s="26">
        <v>131</v>
      </c>
      <c r="D1502" s="26" t="s">
        <v>1422</v>
      </c>
      <c r="E1502" s="26">
        <v>-77314.217999999993</v>
      </c>
      <c r="F1502" s="26">
        <v>21.178000000000001</v>
      </c>
      <c r="G1502" s="26">
        <f t="shared" si="23"/>
        <v>-77314.217999999993</v>
      </c>
    </row>
    <row r="1503" spans="1:7" x14ac:dyDescent="0.2">
      <c r="A1503" s="26">
        <v>80</v>
      </c>
      <c r="B1503" s="26">
        <v>51</v>
      </c>
      <c r="C1503" s="26">
        <v>131</v>
      </c>
      <c r="D1503" s="26" t="s">
        <v>1423</v>
      </c>
      <c r="E1503" s="26">
        <v>-81987.982999999993</v>
      </c>
      <c r="F1503" s="26">
        <v>20.617000000000001</v>
      </c>
      <c r="G1503" s="26">
        <f t="shared" si="23"/>
        <v>-81987.982999999993</v>
      </c>
    </row>
    <row r="1504" spans="1:7" x14ac:dyDescent="0.2">
      <c r="A1504" s="26">
        <v>79</v>
      </c>
      <c r="B1504" s="26">
        <v>52</v>
      </c>
      <c r="C1504" s="26">
        <v>131</v>
      </c>
      <c r="D1504" s="26" t="s">
        <v>1424</v>
      </c>
      <c r="E1504" s="26">
        <v>-85209.472999999998</v>
      </c>
      <c r="F1504" s="26">
        <v>1.927</v>
      </c>
      <c r="G1504" s="26">
        <f t="shared" si="23"/>
        <v>-85209.472999999998</v>
      </c>
    </row>
    <row r="1505" spans="1:7" x14ac:dyDescent="0.2">
      <c r="A1505" s="26">
        <v>78</v>
      </c>
      <c r="B1505" s="26">
        <v>53</v>
      </c>
      <c r="C1505" s="26">
        <v>131</v>
      </c>
      <c r="D1505" s="26" t="s">
        <v>1425</v>
      </c>
      <c r="E1505" s="26">
        <v>-87444.362999999998</v>
      </c>
      <c r="F1505" s="26">
        <v>1.135</v>
      </c>
      <c r="G1505" s="26">
        <f t="shared" si="23"/>
        <v>-87444.362999999998</v>
      </c>
    </row>
    <row r="1506" spans="1:7" x14ac:dyDescent="0.2">
      <c r="A1506" s="26">
        <v>77</v>
      </c>
      <c r="B1506" s="26">
        <v>54</v>
      </c>
      <c r="C1506" s="26">
        <v>131</v>
      </c>
      <c r="D1506" s="26" t="s">
        <v>1426</v>
      </c>
      <c r="E1506" s="26">
        <v>-88415.210999999996</v>
      </c>
      <c r="F1506" s="26">
        <v>0.96</v>
      </c>
      <c r="G1506" s="26">
        <f t="shared" si="23"/>
        <v>-88415.210999999996</v>
      </c>
    </row>
    <row r="1507" spans="1:7" x14ac:dyDescent="0.2">
      <c r="A1507" s="26">
        <v>76</v>
      </c>
      <c r="B1507" s="26">
        <v>55</v>
      </c>
      <c r="C1507" s="26">
        <v>131</v>
      </c>
      <c r="D1507" s="26" t="s">
        <v>1427</v>
      </c>
      <c r="E1507" s="26">
        <v>-88059.786999999997</v>
      </c>
      <c r="F1507" s="26">
        <v>5.0170000000000003</v>
      </c>
      <c r="G1507" s="26">
        <f t="shared" si="23"/>
        <v>-88059.786999999997</v>
      </c>
    </row>
    <row r="1508" spans="1:7" x14ac:dyDescent="0.2">
      <c r="A1508" s="26">
        <v>75</v>
      </c>
      <c r="B1508" s="26">
        <v>56</v>
      </c>
      <c r="C1508" s="26">
        <v>131</v>
      </c>
      <c r="D1508" s="26" t="s">
        <v>1428</v>
      </c>
      <c r="E1508" s="26">
        <v>-86683.79</v>
      </c>
      <c r="F1508" s="26">
        <v>2.8029999999999999</v>
      </c>
      <c r="G1508" s="26">
        <f t="shared" si="23"/>
        <v>-86683.79</v>
      </c>
    </row>
    <row r="1509" spans="1:7" x14ac:dyDescent="0.2">
      <c r="A1509" s="26">
        <v>74</v>
      </c>
      <c r="B1509" s="26">
        <v>57</v>
      </c>
      <c r="C1509" s="26">
        <v>131</v>
      </c>
      <c r="D1509" s="26" t="s">
        <v>1429</v>
      </c>
      <c r="E1509" s="26">
        <v>-83769.255999999994</v>
      </c>
      <c r="F1509" s="26">
        <v>27.945</v>
      </c>
      <c r="G1509" s="26">
        <f t="shared" si="23"/>
        <v>-83769.255999999994</v>
      </c>
    </row>
    <row r="1510" spans="1:7" x14ac:dyDescent="0.2">
      <c r="A1510" s="26">
        <v>73</v>
      </c>
      <c r="B1510" s="26">
        <v>58</v>
      </c>
      <c r="C1510" s="26">
        <v>131</v>
      </c>
      <c r="D1510" s="26" t="s">
        <v>1677</v>
      </c>
      <c r="E1510" s="26">
        <v>-79715.394</v>
      </c>
      <c r="F1510" s="26">
        <v>33.533999999999999</v>
      </c>
      <c r="G1510" s="26">
        <f t="shared" si="23"/>
        <v>-79715.394</v>
      </c>
    </row>
    <row r="1511" spans="1:7" x14ac:dyDescent="0.2">
      <c r="A1511" s="26">
        <v>72</v>
      </c>
      <c r="B1511" s="26">
        <v>59</v>
      </c>
      <c r="C1511" s="26">
        <v>131</v>
      </c>
      <c r="D1511" s="26" t="s">
        <v>1678</v>
      </c>
      <c r="E1511" s="26">
        <v>-74278.263999999996</v>
      </c>
      <c r="F1511" s="26">
        <v>52.164000000000001</v>
      </c>
      <c r="G1511" s="26">
        <f t="shared" si="23"/>
        <v>-74278.263999999996</v>
      </c>
    </row>
    <row r="1512" spans="1:7" x14ac:dyDescent="0.2">
      <c r="A1512" s="26">
        <v>71</v>
      </c>
      <c r="B1512" s="26">
        <v>60</v>
      </c>
      <c r="C1512" s="26">
        <v>131</v>
      </c>
      <c r="D1512" s="26" t="s">
        <v>1679</v>
      </c>
      <c r="E1512" s="26">
        <v>-67768.983999999997</v>
      </c>
      <c r="F1512" s="26">
        <v>27.945</v>
      </c>
      <c r="G1512" s="26">
        <f t="shared" si="23"/>
        <v>-67768.983999999997</v>
      </c>
    </row>
    <row r="1513" spans="1:7" x14ac:dyDescent="0.2">
      <c r="A1513" s="26">
        <v>70</v>
      </c>
      <c r="B1513" s="26">
        <v>61</v>
      </c>
      <c r="C1513" s="26">
        <v>131</v>
      </c>
      <c r="D1513" s="26" t="s">
        <v>1680</v>
      </c>
      <c r="E1513" s="26" t="s">
        <v>1136</v>
      </c>
      <c r="F1513" s="26" t="s">
        <v>1480</v>
      </c>
      <c r="G1513" s="26">
        <f t="shared" si="23"/>
        <v>-59737.01</v>
      </c>
    </row>
    <row r="1514" spans="1:7" x14ac:dyDescent="0.2">
      <c r="A1514" s="26">
        <v>69</v>
      </c>
      <c r="B1514" s="26">
        <v>62</v>
      </c>
      <c r="C1514" s="26">
        <v>131</v>
      </c>
      <c r="D1514" s="26" t="s">
        <v>1681</v>
      </c>
      <c r="E1514" s="26" t="s">
        <v>1370</v>
      </c>
      <c r="F1514" s="26" t="s">
        <v>1730</v>
      </c>
      <c r="G1514" s="26">
        <f t="shared" si="23"/>
        <v>-50198.01</v>
      </c>
    </row>
    <row r="1515" spans="1:7" x14ac:dyDescent="0.2">
      <c r="A1515" s="26">
        <v>68</v>
      </c>
      <c r="B1515" s="26">
        <v>63</v>
      </c>
      <c r="C1515" s="26">
        <v>131</v>
      </c>
      <c r="D1515" s="26" t="s">
        <v>1682</v>
      </c>
      <c r="E1515" s="26" t="s">
        <v>1137</v>
      </c>
      <c r="F1515" s="26" t="s">
        <v>1723</v>
      </c>
      <c r="G1515" s="26">
        <f t="shared" si="23"/>
        <v>-39353.01</v>
      </c>
    </row>
    <row r="1516" spans="1:7" x14ac:dyDescent="0.2">
      <c r="A1516" s="26">
        <v>84</v>
      </c>
      <c r="B1516" s="26">
        <v>48</v>
      </c>
      <c r="C1516" s="26">
        <v>132</v>
      </c>
      <c r="D1516" s="26" t="s">
        <v>1420</v>
      </c>
      <c r="E1516" s="26" t="s">
        <v>1138</v>
      </c>
      <c r="F1516" s="26" t="s">
        <v>1728</v>
      </c>
      <c r="G1516" s="26">
        <f t="shared" si="23"/>
        <v>-50720.01</v>
      </c>
    </row>
    <row r="1517" spans="1:7" x14ac:dyDescent="0.2">
      <c r="A1517" s="26">
        <v>83</v>
      </c>
      <c r="B1517" s="26">
        <v>49</v>
      </c>
      <c r="C1517" s="26">
        <v>132</v>
      </c>
      <c r="D1517" s="26" t="s">
        <v>1421</v>
      </c>
      <c r="E1517" s="26">
        <v>-62419.171000000002</v>
      </c>
      <c r="F1517" s="26">
        <v>61.531999999999996</v>
      </c>
      <c r="G1517" s="26">
        <f t="shared" si="23"/>
        <v>-62419.171000000002</v>
      </c>
    </row>
    <row r="1518" spans="1:7" x14ac:dyDescent="0.2">
      <c r="A1518" s="26">
        <v>82</v>
      </c>
      <c r="B1518" s="26">
        <v>50</v>
      </c>
      <c r="C1518" s="26">
        <v>132</v>
      </c>
      <c r="D1518" s="26" t="s">
        <v>1422</v>
      </c>
      <c r="E1518" s="26">
        <v>-76554.171000000002</v>
      </c>
      <c r="F1518" s="26">
        <v>13.644</v>
      </c>
      <c r="G1518" s="26">
        <f t="shared" si="23"/>
        <v>-76554.171000000002</v>
      </c>
    </row>
    <row r="1519" spans="1:7" x14ac:dyDescent="0.2">
      <c r="A1519" s="26">
        <v>81</v>
      </c>
      <c r="B1519" s="26">
        <v>51</v>
      </c>
      <c r="C1519" s="26">
        <v>132</v>
      </c>
      <c r="D1519" s="26" t="s">
        <v>1423</v>
      </c>
      <c r="E1519" s="26">
        <v>-79673.573000000004</v>
      </c>
      <c r="F1519" s="26">
        <v>14.372999999999999</v>
      </c>
      <c r="G1519" s="26">
        <f t="shared" si="23"/>
        <v>-79673.573000000004</v>
      </c>
    </row>
    <row r="1520" spans="1:7" x14ac:dyDescent="0.2">
      <c r="A1520" s="26">
        <v>80</v>
      </c>
      <c r="B1520" s="26">
        <v>52</v>
      </c>
      <c r="C1520" s="26">
        <v>132</v>
      </c>
      <c r="D1520" s="26" t="s">
        <v>1424</v>
      </c>
      <c r="E1520" s="26">
        <v>-85182.183000000005</v>
      </c>
      <c r="F1520" s="26">
        <v>6.9240000000000004</v>
      </c>
      <c r="G1520" s="26">
        <f t="shared" si="23"/>
        <v>-85182.183000000005</v>
      </c>
    </row>
    <row r="1521" spans="1:7" x14ac:dyDescent="0.2">
      <c r="A1521" s="26">
        <v>79</v>
      </c>
      <c r="B1521" s="26">
        <v>53</v>
      </c>
      <c r="C1521" s="26">
        <v>132</v>
      </c>
      <c r="D1521" s="26" t="s">
        <v>1425</v>
      </c>
      <c r="E1521" s="26">
        <v>-85699.888000000006</v>
      </c>
      <c r="F1521" s="26">
        <v>5.7969999999999997</v>
      </c>
      <c r="G1521" s="26">
        <f t="shared" si="23"/>
        <v>-85699.888000000006</v>
      </c>
    </row>
    <row r="1522" spans="1:7" x14ac:dyDescent="0.2">
      <c r="A1522" s="26">
        <v>78</v>
      </c>
      <c r="B1522" s="26">
        <v>54</v>
      </c>
      <c r="C1522" s="26">
        <v>132</v>
      </c>
      <c r="D1522" s="26" t="s">
        <v>1426</v>
      </c>
      <c r="E1522" s="26">
        <v>-89280.48</v>
      </c>
      <c r="F1522" s="26">
        <v>0.97199999999999998</v>
      </c>
      <c r="G1522" s="26">
        <f t="shared" si="23"/>
        <v>-89280.48</v>
      </c>
    </row>
    <row r="1523" spans="1:7" x14ac:dyDescent="0.2">
      <c r="A1523" s="26">
        <v>77</v>
      </c>
      <c r="B1523" s="26">
        <v>55</v>
      </c>
      <c r="C1523" s="26">
        <v>132</v>
      </c>
      <c r="D1523" s="26" t="s">
        <v>1427</v>
      </c>
      <c r="E1523" s="26">
        <v>-87155.926000000007</v>
      </c>
      <c r="F1523" s="26">
        <v>1.9</v>
      </c>
      <c r="G1523" s="26">
        <f t="shared" si="23"/>
        <v>-87155.926000000007</v>
      </c>
    </row>
    <row r="1524" spans="1:7" x14ac:dyDescent="0.2">
      <c r="A1524" s="26">
        <v>76</v>
      </c>
      <c r="B1524" s="26">
        <v>56</v>
      </c>
      <c r="C1524" s="26">
        <v>132</v>
      </c>
      <c r="D1524" s="26" t="s">
        <v>1428</v>
      </c>
      <c r="E1524" s="26">
        <v>-88434.841</v>
      </c>
      <c r="F1524" s="26">
        <v>1.0569999999999999</v>
      </c>
      <c r="G1524" s="26">
        <f t="shared" si="23"/>
        <v>-88434.841</v>
      </c>
    </row>
    <row r="1525" spans="1:7" x14ac:dyDescent="0.2">
      <c r="A1525" s="26">
        <v>75</v>
      </c>
      <c r="B1525" s="26">
        <v>57</v>
      </c>
      <c r="C1525" s="26">
        <v>132</v>
      </c>
      <c r="D1525" s="26" t="s">
        <v>1429</v>
      </c>
      <c r="E1525" s="26">
        <v>-83740.244999999995</v>
      </c>
      <c r="F1525" s="26">
        <v>39.164000000000001</v>
      </c>
      <c r="G1525" s="26">
        <f t="shared" si="23"/>
        <v>-83740.244999999995</v>
      </c>
    </row>
    <row r="1526" spans="1:7" x14ac:dyDescent="0.2">
      <c r="A1526" s="26">
        <v>74</v>
      </c>
      <c r="B1526" s="26">
        <v>58</v>
      </c>
      <c r="C1526" s="26">
        <v>132</v>
      </c>
      <c r="D1526" s="26" t="s">
        <v>1677</v>
      </c>
      <c r="E1526" s="26">
        <v>-82474.024999999994</v>
      </c>
      <c r="F1526" s="26">
        <v>20.574000000000002</v>
      </c>
      <c r="G1526" s="26">
        <f t="shared" si="23"/>
        <v>-82474.024999999994</v>
      </c>
    </row>
    <row r="1527" spans="1:7" x14ac:dyDescent="0.2">
      <c r="A1527" s="26">
        <v>73</v>
      </c>
      <c r="B1527" s="26">
        <v>59</v>
      </c>
      <c r="C1527" s="26">
        <v>132</v>
      </c>
      <c r="D1527" s="26" t="s">
        <v>1678</v>
      </c>
      <c r="E1527" s="26">
        <v>-75213.483999999997</v>
      </c>
      <c r="F1527" s="26">
        <v>56.820999999999998</v>
      </c>
      <c r="G1527" s="26">
        <f t="shared" si="23"/>
        <v>-75213.483999999997</v>
      </c>
    </row>
    <row r="1528" spans="1:7" x14ac:dyDescent="0.2">
      <c r="A1528" s="26">
        <v>72</v>
      </c>
      <c r="B1528" s="26">
        <v>60</v>
      </c>
      <c r="C1528" s="26">
        <v>132</v>
      </c>
      <c r="D1528" s="26" t="s">
        <v>1679</v>
      </c>
      <c r="E1528" s="26">
        <v>-71425.808000000005</v>
      </c>
      <c r="F1528" s="26">
        <v>24.204999999999998</v>
      </c>
      <c r="G1528" s="26">
        <f t="shared" si="23"/>
        <v>-71425.808000000005</v>
      </c>
    </row>
    <row r="1529" spans="1:7" x14ac:dyDescent="0.2">
      <c r="A1529" s="26">
        <v>71</v>
      </c>
      <c r="B1529" s="26">
        <v>61</v>
      </c>
      <c r="C1529" s="26">
        <v>132</v>
      </c>
      <c r="D1529" s="26" t="s">
        <v>1680</v>
      </c>
      <c r="E1529" s="26" t="s">
        <v>1645</v>
      </c>
      <c r="F1529" s="26" t="s">
        <v>1480</v>
      </c>
      <c r="G1529" s="26">
        <f t="shared" si="23"/>
        <v>-61711.01</v>
      </c>
    </row>
    <row r="1530" spans="1:7" x14ac:dyDescent="0.2">
      <c r="A1530" s="26">
        <v>70</v>
      </c>
      <c r="B1530" s="26">
        <v>62</v>
      </c>
      <c r="C1530" s="26">
        <v>132</v>
      </c>
      <c r="D1530" s="26" t="s">
        <v>1681</v>
      </c>
      <c r="E1530" s="26" t="s">
        <v>1139</v>
      </c>
      <c r="F1530" s="26" t="s">
        <v>1730</v>
      </c>
      <c r="G1530" s="26">
        <f t="shared" si="23"/>
        <v>-55247.01</v>
      </c>
    </row>
    <row r="1531" spans="1:7" x14ac:dyDescent="0.2">
      <c r="A1531" s="26">
        <v>69</v>
      </c>
      <c r="B1531" s="26">
        <v>63</v>
      </c>
      <c r="C1531" s="26">
        <v>132</v>
      </c>
      <c r="D1531" s="26" t="s">
        <v>1682</v>
      </c>
      <c r="E1531" s="26" t="s">
        <v>1431</v>
      </c>
      <c r="F1531" s="26" t="s">
        <v>1723</v>
      </c>
      <c r="G1531" s="26">
        <f t="shared" si="23"/>
        <v>-42504.01</v>
      </c>
    </row>
    <row r="1532" spans="1:7" x14ac:dyDescent="0.2">
      <c r="A1532" s="26">
        <v>84</v>
      </c>
      <c r="B1532" s="26">
        <v>49</v>
      </c>
      <c r="C1532" s="26">
        <v>133</v>
      </c>
      <c r="D1532" s="26" t="s">
        <v>1421</v>
      </c>
      <c r="E1532" s="26" t="s">
        <v>1140</v>
      </c>
      <c r="F1532" s="26" t="s">
        <v>1730</v>
      </c>
      <c r="G1532" s="26">
        <f t="shared" si="23"/>
        <v>-57930.01</v>
      </c>
    </row>
    <row r="1533" spans="1:7" x14ac:dyDescent="0.2">
      <c r="A1533" s="26">
        <v>83</v>
      </c>
      <c r="B1533" s="26">
        <v>50</v>
      </c>
      <c r="C1533" s="26">
        <v>133</v>
      </c>
      <c r="D1533" s="26" t="s">
        <v>1422</v>
      </c>
      <c r="E1533" s="26">
        <v>-70952.597999999998</v>
      </c>
      <c r="F1533" s="26">
        <v>35.661999999999999</v>
      </c>
      <c r="G1533" s="26">
        <f t="shared" si="23"/>
        <v>-70952.597999999998</v>
      </c>
    </row>
    <row r="1534" spans="1:7" x14ac:dyDescent="0.2">
      <c r="A1534" s="26">
        <v>82</v>
      </c>
      <c r="B1534" s="26">
        <v>51</v>
      </c>
      <c r="C1534" s="26">
        <v>133</v>
      </c>
      <c r="D1534" s="26" t="s">
        <v>1423</v>
      </c>
      <c r="E1534" s="26">
        <v>-78942.597999999998</v>
      </c>
      <c r="F1534" s="26">
        <v>25.431000000000001</v>
      </c>
      <c r="G1534" s="26">
        <f t="shared" si="23"/>
        <v>-78942.597999999998</v>
      </c>
    </row>
    <row r="1535" spans="1:7" x14ac:dyDescent="0.2">
      <c r="A1535" s="26">
        <v>81</v>
      </c>
      <c r="B1535" s="26">
        <v>52</v>
      </c>
      <c r="C1535" s="26">
        <v>133</v>
      </c>
      <c r="D1535" s="26" t="s">
        <v>1424</v>
      </c>
      <c r="E1535" s="26">
        <v>-82944.597999999998</v>
      </c>
      <c r="F1535" s="26">
        <v>24.449000000000002</v>
      </c>
      <c r="G1535" s="26">
        <f t="shared" si="23"/>
        <v>-82944.597999999998</v>
      </c>
    </row>
    <row r="1536" spans="1:7" x14ac:dyDescent="0.2">
      <c r="A1536" s="26">
        <v>80</v>
      </c>
      <c r="B1536" s="26">
        <v>53</v>
      </c>
      <c r="C1536" s="26">
        <v>133</v>
      </c>
      <c r="D1536" s="26" t="s">
        <v>1425</v>
      </c>
      <c r="E1536" s="26">
        <v>-85886.597999999998</v>
      </c>
      <c r="F1536" s="26">
        <v>4.665</v>
      </c>
      <c r="G1536" s="26">
        <f t="shared" si="23"/>
        <v>-85886.597999999998</v>
      </c>
    </row>
    <row r="1537" spans="1:7" x14ac:dyDescent="0.2">
      <c r="A1537" s="26">
        <v>79</v>
      </c>
      <c r="B1537" s="26">
        <v>54</v>
      </c>
      <c r="C1537" s="26">
        <v>133</v>
      </c>
      <c r="D1537" s="26" t="s">
        <v>1426</v>
      </c>
      <c r="E1537" s="26">
        <v>-87643.597999999998</v>
      </c>
      <c r="F1537" s="26">
        <v>2.4</v>
      </c>
      <c r="G1537" s="26">
        <f t="shared" si="23"/>
        <v>-87643.597999999998</v>
      </c>
    </row>
    <row r="1538" spans="1:7" x14ac:dyDescent="0.2">
      <c r="A1538" s="26">
        <v>78</v>
      </c>
      <c r="B1538" s="26">
        <v>55</v>
      </c>
      <c r="C1538" s="26">
        <v>133</v>
      </c>
      <c r="D1538" s="26" t="s">
        <v>1427</v>
      </c>
      <c r="E1538" s="26">
        <v>-88070.957999999999</v>
      </c>
      <c r="F1538" s="26">
        <v>2.1999999999999999E-2</v>
      </c>
      <c r="G1538" s="26">
        <f t="shared" si="23"/>
        <v>-88070.957999999999</v>
      </c>
    </row>
    <row r="1539" spans="1:7" x14ac:dyDescent="0.2">
      <c r="A1539" s="26">
        <v>77</v>
      </c>
      <c r="B1539" s="26">
        <v>56</v>
      </c>
      <c r="C1539" s="26">
        <v>133</v>
      </c>
      <c r="D1539" s="26" t="s">
        <v>1428</v>
      </c>
      <c r="E1539" s="26">
        <v>-87553.459000000003</v>
      </c>
      <c r="F1539" s="26">
        <v>0.995</v>
      </c>
      <c r="G1539" s="26">
        <f t="shared" si="23"/>
        <v>-87553.459000000003</v>
      </c>
    </row>
    <row r="1540" spans="1:7" x14ac:dyDescent="0.2">
      <c r="A1540" s="26">
        <v>76</v>
      </c>
      <c r="B1540" s="26">
        <v>57</v>
      </c>
      <c r="C1540" s="26">
        <v>133</v>
      </c>
      <c r="D1540" s="26" t="s">
        <v>1429</v>
      </c>
      <c r="E1540" s="26">
        <v>-85494.383000000002</v>
      </c>
      <c r="F1540" s="26">
        <v>27.945</v>
      </c>
      <c r="G1540" s="26">
        <f t="shared" si="23"/>
        <v>-85494.383000000002</v>
      </c>
    </row>
    <row r="1541" spans="1:7" x14ac:dyDescent="0.2">
      <c r="A1541" s="26">
        <v>75</v>
      </c>
      <c r="B1541" s="26">
        <v>58</v>
      </c>
      <c r="C1541" s="26">
        <v>133</v>
      </c>
      <c r="D1541" s="26" t="s">
        <v>1677</v>
      </c>
      <c r="E1541" s="26">
        <v>-82423.228000000003</v>
      </c>
      <c r="F1541" s="26">
        <v>16.353999999999999</v>
      </c>
      <c r="G1541" s="26">
        <f t="shared" si="23"/>
        <v>-82423.228000000003</v>
      </c>
    </row>
    <row r="1542" spans="1:7" x14ac:dyDescent="0.2">
      <c r="A1542" s="26">
        <v>74</v>
      </c>
      <c r="B1542" s="26">
        <v>59</v>
      </c>
      <c r="C1542" s="26">
        <v>133</v>
      </c>
      <c r="D1542" s="26" t="s">
        <v>1678</v>
      </c>
      <c r="E1542" s="26">
        <v>-77937.607000000004</v>
      </c>
      <c r="F1542" s="26">
        <v>12.497</v>
      </c>
      <c r="G1542" s="26">
        <f t="shared" si="23"/>
        <v>-77937.607000000004</v>
      </c>
    </row>
    <row r="1543" spans="1:7" x14ac:dyDescent="0.2">
      <c r="A1543" s="26">
        <v>73</v>
      </c>
      <c r="B1543" s="26">
        <v>60</v>
      </c>
      <c r="C1543" s="26">
        <v>133</v>
      </c>
      <c r="D1543" s="26" t="s">
        <v>1679</v>
      </c>
      <c r="E1543" s="26">
        <v>-72332.373000000007</v>
      </c>
      <c r="F1543" s="26">
        <v>46.575000000000003</v>
      </c>
      <c r="G1543" s="26">
        <f t="shared" si="23"/>
        <v>-72332.373000000007</v>
      </c>
    </row>
    <row r="1544" spans="1:7" x14ac:dyDescent="0.2">
      <c r="A1544" s="26">
        <v>72</v>
      </c>
      <c r="B1544" s="26">
        <v>61</v>
      </c>
      <c r="C1544" s="26">
        <v>133</v>
      </c>
      <c r="D1544" s="26" t="s">
        <v>1680</v>
      </c>
      <c r="E1544" s="26">
        <v>-65407.646000000001</v>
      </c>
      <c r="F1544" s="26">
        <v>50.301000000000002</v>
      </c>
      <c r="G1544" s="26">
        <f t="shared" si="23"/>
        <v>-65407.646000000001</v>
      </c>
    </row>
    <row r="1545" spans="1:7" x14ac:dyDescent="0.2">
      <c r="A1545" s="26">
        <v>71</v>
      </c>
      <c r="B1545" s="26">
        <v>62</v>
      </c>
      <c r="C1545" s="26">
        <v>133</v>
      </c>
      <c r="D1545" s="26" t="s">
        <v>1681</v>
      </c>
      <c r="E1545" s="26" t="s">
        <v>1141</v>
      </c>
      <c r="F1545" s="26" t="s">
        <v>1480</v>
      </c>
      <c r="G1545" s="26">
        <f t="shared" si="23"/>
        <v>-57129.01</v>
      </c>
    </row>
    <row r="1546" spans="1:7" x14ac:dyDescent="0.2">
      <c r="A1546" s="26">
        <v>70</v>
      </c>
      <c r="B1546" s="26">
        <v>63</v>
      </c>
      <c r="C1546" s="26">
        <v>133</v>
      </c>
      <c r="D1546" s="26" t="s">
        <v>1682</v>
      </c>
      <c r="E1546" s="26" t="s">
        <v>1066</v>
      </c>
      <c r="F1546" s="26" t="s">
        <v>1730</v>
      </c>
      <c r="G1546" s="26">
        <f t="shared" ref="G1546:G1609" si="24">IF(ISNUMBER(E1546),E1546,VALUE(SUBSTITUTE(E1546,"#",".01")))</f>
        <v>-47283.01</v>
      </c>
    </row>
    <row r="1547" spans="1:7" x14ac:dyDescent="0.2">
      <c r="A1547" s="26">
        <v>85</v>
      </c>
      <c r="B1547" s="26">
        <v>49</v>
      </c>
      <c r="C1547" s="26">
        <v>134</v>
      </c>
      <c r="D1547" s="26" t="s">
        <v>1421</v>
      </c>
      <c r="E1547" s="26" t="s">
        <v>1142</v>
      </c>
      <c r="F1547" s="26" t="s">
        <v>1723</v>
      </c>
      <c r="G1547" s="26">
        <f t="shared" si="24"/>
        <v>-52024.01</v>
      </c>
    </row>
    <row r="1548" spans="1:7" x14ac:dyDescent="0.2">
      <c r="A1548" s="26">
        <v>84</v>
      </c>
      <c r="B1548" s="26">
        <v>50</v>
      </c>
      <c r="C1548" s="26">
        <v>134</v>
      </c>
      <c r="D1548" s="26" t="s">
        <v>1422</v>
      </c>
      <c r="E1548" s="26">
        <v>-66795.790999999997</v>
      </c>
      <c r="F1548" s="26">
        <v>99.944999999999993</v>
      </c>
      <c r="G1548" s="26">
        <f t="shared" si="24"/>
        <v>-66795.790999999997</v>
      </c>
    </row>
    <row r="1549" spans="1:7" x14ac:dyDescent="0.2">
      <c r="A1549" s="26">
        <v>83</v>
      </c>
      <c r="B1549" s="26">
        <v>51</v>
      </c>
      <c r="C1549" s="26">
        <v>134</v>
      </c>
      <c r="D1549" s="26" t="s">
        <v>1423</v>
      </c>
      <c r="E1549" s="26">
        <v>-74165.790999999997</v>
      </c>
      <c r="F1549" s="26">
        <v>43.463000000000001</v>
      </c>
      <c r="G1549" s="26">
        <f t="shared" si="24"/>
        <v>-74165.790999999997</v>
      </c>
    </row>
    <row r="1550" spans="1:7" x14ac:dyDescent="0.2">
      <c r="A1550" s="26">
        <v>82</v>
      </c>
      <c r="B1550" s="26">
        <v>52</v>
      </c>
      <c r="C1550" s="26">
        <v>134</v>
      </c>
      <c r="D1550" s="26" t="s">
        <v>1424</v>
      </c>
      <c r="E1550" s="26">
        <v>-82559.490000000005</v>
      </c>
      <c r="F1550" s="26">
        <v>10.663</v>
      </c>
      <c r="G1550" s="26">
        <f t="shared" si="24"/>
        <v>-82559.490000000005</v>
      </c>
    </row>
    <row r="1551" spans="1:7" x14ac:dyDescent="0.2">
      <c r="A1551" s="26">
        <v>81</v>
      </c>
      <c r="B1551" s="26">
        <v>53</v>
      </c>
      <c r="C1551" s="26">
        <v>134</v>
      </c>
      <c r="D1551" s="26" t="s">
        <v>1425</v>
      </c>
      <c r="E1551" s="26">
        <v>-84072.49</v>
      </c>
      <c r="F1551" s="26">
        <v>8.0440000000000005</v>
      </c>
      <c r="G1551" s="26">
        <f t="shared" si="24"/>
        <v>-84072.49</v>
      </c>
    </row>
    <row r="1552" spans="1:7" x14ac:dyDescent="0.2">
      <c r="A1552" s="26">
        <v>80</v>
      </c>
      <c r="B1552" s="26">
        <v>54</v>
      </c>
      <c r="C1552" s="26">
        <v>134</v>
      </c>
      <c r="D1552" s="26" t="s">
        <v>1426</v>
      </c>
      <c r="E1552" s="26">
        <v>-88124.49</v>
      </c>
      <c r="F1552" s="26">
        <v>0.84</v>
      </c>
      <c r="G1552" s="26">
        <f t="shared" si="24"/>
        <v>-88124.49</v>
      </c>
    </row>
    <row r="1553" spans="1:7" x14ac:dyDescent="0.2">
      <c r="A1553" s="26">
        <v>79</v>
      </c>
      <c r="B1553" s="26">
        <v>55</v>
      </c>
      <c r="C1553" s="26">
        <v>134</v>
      </c>
      <c r="D1553" s="26" t="s">
        <v>1427</v>
      </c>
      <c r="E1553" s="26">
        <v>-86891.180999999997</v>
      </c>
      <c r="F1553" s="26">
        <v>2.5999999999999999E-2</v>
      </c>
      <c r="G1553" s="26">
        <f t="shared" si="24"/>
        <v>-86891.180999999997</v>
      </c>
    </row>
    <row r="1554" spans="1:7" x14ac:dyDescent="0.2">
      <c r="A1554" s="26">
        <v>78</v>
      </c>
      <c r="B1554" s="26">
        <v>56</v>
      </c>
      <c r="C1554" s="26">
        <v>134</v>
      </c>
      <c r="D1554" s="26" t="s">
        <v>1428</v>
      </c>
      <c r="E1554" s="26">
        <v>-88949.868000000002</v>
      </c>
      <c r="F1554" s="26">
        <v>0.39900000000000002</v>
      </c>
      <c r="G1554" s="26">
        <f t="shared" si="24"/>
        <v>-88949.868000000002</v>
      </c>
    </row>
    <row r="1555" spans="1:7" x14ac:dyDescent="0.2">
      <c r="A1555" s="26">
        <v>77</v>
      </c>
      <c r="B1555" s="26">
        <v>57</v>
      </c>
      <c r="C1555" s="26">
        <v>134</v>
      </c>
      <c r="D1555" s="26" t="s">
        <v>1429</v>
      </c>
      <c r="E1555" s="26">
        <v>-85218.65</v>
      </c>
      <c r="F1555" s="26">
        <v>19.93</v>
      </c>
      <c r="G1555" s="26">
        <f t="shared" si="24"/>
        <v>-85218.65</v>
      </c>
    </row>
    <row r="1556" spans="1:7" x14ac:dyDescent="0.2">
      <c r="A1556" s="26">
        <v>76</v>
      </c>
      <c r="B1556" s="26">
        <v>58</v>
      </c>
      <c r="C1556" s="26">
        <v>134</v>
      </c>
      <c r="D1556" s="26" t="s">
        <v>1677</v>
      </c>
      <c r="E1556" s="26">
        <v>-84835.982999999993</v>
      </c>
      <c r="F1556" s="26">
        <v>20.387</v>
      </c>
      <c r="G1556" s="26">
        <f t="shared" si="24"/>
        <v>-84835.982999999993</v>
      </c>
    </row>
    <row r="1557" spans="1:7" x14ac:dyDescent="0.2">
      <c r="A1557" s="26">
        <v>75</v>
      </c>
      <c r="B1557" s="26">
        <v>59</v>
      </c>
      <c r="C1557" s="26">
        <v>134</v>
      </c>
      <c r="D1557" s="26" t="s">
        <v>1678</v>
      </c>
      <c r="E1557" s="26">
        <v>-78514.010999999999</v>
      </c>
      <c r="F1557" s="26">
        <v>35.47</v>
      </c>
      <c r="G1557" s="26">
        <f t="shared" si="24"/>
        <v>-78514.010999999999</v>
      </c>
    </row>
    <row r="1558" spans="1:7" x14ac:dyDescent="0.2">
      <c r="A1558" s="26">
        <v>74</v>
      </c>
      <c r="B1558" s="26">
        <v>60</v>
      </c>
      <c r="C1558" s="26">
        <v>134</v>
      </c>
      <c r="D1558" s="26" t="s">
        <v>1679</v>
      </c>
      <c r="E1558" s="26">
        <v>-75646.459000000003</v>
      </c>
      <c r="F1558" s="26">
        <v>11.817</v>
      </c>
      <c r="G1558" s="26">
        <f t="shared" si="24"/>
        <v>-75646.459000000003</v>
      </c>
    </row>
    <row r="1559" spans="1:7" x14ac:dyDescent="0.2">
      <c r="A1559" s="26">
        <v>73</v>
      </c>
      <c r="B1559" s="26">
        <v>61</v>
      </c>
      <c r="C1559" s="26">
        <v>134</v>
      </c>
      <c r="D1559" s="26" t="s">
        <v>1680</v>
      </c>
      <c r="E1559" s="26">
        <v>-66738.751000000004</v>
      </c>
      <c r="F1559" s="26">
        <v>57.753</v>
      </c>
      <c r="G1559" s="26">
        <f t="shared" si="24"/>
        <v>-66738.751000000004</v>
      </c>
    </row>
    <row r="1560" spans="1:7" x14ac:dyDescent="0.2">
      <c r="A1560" s="26">
        <v>72</v>
      </c>
      <c r="B1560" s="26">
        <v>62</v>
      </c>
      <c r="C1560" s="26">
        <v>134</v>
      </c>
      <c r="D1560" s="26" t="s">
        <v>1681</v>
      </c>
      <c r="E1560" s="26" t="s">
        <v>1143</v>
      </c>
      <c r="F1560" s="26" t="s">
        <v>1480</v>
      </c>
      <c r="G1560" s="26">
        <f t="shared" si="24"/>
        <v>-61507.01</v>
      </c>
    </row>
    <row r="1561" spans="1:7" x14ac:dyDescent="0.2">
      <c r="A1561" s="26">
        <v>71</v>
      </c>
      <c r="B1561" s="26">
        <v>63</v>
      </c>
      <c r="C1561" s="26">
        <v>134</v>
      </c>
      <c r="D1561" s="26" t="s">
        <v>1682</v>
      </c>
      <c r="E1561" s="26" t="s">
        <v>1144</v>
      </c>
      <c r="F1561" s="26" t="s">
        <v>1480</v>
      </c>
      <c r="G1561" s="26">
        <f t="shared" si="24"/>
        <v>-49826.01</v>
      </c>
    </row>
    <row r="1562" spans="1:7" x14ac:dyDescent="0.2">
      <c r="A1562" s="26">
        <v>70</v>
      </c>
      <c r="B1562" s="26">
        <v>64</v>
      </c>
      <c r="C1562" s="26">
        <v>134</v>
      </c>
      <c r="D1562" s="26" t="s">
        <v>1683</v>
      </c>
      <c r="E1562" s="26" t="s">
        <v>1145</v>
      </c>
      <c r="F1562" s="26" t="s">
        <v>1723</v>
      </c>
      <c r="G1562" s="26">
        <f t="shared" si="24"/>
        <v>-41573.01</v>
      </c>
    </row>
    <row r="1563" spans="1:7" x14ac:dyDescent="0.2">
      <c r="A1563" s="26">
        <v>86</v>
      </c>
      <c r="B1563" s="26">
        <v>49</v>
      </c>
      <c r="C1563" s="26">
        <v>135</v>
      </c>
      <c r="D1563" s="26" t="s">
        <v>1421</v>
      </c>
      <c r="E1563" s="26" t="s">
        <v>1598</v>
      </c>
      <c r="F1563" s="26" t="s">
        <v>1728</v>
      </c>
      <c r="G1563" s="26">
        <f t="shared" si="24"/>
        <v>-47199.01</v>
      </c>
    </row>
    <row r="1564" spans="1:7" x14ac:dyDescent="0.2">
      <c r="A1564" s="26">
        <v>85</v>
      </c>
      <c r="B1564" s="26">
        <v>50</v>
      </c>
      <c r="C1564" s="26">
        <v>135</v>
      </c>
      <c r="D1564" s="26" t="s">
        <v>1422</v>
      </c>
      <c r="E1564" s="26" t="s">
        <v>1646</v>
      </c>
      <c r="F1564" s="26" t="s">
        <v>1723</v>
      </c>
      <c r="G1564" s="26">
        <f t="shared" si="24"/>
        <v>-60799.01</v>
      </c>
    </row>
    <row r="1565" spans="1:7" x14ac:dyDescent="0.2">
      <c r="A1565" s="26">
        <v>84</v>
      </c>
      <c r="B1565" s="26">
        <v>51</v>
      </c>
      <c r="C1565" s="26">
        <v>135</v>
      </c>
      <c r="D1565" s="26" t="s">
        <v>1423</v>
      </c>
      <c r="E1565" s="26">
        <v>-69707.635999999999</v>
      </c>
      <c r="F1565" s="26">
        <v>102.73099999999999</v>
      </c>
      <c r="G1565" s="26">
        <f t="shared" si="24"/>
        <v>-69707.635999999999</v>
      </c>
    </row>
    <row r="1566" spans="1:7" x14ac:dyDescent="0.2">
      <c r="A1566" s="26">
        <v>83</v>
      </c>
      <c r="B1566" s="26">
        <v>52</v>
      </c>
      <c r="C1566" s="26">
        <v>135</v>
      </c>
      <c r="D1566" s="26" t="s">
        <v>1424</v>
      </c>
      <c r="E1566" s="26">
        <v>-77827.635999999999</v>
      </c>
      <c r="F1566" s="26">
        <v>89.742000000000004</v>
      </c>
      <c r="G1566" s="26">
        <f t="shared" si="24"/>
        <v>-77827.635999999999</v>
      </c>
    </row>
    <row r="1567" spans="1:7" x14ac:dyDescent="0.2">
      <c r="A1567" s="26">
        <v>82</v>
      </c>
      <c r="B1567" s="26">
        <v>53</v>
      </c>
      <c r="C1567" s="26">
        <v>135</v>
      </c>
      <c r="D1567" s="26" t="s">
        <v>1425</v>
      </c>
      <c r="E1567" s="26">
        <v>-83789.635999999999</v>
      </c>
      <c r="F1567" s="26">
        <v>7.32</v>
      </c>
      <c r="G1567" s="26">
        <f t="shared" si="24"/>
        <v>-83789.635999999999</v>
      </c>
    </row>
    <row r="1568" spans="1:7" x14ac:dyDescent="0.2">
      <c r="A1568" s="26">
        <v>81</v>
      </c>
      <c r="B1568" s="26">
        <v>54</v>
      </c>
      <c r="C1568" s="26">
        <v>135</v>
      </c>
      <c r="D1568" s="26" t="s">
        <v>1426</v>
      </c>
      <c r="E1568" s="26">
        <v>-86417.032999999996</v>
      </c>
      <c r="F1568" s="26">
        <v>4.532</v>
      </c>
      <c r="G1568" s="26">
        <f t="shared" si="24"/>
        <v>-86417.032999999996</v>
      </c>
    </row>
    <row r="1569" spans="1:7" x14ac:dyDescent="0.2">
      <c r="A1569" s="26">
        <v>80</v>
      </c>
      <c r="B1569" s="26">
        <v>55</v>
      </c>
      <c r="C1569" s="26">
        <v>135</v>
      </c>
      <c r="D1569" s="26" t="s">
        <v>1427</v>
      </c>
      <c r="E1569" s="26">
        <v>-87581.853000000003</v>
      </c>
      <c r="F1569" s="26">
        <v>1</v>
      </c>
      <c r="G1569" s="26">
        <f t="shared" si="24"/>
        <v>-87581.853000000003</v>
      </c>
    </row>
    <row r="1570" spans="1:7" x14ac:dyDescent="0.2">
      <c r="A1570" s="26">
        <v>79</v>
      </c>
      <c r="B1570" s="26">
        <v>56</v>
      </c>
      <c r="C1570" s="26">
        <v>135</v>
      </c>
      <c r="D1570" s="26" t="s">
        <v>1428</v>
      </c>
      <c r="E1570" s="26">
        <v>-87850.512000000002</v>
      </c>
      <c r="F1570" s="26">
        <v>0.41199999999999998</v>
      </c>
      <c r="G1570" s="26">
        <f t="shared" si="24"/>
        <v>-87850.512000000002</v>
      </c>
    </row>
    <row r="1571" spans="1:7" x14ac:dyDescent="0.2">
      <c r="A1571" s="26">
        <v>78</v>
      </c>
      <c r="B1571" s="26">
        <v>57</v>
      </c>
      <c r="C1571" s="26">
        <v>135</v>
      </c>
      <c r="D1571" s="26" t="s">
        <v>1429</v>
      </c>
      <c r="E1571" s="26">
        <v>-86650.512000000002</v>
      </c>
      <c r="F1571" s="26">
        <v>10.007999999999999</v>
      </c>
      <c r="G1571" s="26">
        <f t="shared" si="24"/>
        <v>-86650.512000000002</v>
      </c>
    </row>
    <row r="1572" spans="1:7" x14ac:dyDescent="0.2">
      <c r="A1572" s="26">
        <v>77</v>
      </c>
      <c r="B1572" s="26">
        <v>58</v>
      </c>
      <c r="C1572" s="26">
        <v>135</v>
      </c>
      <c r="D1572" s="26" t="s">
        <v>1677</v>
      </c>
      <c r="E1572" s="26">
        <v>-84624.93</v>
      </c>
      <c r="F1572" s="26">
        <v>11.042999999999999</v>
      </c>
      <c r="G1572" s="26">
        <f t="shared" si="24"/>
        <v>-84624.93</v>
      </c>
    </row>
    <row r="1573" spans="1:7" x14ac:dyDescent="0.2">
      <c r="A1573" s="26">
        <v>76</v>
      </c>
      <c r="B1573" s="26">
        <v>59</v>
      </c>
      <c r="C1573" s="26">
        <v>135</v>
      </c>
      <c r="D1573" s="26" t="s">
        <v>1678</v>
      </c>
      <c r="E1573" s="26">
        <v>-80935.888000000006</v>
      </c>
      <c r="F1573" s="26">
        <v>11.817</v>
      </c>
      <c r="G1573" s="26">
        <f t="shared" si="24"/>
        <v>-80935.888000000006</v>
      </c>
    </row>
    <row r="1574" spans="1:7" x14ac:dyDescent="0.2">
      <c r="A1574" s="26">
        <v>75</v>
      </c>
      <c r="B1574" s="26">
        <v>60</v>
      </c>
      <c r="C1574" s="26">
        <v>135</v>
      </c>
      <c r="D1574" s="26" t="s">
        <v>1679</v>
      </c>
      <c r="E1574" s="26">
        <v>-76213.758000000002</v>
      </c>
      <c r="F1574" s="26">
        <v>19.295999999999999</v>
      </c>
      <c r="G1574" s="26">
        <f t="shared" si="24"/>
        <v>-76213.758000000002</v>
      </c>
    </row>
    <row r="1575" spans="1:7" x14ac:dyDescent="0.2">
      <c r="A1575" s="26">
        <v>74</v>
      </c>
      <c r="B1575" s="26">
        <v>61</v>
      </c>
      <c r="C1575" s="26">
        <v>135</v>
      </c>
      <c r="D1575" s="26" t="s">
        <v>1680</v>
      </c>
      <c r="E1575" s="26">
        <v>-69977.555999999997</v>
      </c>
      <c r="F1575" s="26">
        <v>58.683999999999997</v>
      </c>
      <c r="G1575" s="26">
        <f t="shared" si="24"/>
        <v>-69977.555999999997</v>
      </c>
    </row>
    <row r="1576" spans="1:7" x14ac:dyDescent="0.2">
      <c r="A1576" s="26">
        <v>73</v>
      </c>
      <c r="B1576" s="26">
        <v>62</v>
      </c>
      <c r="C1576" s="26">
        <v>135</v>
      </c>
      <c r="D1576" s="26" t="s">
        <v>1681</v>
      </c>
      <c r="E1576" s="26">
        <v>-62857.216</v>
      </c>
      <c r="F1576" s="26">
        <v>154.62799999999999</v>
      </c>
      <c r="G1576" s="26">
        <f t="shared" si="24"/>
        <v>-62857.216</v>
      </c>
    </row>
    <row r="1577" spans="1:7" x14ac:dyDescent="0.2">
      <c r="A1577" s="26">
        <v>72</v>
      </c>
      <c r="B1577" s="26">
        <v>63</v>
      </c>
      <c r="C1577" s="26">
        <v>135</v>
      </c>
      <c r="D1577" s="26" t="s">
        <v>1682</v>
      </c>
      <c r="E1577" s="26" t="s">
        <v>1146</v>
      </c>
      <c r="F1577" s="26" t="s">
        <v>1730</v>
      </c>
      <c r="G1577" s="26">
        <f t="shared" si="24"/>
        <v>-54194.01</v>
      </c>
    </row>
    <row r="1578" spans="1:7" x14ac:dyDescent="0.2">
      <c r="A1578" s="26">
        <v>71</v>
      </c>
      <c r="B1578" s="26">
        <v>64</v>
      </c>
      <c r="C1578" s="26">
        <v>135</v>
      </c>
      <c r="D1578" s="26" t="s">
        <v>1683</v>
      </c>
      <c r="E1578" s="26" t="s">
        <v>1147</v>
      </c>
      <c r="F1578" s="26" t="s">
        <v>1728</v>
      </c>
      <c r="G1578" s="26">
        <f t="shared" si="24"/>
        <v>-44181.01</v>
      </c>
    </row>
    <row r="1579" spans="1:7" x14ac:dyDescent="0.2">
      <c r="A1579" s="26">
        <v>86</v>
      </c>
      <c r="B1579" s="26">
        <v>50</v>
      </c>
      <c r="C1579" s="26">
        <v>136</v>
      </c>
      <c r="D1579" s="26" t="s">
        <v>1422</v>
      </c>
      <c r="E1579" s="26" t="s">
        <v>1648</v>
      </c>
      <c r="F1579" s="26" t="s">
        <v>1728</v>
      </c>
      <c r="G1579" s="26">
        <f t="shared" si="24"/>
        <v>-56504.01</v>
      </c>
    </row>
    <row r="1580" spans="1:7" x14ac:dyDescent="0.2">
      <c r="A1580" s="26">
        <v>85</v>
      </c>
      <c r="B1580" s="26">
        <v>51</v>
      </c>
      <c r="C1580" s="26">
        <v>136</v>
      </c>
      <c r="D1580" s="26" t="s">
        <v>1423</v>
      </c>
      <c r="E1580" s="26" t="s">
        <v>1148</v>
      </c>
      <c r="F1580" s="26" t="s">
        <v>1730</v>
      </c>
      <c r="G1580" s="26">
        <f t="shared" si="24"/>
        <v>-64879.01</v>
      </c>
    </row>
    <row r="1581" spans="1:7" x14ac:dyDescent="0.2">
      <c r="A1581" s="26">
        <v>84</v>
      </c>
      <c r="B1581" s="26">
        <v>52</v>
      </c>
      <c r="C1581" s="26">
        <v>136</v>
      </c>
      <c r="D1581" s="26" t="s">
        <v>1424</v>
      </c>
      <c r="E1581" s="26">
        <v>-74425.210000000006</v>
      </c>
      <c r="F1581" s="26">
        <v>45.231000000000002</v>
      </c>
      <c r="G1581" s="26">
        <f t="shared" si="24"/>
        <v>-74425.210000000006</v>
      </c>
    </row>
    <row r="1582" spans="1:7" x14ac:dyDescent="0.2">
      <c r="A1582" s="26">
        <v>83</v>
      </c>
      <c r="B1582" s="26">
        <v>53</v>
      </c>
      <c r="C1582" s="26">
        <v>136</v>
      </c>
      <c r="D1582" s="26" t="s">
        <v>1425</v>
      </c>
      <c r="E1582" s="26">
        <v>-79499.293999999994</v>
      </c>
      <c r="F1582" s="26">
        <v>49.698</v>
      </c>
      <c r="G1582" s="26">
        <f t="shared" si="24"/>
        <v>-79499.293999999994</v>
      </c>
    </row>
    <row r="1583" spans="1:7" x14ac:dyDescent="0.2">
      <c r="A1583" s="26">
        <v>82</v>
      </c>
      <c r="B1583" s="26">
        <v>54</v>
      </c>
      <c r="C1583" s="26">
        <v>136</v>
      </c>
      <c r="D1583" s="26" t="s">
        <v>1426</v>
      </c>
      <c r="E1583" s="26">
        <v>-86425.137000000002</v>
      </c>
      <c r="F1583" s="26">
        <v>7.0410000000000004</v>
      </c>
      <c r="G1583" s="26">
        <f t="shared" si="24"/>
        <v>-86425.137000000002</v>
      </c>
    </row>
    <row r="1584" spans="1:7" x14ac:dyDescent="0.2">
      <c r="A1584" s="26">
        <v>81</v>
      </c>
      <c r="B1584" s="26">
        <v>55</v>
      </c>
      <c r="C1584" s="26">
        <v>136</v>
      </c>
      <c r="D1584" s="26" t="s">
        <v>1427</v>
      </c>
      <c r="E1584" s="26">
        <v>-86338.710999999996</v>
      </c>
      <c r="F1584" s="26">
        <v>1.9019999999999999</v>
      </c>
      <c r="G1584" s="26">
        <f t="shared" si="24"/>
        <v>-86338.710999999996</v>
      </c>
    </row>
    <row r="1585" spans="1:7" x14ac:dyDescent="0.2">
      <c r="A1585" s="26">
        <v>80</v>
      </c>
      <c r="B1585" s="26">
        <v>56</v>
      </c>
      <c r="C1585" s="26">
        <v>136</v>
      </c>
      <c r="D1585" s="26" t="s">
        <v>1428</v>
      </c>
      <c r="E1585" s="26">
        <v>-88886.934999999998</v>
      </c>
      <c r="F1585" s="26">
        <v>0.41399999999999998</v>
      </c>
      <c r="G1585" s="26">
        <f t="shared" si="24"/>
        <v>-88886.934999999998</v>
      </c>
    </row>
    <row r="1586" spans="1:7" x14ac:dyDescent="0.2">
      <c r="A1586" s="26">
        <v>79</v>
      </c>
      <c r="B1586" s="26">
        <v>57</v>
      </c>
      <c r="C1586" s="26">
        <v>136</v>
      </c>
      <c r="D1586" s="26" t="s">
        <v>1429</v>
      </c>
      <c r="E1586" s="26">
        <v>-86036.945000000007</v>
      </c>
      <c r="F1586" s="26">
        <v>52.914000000000001</v>
      </c>
      <c r="G1586" s="26">
        <f t="shared" si="24"/>
        <v>-86036.945000000007</v>
      </c>
    </row>
    <row r="1587" spans="1:7" x14ac:dyDescent="0.2">
      <c r="A1587" s="26">
        <v>78</v>
      </c>
      <c r="B1587" s="26">
        <v>58</v>
      </c>
      <c r="C1587" s="26">
        <v>136</v>
      </c>
      <c r="D1587" s="26" t="s">
        <v>1677</v>
      </c>
      <c r="E1587" s="26">
        <v>-86468.331999999995</v>
      </c>
      <c r="F1587" s="26">
        <v>13.308</v>
      </c>
      <c r="G1587" s="26">
        <f t="shared" si="24"/>
        <v>-86468.331999999995</v>
      </c>
    </row>
    <row r="1588" spans="1:7" x14ac:dyDescent="0.2">
      <c r="A1588" s="26">
        <v>77</v>
      </c>
      <c r="B1588" s="26">
        <v>59</v>
      </c>
      <c r="C1588" s="26">
        <v>136</v>
      </c>
      <c r="D1588" s="26" t="s">
        <v>1678</v>
      </c>
      <c r="E1588" s="26">
        <v>-81327.240999999995</v>
      </c>
      <c r="F1588" s="26">
        <v>12.257999999999999</v>
      </c>
      <c r="G1588" s="26">
        <f t="shared" si="24"/>
        <v>-81327.240999999995</v>
      </c>
    </row>
    <row r="1589" spans="1:7" x14ac:dyDescent="0.2">
      <c r="A1589" s="26">
        <v>76</v>
      </c>
      <c r="B1589" s="26">
        <v>60</v>
      </c>
      <c r="C1589" s="26">
        <v>136</v>
      </c>
      <c r="D1589" s="26" t="s">
        <v>1679</v>
      </c>
      <c r="E1589" s="26">
        <v>-79199.313999999998</v>
      </c>
      <c r="F1589" s="26">
        <v>11.817</v>
      </c>
      <c r="G1589" s="26">
        <f t="shared" si="24"/>
        <v>-79199.313999999998</v>
      </c>
    </row>
    <row r="1590" spans="1:7" x14ac:dyDescent="0.2">
      <c r="A1590" s="26">
        <v>75</v>
      </c>
      <c r="B1590" s="26">
        <v>61</v>
      </c>
      <c r="C1590" s="26">
        <v>136</v>
      </c>
      <c r="D1590" s="26" t="s">
        <v>1680</v>
      </c>
      <c r="E1590" s="26">
        <v>-71197.971999999994</v>
      </c>
      <c r="F1590" s="26">
        <v>78.061999999999998</v>
      </c>
      <c r="G1590" s="26">
        <f t="shared" si="24"/>
        <v>-71197.971999999994</v>
      </c>
    </row>
    <row r="1591" spans="1:7" x14ac:dyDescent="0.2">
      <c r="A1591" s="26">
        <v>74</v>
      </c>
      <c r="B1591" s="26">
        <v>62</v>
      </c>
      <c r="C1591" s="26">
        <v>136</v>
      </c>
      <c r="D1591" s="26" t="s">
        <v>1681</v>
      </c>
      <c r="E1591" s="26">
        <v>-66810.917000000001</v>
      </c>
      <c r="F1591" s="26">
        <v>12.497</v>
      </c>
      <c r="G1591" s="26">
        <f t="shared" si="24"/>
        <v>-66810.917000000001</v>
      </c>
    </row>
    <row r="1592" spans="1:7" x14ac:dyDescent="0.2">
      <c r="A1592" s="26">
        <v>73</v>
      </c>
      <c r="B1592" s="26">
        <v>63</v>
      </c>
      <c r="C1592" s="26">
        <v>136</v>
      </c>
      <c r="D1592" s="26" t="s">
        <v>1682</v>
      </c>
      <c r="E1592" s="26" t="s">
        <v>848</v>
      </c>
      <c r="F1592" s="26" t="s">
        <v>1480</v>
      </c>
      <c r="G1592" s="26">
        <f t="shared" si="24"/>
        <v>-56262.01</v>
      </c>
    </row>
    <row r="1593" spans="1:7" x14ac:dyDescent="0.2">
      <c r="A1593" s="26">
        <v>72</v>
      </c>
      <c r="B1593" s="26">
        <v>64</v>
      </c>
      <c r="C1593" s="26">
        <v>136</v>
      </c>
      <c r="D1593" s="26" t="s">
        <v>1683</v>
      </c>
      <c r="E1593" s="26" t="s">
        <v>849</v>
      </c>
      <c r="F1593" s="26" t="s">
        <v>1723</v>
      </c>
      <c r="G1593" s="26">
        <f t="shared" si="24"/>
        <v>-49052.01</v>
      </c>
    </row>
    <row r="1594" spans="1:7" x14ac:dyDescent="0.2">
      <c r="A1594" s="26">
        <v>71</v>
      </c>
      <c r="B1594" s="26">
        <v>65</v>
      </c>
      <c r="C1594" s="26">
        <v>136</v>
      </c>
      <c r="D1594" s="26" t="s">
        <v>1684</v>
      </c>
      <c r="E1594" s="26" t="s">
        <v>850</v>
      </c>
      <c r="F1594" s="26" t="s">
        <v>1505</v>
      </c>
      <c r="G1594" s="26">
        <f t="shared" si="24"/>
        <v>-35974.01</v>
      </c>
    </row>
    <row r="1595" spans="1:7" x14ac:dyDescent="0.2">
      <c r="A1595" s="26">
        <v>87</v>
      </c>
      <c r="B1595" s="26">
        <v>50</v>
      </c>
      <c r="C1595" s="26">
        <v>137</v>
      </c>
      <c r="D1595" s="26" t="s">
        <v>1422</v>
      </c>
      <c r="E1595" s="26" t="s">
        <v>1578</v>
      </c>
      <c r="F1595" s="26" t="s">
        <v>1505</v>
      </c>
      <c r="G1595" s="26">
        <f t="shared" si="24"/>
        <v>-50310.01</v>
      </c>
    </row>
    <row r="1596" spans="1:7" x14ac:dyDescent="0.2">
      <c r="A1596" s="26">
        <v>86</v>
      </c>
      <c r="B1596" s="26">
        <v>51</v>
      </c>
      <c r="C1596" s="26">
        <v>137</v>
      </c>
      <c r="D1596" s="26" t="s">
        <v>1423</v>
      </c>
      <c r="E1596" s="26" t="s">
        <v>1639</v>
      </c>
      <c r="F1596" s="26" t="s">
        <v>1723</v>
      </c>
      <c r="G1596" s="26">
        <f t="shared" si="24"/>
        <v>-60258.01</v>
      </c>
    </row>
    <row r="1597" spans="1:7" x14ac:dyDescent="0.2">
      <c r="A1597" s="26">
        <v>85</v>
      </c>
      <c r="B1597" s="26">
        <v>52</v>
      </c>
      <c r="C1597" s="26">
        <v>137</v>
      </c>
      <c r="D1597" s="26" t="s">
        <v>1424</v>
      </c>
      <c r="E1597" s="26">
        <v>-69561.221000000005</v>
      </c>
      <c r="F1597" s="26">
        <v>122.46599999999999</v>
      </c>
      <c r="G1597" s="26">
        <f t="shared" si="24"/>
        <v>-69561.221000000005</v>
      </c>
    </row>
    <row r="1598" spans="1:7" x14ac:dyDescent="0.2">
      <c r="A1598" s="26">
        <v>84</v>
      </c>
      <c r="B1598" s="26">
        <v>53</v>
      </c>
      <c r="C1598" s="26">
        <v>137</v>
      </c>
      <c r="D1598" s="26" t="s">
        <v>1425</v>
      </c>
      <c r="E1598" s="26">
        <v>-76502.820000000007</v>
      </c>
      <c r="F1598" s="26">
        <v>27.741</v>
      </c>
      <c r="G1598" s="26">
        <f t="shared" si="24"/>
        <v>-76502.820000000007</v>
      </c>
    </row>
    <row r="1599" spans="1:7" x14ac:dyDescent="0.2">
      <c r="A1599" s="26">
        <v>83</v>
      </c>
      <c r="B1599" s="26">
        <v>54</v>
      </c>
      <c r="C1599" s="26">
        <v>137</v>
      </c>
      <c r="D1599" s="26" t="s">
        <v>1426</v>
      </c>
      <c r="E1599" s="26">
        <v>-82379.350000000006</v>
      </c>
      <c r="F1599" s="26">
        <v>7.0419999999999998</v>
      </c>
      <c r="G1599" s="26">
        <f t="shared" si="24"/>
        <v>-82379.350000000006</v>
      </c>
    </row>
    <row r="1600" spans="1:7" x14ac:dyDescent="0.2">
      <c r="A1600" s="26">
        <v>82</v>
      </c>
      <c r="B1600" s="26">
        <v>55</v>
      </c>
      <c r="C1600" s="26">
        <v>137</v>
      </c>
      <c r="D1600" s="26" t="s">
        <v>1427</v>
      </c>
      <c r="E1600" s="26">
        <v>-86545.599000000002</v>
      </c>
      <c r="F1600" s="26">
        <v>0.45500000000000002</v>
      </c>
      <c r="G1600" s="26">
        <f t="shared" si="24"/>
        <v>-86545.599000000002</v>
      </c>
    </row>
    <row r="1601" spans="1:7" x14ac:dyDescent="0.2">
      <c r="A1601" s="26">
        <v>81</v>
      </c>
      <c r="B1601" s="26">
        <v>56</v>
      </c>
      <c r="C1601" s="26">
        <v>137</v>
      </c>
      <c r="D1601" s="26" t="s">
        <v>1428</v>
      </c>
      <c r="E1601" s="26">
        <v>-87721.226999999999</v>
      </c>
      <c r="F1601" s="26">
        <v>0.42099999999999999</v>
      </c>
      <c r="G1601" s="26">
        <f t="shared" si="24"/>
        <v>-87721.226999999999</v>
      </c>
    </row>
    <row r="1602" spans="1:7" x14ac:dyDescent="0.2">
      <c r="A1602" s="26">
        <v>80</v>
      </c>
      <c r="B1602" s="26">
        <v>57</v>
      </c>
      <c r="C1602" s="26">
        <v>137</v>
      </c>
      <c r="D1602" s="26" t="s">
        <v>1429</v>
      </c>
      <c r="E1602" s="26">
        <v>-87100.653000000006</v>
      </c>
      <c r="F1602" s="26">
        <v>13.404</v>
      </c>
      <c r="G1602" s="26">
        <f t="shared" si="24"/>
        <v>-87100.653000000006</v>
      </c>
    </row>
    <row r="1603" spans="1:7" x14ac:dyDescent="0.2">
      <c r="A1603" s="26">
        <v>79</v>
      </c>
      <c r="B1603" s="26">
        <v>58</v>
      </c>
      <c r="C1603" s="26">
        <v>137</v>
      </c>
      <c r="D1603" s="26" t="s">
        <v>1677</v>
      </c>
      <c r="E1603" s="26">
        <v>-85878.553</v>
      </c>
      <c r="F1603" s="26">
        <v>13.308</v>
      </c>
      <c r="G1603" s="26">
        <f t="shared" si="24"/>
        <v>-85878.553</v>
      </c>
    </row>
    <row r="1604" spans="1:7" x14ac:dyDescent="0.2">
      <c r="A1604" s="26">
        <v>78</v>
      </c>
      <c r="B1604" s="26">
        <v>59</v>
      </c>
      <c r="C1604" s="26">
        <v>137</v>
      </c>
      <c r="D1604" s="26" t="s">
        <v>1678</v>
      </c>
      <c r="E1604" s="26">
        <v>-83177.332999999999</v>
      </c>
      <c r="F1604" s="26">
        <v>11.787000000000001</v>
      </c>
      <c r="G1604" s="26">
        <f t="shared" si="24"/>
        <v>-83177.332999999999</v>
      </c>
    </row>
    <row r="1605" spans="1:7" x14ac:dyDescent="0.2">
      <c r="A1605" s="26">
        <v>77</v>
      </c>
      <c r="B1605" s="26">
        <v>60</v>
      </c>
      <c r="C1605" s="26">
        <v>137</v>
      </c>
      <c r="D1605" s="26" t="s">
        <v>1679</v>
      </c>
      <c r="E1605" s="26">
        <v>-79580.198999999993</v>
      </c>
      <c r="F1605" s="26">
        <v>11.481999999999999</v>
      </c>
      <c r="G1605" s="26">
        <f t="shared" si="24"/>
        <v>-79580.198999999993</v>
      </c>
    </row>
    <row r="1606" spans="1:7" x14ac:dyDescent="0.2">
      <c r="A1606" s="26">
        <v>76</v>
      </c>
      <c r="B1606" s="26">
        <v>61</v>
      </c>
      <c r="C1606" s="26">
        <v>137</v>
      </c>
      <c r="D1606" s="26" t="s">
        <v>1680</v>
      </c>
      <c r="E1606" s="26">
        <v>-74072.875</v>
      </c>
      <c r="F1606" s="26">
        <v>13.041</v>
      </c>
      <c r="G1606" s="26">
        <f t="shared" si="24"/>
        <v>-74072.875</v>
      </c>
    </row>
    <row r="1607" spans="1:7" x14ac:dyDescent="0.2">
      <c r="A1607" s="26">
        <v>75</v>
      </c>
      <c r="B1607" s="26">
        <v>62</v>
      </c>
      <c r="C1607" s="26">
        <v>137</v>
      </c>
      <c r="D1607" s="26" t="s">
        <v>1681</v>
      </c>
      <c r="E1607" s="26">
        <v>-68025.380999999994</v>
      </c>
      <c r="F1607" s="26">
        <v>42.390999999999998</v>
      </c>
      <c r="G1607" s="26">
        <f t="shared" si="24"/>
        <v>-68025.380999999994</v>
      </c>
    </row>
    <row r="1608" spans="1:7" x14ac:dyDescent="0.2">
      <c r="A1608" s="26">
        <v>74</v>
      </c>
      <c r="B1608" s="26">
        <v>63</v>
      </c>
      <c r="C1608" s="26">
        <v>137</v>
      </c>
      <c r="D1608" s="26" t="s">
        <v>1682</v>
      </c>
      <c r="E1608" s="26" t="s">
        <v>851</v>
      </c>
      <c r="F1608" s="26" t="s">
        <v>1480</v>
      </c>
      <c r="G1608" s="26">
        <f t="shared" si="24"/>
        <v>-60016.01</v>
      </c>
    </row>
    <row r="1609" spans="1:7" x14ac:dyDescent="0.2">
      <c r="A1609" s="26">
        <v>73</v>
      </c>
      <c r="B1609" s="26">
        <v>64</v>
      </c>
      <c r="C1609" s="26">
        <v>137</v>
      </c>
      <c r="D1609" s="26" t="s">
        <v>1683</v>
      </c>
      <c r="E1609" s="26" t="s">
        <v>852</v>
      </c>
      <c r="F1609" s="26" t="s">
        <v>1723</v>
      </c>
      <c r="G1609" s="26">
        <f t="shared" si="24"/>
        <v>-51214.01</v>
      </c>
    </row>
    <row r="1610" spans="1:7" x14ac:dyDescent="0.2">
      <c r="A1610" s="26">
        <v>72</v>
      </c>
      <c r="B1610" s="26">
        <v>65</v>
      </c>
      <c r="C1610" s="26">
        <v>137</v>
      </c>
      <c r="D1610" s="26" t="s">
        <v>1684</v>
      </c>
      <c r="E1610" s="26" t="s">
        <v>853</v>
      </c>
      <c r="F1610" s="26" t="s">
        <v>1505</v>
      </c>
      <c r="G1610" s="26">
        <f t="shared" ref="G1610:G1673" si="25">IF(ISNUMBER(E1610),E1610,VALUE(SUBSTITUTE(E1610,"#",".01")))</f>
        <v>-41004.01</v>
      </c>
    </row>
    <row r="1611" spans="1:7" x14ac:dyDescent="0.2">
      <c r="A1611" s="26">
        <v>87</v>
      </c>
      <c r="B1611" s="26">
        <v>51</v>
      </c>
      <c r="C1611" s="26">
        <v>138</v>
      </c>
      <c r="D1611" s="26" t="s">
        <v>1423</v>
      </c>
      <c r="E1611" s="26" t="s">
        <v>854</v>
      </c>
      <c r="F1611" s="26" t="s">
        <v>1730</v>
      </c>
      <c r="G1611" s="26">
        <f t="shared" si="25"/>
        <v>-55154.01</v>
      </c>
    </row>
    <row r="1612" spans="1:7" x14ac:dyDescent="0.2">
      <c r="A1612" s="26">
        <v>86</v>
      </c>
      <c r="B1612" s="26">
        <v>52</v>
      </c>
      <c r="C1612" s="26">
        <v>138</v>
      </c>
      <c r="D1612" s="26" t="s">
        <v>1424</v>
      </c>
      <c r="E1612" s="26" t="s">
        <v>1650</v>
      </c>
      <c r="F1612" s="26" t="s">
        <v>1306</v>
      </c>
      <c r="G1612" s="26">
        <f t="shared" si="25"/>
        <v>-65931.009999999995</v>
      </c>
    </row>
    <row r="1613" spans="1:7" x14ac:dyDescent="0.2">
      <c r="A1613" s="26">
        <v>85</v>
      </c>
      <c r="B1613" s="26">
        <v>53</v>
      </c>
      <c r="C1613" s="26">
        <v>138</v>
      </c>
      <c r="D1613" s="26" t="s">
        <v>1425</v>
      </c>
      <c r="E1613" s="26">
        <v>-72330.89</v>
      </c>
      <c r="F1613" s="26">
        <v>82.350999999999999</v>
      </c>
      <c r="G1613" s="26">
        <f t="shared" si="25"/>
        <v>-72330.89</v>
      </c>
    </row>
    <row r="1614" spans="1:7" x14ac:dyDescent="0.2">
      <c r="A1614" s="26">
        <v>84</v>
      </c>
      <c r="B1614" s="26">
        <v>54</v>
      </c>
      <c r="C1614" s="26">
        <v>138</v>
      </c>
      <c r="D1614" s="26" t="s">
        <v>1426</v>
      </c>
      <c r="E1614" s="26">
        <v>-80150.89</v>
      </c>
      <c r="F1614" s="26">
        <v>43.378</v>
      </c>
      <c r="G1614" s="26">
        <f t="shared" si="25"/>
        <v>-80150.89</v>
      </c>
    </row>
    <row r="1615" spans="1:7" x14ac:dyDescent="0.2">
      <c r="A1615" s="26">
        <v>83</v>
      </c>
      <c r="B1615" s="26">
        <v>55</v>
      </c>
      <c r="C1615" s="26">
        <v>138</v>
      </c>
      <c r="D1615" s="26" t="s">
        <v>1427</v>
      </c>
      <c r="E1615" s="26">
        <v>-82887.407000000007</v>
      </c>
      <c r="F1615" s="26">
        <v>9.16</v>
      </c>
      <c r="G1615" s="26">
        <f t="shared" si="25"/>
        <v>-82887.407000000007</v>
      </c>
    </row>
    <row r="1616" spans="1:7" x14ac:dyDescent="0.2">
      <c r="A1616" s="26">
        <v>82</v>
      </c>
      <c r="B1616" s="26">
        <v>56</v>
      </c>
      <c r="C1616" s="26">
        <v>138</v>
      </c>
      <c r="D1616" s="26" t="s">
        <v>1428</v>
      </c>
      <c r="E1616" s="26">
        <v>-88261.630999999994</v>
      </c>
      <c r="F1616" s="26">
        <v>0.42299999999999999</v>
      </c>
      <c r="G1616" s="26">
        <f t="shared" si="25"/>
        <v>-88261.630999999994</v>
      </c>
    </row>
    <row r="1617" spans="1:7" x14ac:dyDescent="0.2">
      <c r="A1617" s="26">
        <v>81</v>
      </c>
      <c r="B1617" s="26">
        <v>57</v>
      </c>
      <c r="C1617" s="26">
        <v>138</v>
      </c>
      <c r="D1617" s="26" t="s">
        <v>1429</v>
      </c>
      <c r="E1617" s="26">
        <v>-86524.680999999997</v>
      </c>
      <c r="F1617" s="26">
        <v>3.528</v>
      </c>
      <c r="G1617" s="26">
        <f t="shared" si="25"/>
        <v>-86524.680999999997</v>
      </c>
    </row>
    <row r="1618" spans="1:7" x14ac:dyDescent="0.2">
      <c r="A1618" s="26">
        <v>80</v>
      </c>
      <c r="B1618" s="26">
        <v>58</v>
      </c>
      <c r="C1618" s="26">
        <v>138</v>
      </c>
      <c r="D1618" s="26" t="s">
        <v>1677</v>
      </c>
      <c r="E1618" s="26">
        <v>-87568.520999999993</v>
      </c>
      <c r="F1618" s="26">
        <v>10.156000000000001</v>
      </c>
      <c r="G1618" s="26">
        <f t="shared" si="25"/>
        <v>-87568.520999999993</v>
      </c>
    </row>
    <row r="1619" spans="1:7" x14ac:dyDescent="0.2">
      <c r="A1619" s="26">
        <v>79</v>
      </c>
      <c r="B1619" s="26">
        <v>59</v>
      </c>
      <c r="C1619" s="26">
        <v>138</v>
      </c>
      <c r="D1619" s="26" t="s">
        <v>1678</v>
      </c>
      <c r="E1619" s="26">
        <v>-83131.520999999993</v>
      </c>
      <c r="F1619" s="26">
        <v>14.253</v>
      </c>
      <c r="G1619" s="26">
        <f t="shared" si="25"/>
        <v>-83131.520999999993</v>
      </c>
    </row>
    <row r="1620" spans="1:7" x14ac:dyDescent="0.2">
      <c r="A1620" s="26">
        <v>78</v>
      </c>
      <c r="B1620" s="26">
        <v>60</v>
      </c>
      <c r="C1620" s="26">
        <v>138</v>
      </c>
      <c r="D1620" s="26" t="s">
        <v>1679</v>
      </c>
      <c r="E1620" s="26">
        <v>-82018.082999999999</v>
      </c>
      <c r="F1620" s="26">
        <v>11.817</v>
      </c>
      <c r="G1620" s="26">
        <f t="shared" si="25"/>
        <v>-82018.082999999999</v>
      </c>
    </row>
    <row r="1621" spans="1:7" x14ac:dyDescent="0.2">
      <c r="A1621" s="26">
        <v>77</v>
      </c>
      <c r="B1621" s="26">
        <v>61</v>
      </c>
      <c r="C1621" s="26">
        <v>138</v>
      </c>
      <c r="D1621" s="26" t="s">
        <v>1680</v>
      </c>
      <c r="E1621" s="26">
        <v>-74940.293999999994</v>
      </c>
      <c r="F1621" s="26">
        <v>27.494</v>
      </c>
      <c r="G1621" s="26">
        <f t="shared" si="25"/>
        <v>-74940.293999999994</v>
      </c>
    </row>
    <row r="1622" spans="1:7" x14ac:dyDescent="0.2">
      <c r="A1622" s="26">
        <v>76</v>
      </c>
      <c r="B1622" s="26">
        <v>62</v>
      </c>
      <c r="C1622" s="26">
        <v>138</v>
      </c>
      <c r="D1622" s="26" t="s">
        <v>1681</v>
      </c>
      <c r="E1622" s="26">
        <v>-71497.789999999994</v>
      </c>
      <c r="F1622" s="26">
        <v>11.817</v>
      </c>
      <c r="G1622" s="26">
        <f t="shared" si="25"/>
        <v>-71497.789999999994</v>
      </c>
    </row>
    <row r="1623" spans="1:7" x14ac:dyDescent="0.2">
      <c r="A1623" s="26">
        <v>75</v>
      </c>
      <c r="B1623" s="26">
        <v>63</v>
      </c>
      <c r="C1623" s="26">
        <v>138</v>
      </c>
      <c r="D1623" s="26" t="s">
        <v>1682</v>
      </c>
      <c r="E1623" s="26">
        <v>-61749.669000000002</v>
      </c>
      <c r="F1623" s="26">
        <v>27.945</v>
      </c>
      <c r="G1623" s="26">
        <f t="shared" si="25"/>
        <v>-61749.669000000002</v>
      </c>
    </row>
    <row r="1624" spans="1:7" x14ac:dyDescent="0.2">
      <c r="A1624" s="26">
        <v>74</v>
      </c>
      <c r="B1624" s="26">
        <v>64</v>
      </c>
      <c r="C1624" s="26">
        <v>138</v>
      </c>
      <c r="D1624" s="26" t="s">
        <v>1683</v>
      </c>
      <c r="E1624" s="26" t="s">
        <v>1310</v>
      </c>
      <c r="F1624" s="26" t="s">
        <v>1480</v>
      </c>
      <c r="G1624" s="26">
        <f t="shared" si="25"/>
        <v>-55778.01</v>
      </c>
    </row>
    <row r="1625" spans="1:7" x14ac:dyDescent="0.2">
      <c r="A1625" s="26">
        <v>73</v>
      </c>
      <c r="B1625" s="26">
        <v>65</v>
      </c>
      <c r="C1625" s="26">
        <v>138</v>
      </c>
      <c r="D1625" s="26" t="s">
        <v>1684</v>
      </c>
      <c r="E1625" s="26" t="s">
        <v>855</v>
      </c>
      <c r="F1625" s="26" t="s">
        <v>1723</v>
      </c>
      <c r="G1625" s="26">
        <f t="shared" si="25"/>
        <v>-43631.01</v>
      </c>
    </row>
    <row r="1626" spans="1:7" x14ac:dyDescent="0.2">
      <c r="A1626" s="26">
        <v>72</v>
      </c>
      <c r="B1626" s="26">
        <v>66</v>
      </c>
      <c r="C1626" s="26">
        <v>138</v>
      </c>
      <c r="D1626" s="26" t="s">
        <v>1685</v>
      </c>
      <c r="E1626" s="26" t="s">
        <v>856</v>
      </c>
      <c r="F1626" s="26" t="s">
        <v>1505</v>
      </c>
      <c r="G1626" s="26">
        <f t="shared" si="25"/>
        <v>-34940.01</v>
      </c>
    </row>
    <row r="1627" spans="1:7" x14ac:dyDescent="0.2">
      <c r="A1627" s="26">
        <v>88</v>
      </c>
      <c r="B1627" s="26">
        <v>51</v>
      </c>
      <c r="C1627" s="26">
        <v>139</v>
      </c>
      <c r="D1627" s="26" t="s">
        <v>1423</v>
      </c>
      <c r="E1627" s="26" t="s">
        <v>857</v>
      </c>
      <c r="F1627" s="26" t="s">
        <v>1728</v>
      </c>
      <c r="G1627" s="26">
        <f t="shared" si="25"/>
        <v>-50319.01</v>
      </c>
    </row>
    <row r="1628" spans="1:7" x14ac:dyDescent="0.2">
      <c r="A1628" s="26">
        <v>87</v>
      </c>
      <c r="B1628" s="26">
        <v>52</v>
      </c>
      <c r="C1628" s="26">
        <v>139</v>
      </c>
      <c r="D1628" s="26" t="s">
        <v>1424</v>
      </c>
      <c r="E1628" s="26" t="s">
        <v>1646</v>
      </c>
      <c r="F1628" s="26" t="s">
        <v>1723</v>
      </c>
      <c r="G1628" s="26">
        <f t="shared" si="25"/>
        <v>-60799.01</v>
      </c>
    </row>
    <row r="1629" spans="1:7" x14ac:dyDescent="0.2">
      <c r="A1629" s="26">
        <v>86</v>
      </c>
      <c r="B1629" s="26">
        <v>53</v>
      </c>
      <c r="C1629" s="26">
        <v>139</v>
      </c>
      <c r="D1629" s="26" t="s">
        <v>1425</v>
      </c>
      <c r="E1629" s="26">
        <v>-68837.892999999996</v>
      </c>
      <c r="F1629" s="26">
        <v>31.074000000000002</v>
      </c>
      <c r="G1629" s="26">
        <f t="shared" si="25"/>
        <v>-68837.892999999996</v>
      </c>
    </row>
    <row r="1630" spans="1:7" x14ac:dyDescent="0.2">
      <c r="A1630" s="26">
        <v>85</v>
      </c>
      <c r="B1630" s="26">
        <v>54</v>
      </c>
      <c r="C1630" s="26">
        <v>139</v>
      </c>
      <c r="D1630" s="26" t="s">
        <v>1426</v>
      </c>
      <c r="E1630" s="26">
        <v>-75643.892999999996</v>
      </c>
      <c r="F1630" s="26">
        <v>20.893999999999998</v>
      </c>
      <c r="G1630" s="26">
        <f t="shared" si="25"/>
        <v>-75643.892999999996</v>
      </c>
    </row>
    <row r="1631" spans="1:7" x14ac:dyDescent="0.2">
      <c r="A1631" s="26">
        <v>84</v>
      </c>
      <c r="B1631" s="26">
        <v>55</v>
      </c>
      <c r="C1631" s="26">
        <v>139</v>
      </c>
      <c r="D1631" s="26" t="s">
        <v>1427</v>
      </c>
      <c r="E1631" s="26">
        <v>-80700.914999999994</v>
      </c>
      <c r="F1631" s="26">
        <v>3.1520000000000001</v>
      </c>
      <c r="G1631" s="26">
        <f t="shared" si="25"/>
        <v>-80700.914999999994</v>
      </c>
    </row>
    <row r="1632" spans="1:7" x14ac:dyDescent="0.2">
      <c r="A1632" s="26">
        <v>83</v>
      </c>
      <c r="B1632" s="26">
        <v>56</v>
      </c>
      <c r="C1632" s="26">
        <v>139</v>
      </c>
      <c r="D1632" s="26" t="s">
        <v>1428</v>
      </c>
      <c r="E1632" s="26">
        <v>-84913.744999999995</v>
      </c>
      <c r="F1632" s="26">
        <v>0.42399999999999999</v>
      </c>
      <c r="G1632" s="26">
        <f t="shared" si="25"/>
        <v>-84913.744999999995</v>
      </c>
    </row>
    <row r="1633" spans="1:7" x14ac:dyDescent="0.2">
      <c r="A1633" s="26">
        <v>82</v>
      </c>
      <c r="B1633" s="26">
        <v>57</v>
      </c>
      <c r="C1633" s="26">
        <v>139</v>
      </c>
      <c r="D1633" s="26" t="s">
        <v>1429</v>
      </c>
      <c r="E1633" s="26">
        <v>-87231.370999999999</v>
      </c>
      <c r="F1633" s="26">
        <v>2.415</v>
      </c>
      <c r="G1633" s="26">
        <f t="shared" si="25"/>
        <v>-87231.370999999999</v>
      </c>
    </row>
    <row r="1634" spans="1:7" x14ac:dyDescent="0.2">
      <c r="A1634" s="26">
        <v>81</v>
      </c>
      <c r="B1634" s="26">
        <v>58</v>
      </c>
      <c r="C1634" s="26">
        <v>139</v>
      </c>
      <c r="D1634" s="26" t="s">
        <v>1677</v>
      </c>
      <c r="E1634" s="26">
        <v>-86952.495999999999</v>
      </c>
      <c r="F1634" s="26">
        <v>7.3470000000000004</v>
      </c>
      <c r="G1634" s="26">
        <f t="shared" si="25"/>
        <v>-86952.495999999999</v>
      </c>
    </row>
    <row r="1635" spans="1:7" x14ac:dyDescent="0.2">
      <c r="A1635" s="26">
        <v>80</v>
      </c>
      <c r="B1635" s="26">
        <v>59</v>
      </c>
      <c r="C1635" s="26">
        <v>139</v>
      </c>
      <c r="D1635" s="26" t="s">
        <v>1678</v>
      </c>
      <c r="E1635" s="26">
        <v>-84823.335000000006</v>
      </c>
      <c r="F1635" s="26">
        <v>7.9160000000000004</v>
      </c>
      <c r="G1635" s="26">
        <f t="shared" si="25"/>
        <v>-84823.335000000006</v>
      </c>
    </row>
    <row r="1636" spans="1:7" x14ac:dyDescent="0.2">
      <c r="A1636" s="26">
        <v>79</v>
      </c>
      <c r="B1636" s="26">
        <v>60</v>
      </c>
      <c r="C1636" s="26">
        <v>139</v>
      </c>
      <c r="D1636" s="26" t="s">
        <v>1679</v>
      </c>
      <c r="E1636" s="26">
        <v>-81991.697</v>
      </c>
      <c r="F1636" s="26">
        <v>25.844999999999999</v>
      </c>
      <c r="G1636" s="26">
        <f t="shared" si="25"/>
        <v>-81991.697</v>
      </c>
    </row>
    <row r="1637" spans="1:7" x14ac:dyDescent="0.2">
      <c r="A1637" s="26">
        <v>78</v>
      </c>
      <c r="B1637" s="26">
        <v>61</v>
      </c>
      <c r="C1637" s="26">
        <v>139</v>
      </c>
      <c r="D1637" s="26" t="s">
        <v>1680</v>
      </c>
      <c r="E1637" s="26">
        <v>-77496.498999999996</v>
      </c>
      <c r="F1637" s="26">
        <v>13.481</v>
      </c>
      <c r="G1637" s="26">
        <f t="shared" si="25"/>
        <v>-77496.498999999996</v>
      </c>
    </row>
    <row r="1638" spans="1:7" x14ac:dyDescent="0.2">
      <c r="A1638" s="26">
        <v>77</v>
      </c>
      <c r="B1638" s="26">
        <v>62</v>
      </c>
      <c r="C1638" s="26">
        <v>139</v>
      </c>
      <c r="D1638" s="26" t="s">
        <v>1681</v>
      </c>
      <c r="E1638" s="26">
        <v>-72380.247000000003</v>
      </c>
      <c r="F1638" s="26">
        <v>10.884</v>
      </c>
      <c r="G1638" s="26">
        <f t="shared" si="25"/>
        <v>-72380.247000000003</v>
      </c>
    </row>
    <row r="1639" spans="1:7" x14ac:dyDescent="0.2">
      <c r="A1639" s="26">
        <v>76</v>
      </c>
      <c r="B1639" s="26">
        <v>63</v>
      </c>
      <c r="C1639" s="26">
        <v>139</v>
      </c>
      <c r="D1639" s="26" t="s">
        <v>1682</v>
      </c>
      <c r="E1639" s="26">
        <v>-65398.07</v>
      </c>
      <c r="F1639" s="26">
        <v>13.151</v>
      </c>
      <c r="G1639" s="26">
        <f t="shared" si="25"/>
        <v>-65398.07</v>
      </c>
    </row>
    <row r="1640" spans="1:7" x14ac:dyDescent="0.2">
      <c r="A1640" s="26">
        <v>75</v>
      </c>
      <c r="B1640" s="26">
        <v>64</v>
      </c>
      <c r="C1640" s="26">
        <v>139</v>
      </c>
      <c r="D1640" s="26" t="s">
        <v>1683</v>
      </c>
      <c r="E1640" s="26" t="s">
        <v>858</v>
      </c>
      <c r="F1640" s="26" t="s">
        <v>1480</v>
      </c>
      <c r="G1640" s="26">
        <f t="shared" si="25"/>
        <v>-57529.01</v>
      </c>
    </row>
    <row r="1641" spans="1:7" x14ac:dyDescent="0.2">
      <c r="A1641" s="26">
        <v>74</v>
      </c>
      <c r="B1641" s="26">
        <v>65</v>
      </c>
      <c r="C1641" s="26">
        <v>139</v>
      </c>
      <c r="D1641" s="26" t="s">
        <v>1684</v>
      </c>
      <c r="E1641" s="26" t="s">
        <v>859</v>
      </c>
      <c r="F1641" s="26" t="s">
        <v>1730</v>
      </c>
      <c r="G1641" s="26">
        <f t="shared" si="25"/>
        <v>-48168.01</v>
      </c>
    </row>
    <row r="1642" spans="1:7" x14ac:dyDescent="0.2">
      <c r="A1642" s="26">
        <v>73</v>
      </c>
      <c r="B1642" s="26">
        <v>66</v>
      </c>
      <c r="C1642" s="26">
        <v>139</v>
      </c>
      <c r="D1642" s="26" t="s">
        <v>1685</v>
      </c>
      <c r="E1642" s="26" t="s">
        <v>860</v>
      </c>
      <c r="F1642" s="26" t="s">
        <v>1728</v>
      </c>
      <c r="G1642" s="26">
        <f t="shared" si="25"/>
        <v>-37688.01</v>
      </c>
    </row>
    <row r="1643" spans="1:7" x14ac:dyDescent="0.2">
      <c r="A1643" s="26">
        <v>88</v>
      </c>
      <c r="B1643" s="26">
        <v>52</v>
      </c>
      <c r="C1643" s="26">
        <v>140</v>
      </c>
      <c r="D1643" s="26" t="s">
        <v>1424</v>
      </c>
      <c r="E1643" s="26" t="s">
        <v>861</v>
      </c>
      <c r="F1643" s="26" t="s">
        <v>1730</v>
      </c>
      <c r="G1643" s="26">
        <f t="shared" si="25"/>
        <v>-56961.01</v>
      </c>
    </row>
    <row r="1644" spans="1:7" x14ac:dyDescent="0.2">
      <c r="A1644" s="26">
        <v>87</v>
      </c>
      <c r="B1644" s="26">
        <v>53</v>
      </c>
      <c r="C1644" s="26">
        <v>140</v>
      </c>
      <c r="D1644" s="26" t="s">
        <v>1425</v>
      </c>
      <c r="E1644" s="26" t="s">
        <v>862</v>
      </c>
      <c r="F1644" s="26" t="s">
        <v>1480</v>
      </c>
      <c r="G1644" s="26">
        <f t="shared" si="25"/>
        <v>-64273.01</v>
      </c>
    </row>
    <row r="1645" spans="1:7" x14ac:dyDescent="0.2">
      <c r="A1645" s="26">
        <v>86</v>
      </c>
      <c r="B1645" s="26">
        <v>54</v>
      </c>
      <c r="C1645" s="26">
        <v>140</v>
      </c>
      <c r="D1645" s="26" t="s">
        <v>1426</v>
      </c>
      <c r="E1645" s="26">
        <v>-72990.991999999998</v>
      </c>
      <c r="F1645" s="26">
        <v>60.558</v>
      </c>
      <c r="G1645" s="26">
        <f t="shared" si="25"/>
        <v>-72990.991999999998</v>
      </c>
    </row>
    <row r="1646" spans="1:7" x14ac:dyDescent="0.2">
      <c r="A1646" s="26">
        <v>85</v>
      </c>
      <c r="B1646" s="26">
        <v>55</v>
      </c>
      <c r="C1646" s="26">
        <v>140</v>
      </c>
      <c r="D1646" s="26" t="s">
        <v>1427</v>
      </c>
      <c r="E1646" s="26">
        <v>-77050.991999999998</v>
      </c>
      <c r="F1646" s="26">
        <v>8.2029999999999994</v>
      </c>
      <c r="G1646" s="26">
        <f t="shared" si="25"/>
        <v>-77050.991999999998</v>
      </c>
    </row>
    <row r="1647" spans="1:7" x14ac:dyDescent="0.2">
      <c r="A1647" s="26">
        <v>84</v>
      </c>
      <c r="B1647" s="26">
        <v>56</v>
      </c>
      <c r="C1647" s="26">
        <v>140</v>
      </c>
      <c r="D1647" s="26" t="s">
        <v>1428</v>
      </c>
      <c r="E1647" s="26">
        <v>-83271.368000000002</v>
      </c>
      <c r="F1647" s="26">
        <v>7.9589999999999996</v>
      </c>
      <c r="G1647" s="26">
        <f t="shared" si="25"/>
        <v>-83271.368000000002</v>
      </c>
    </row>
    <row r="1648" spans="1:7" x14ac:dyDescent="0.2">
      <c r="A1648" s="26">
        <v>83</v>
      </c>
      <c r="B1648" s="26">
        <v>57</v>
      </c>
      <c r="C1648" s="26">
        <v>140</v>
      </c>
      <c r="D1648" s="26" t="s">
        <v>1429</v>
      </c>
      <c r="E1648" s="26">
        <v>-84321.031000000003</v>
      </c>
      <c r="F1648" s="26">
        <v>2.415</v>
      </c>
      <c r="G1648" s="26">
        <f t="shared" si="25"/>
        <v>-84321.031000000003</v>
      </c>
    </row>
    <row r="1649" spans="1:7" x14ac:dyDescent="0.2">
      <c r="A1649" s="26">
        <v>82</v>
      </c>
      <c r="B1649" s="26">
        <v>58</v>
      </c>
      <c r="C1649" s="26">
        <v>140</v>
      </c>
      <c r="D1649" s="26" t="s">
        <v>1677</v>
      </c>
      <c r="E1649" s="26">
        <v>-88083.278000000006</v>
      </c>
      <c r="F1649" s="26">
        <v>2.4620000000000002</v>
      </c>
      <c r="G1649" s="26">
        <f t="shared" si="25"/>
        <v>-88083.278000000006</v>
      </c>
    </row>
    <row r="1650" spans="1:7" x14ac:dyDescent="0.2">
      <c r="A1650" s="26">
        <v>81</v>
      </c>
      <c r="B1650" s="26">
        <v>59</v>
      </c>
      <c r="C1650" s="26">
        <v>140</v>
      </c>
      <c r="D1650" s="26" t="s">
        <v>1678</v>
      </c>
      <c r="E1650" s="26">
        <v>-84695.278000000006</v>
      </c>
      <c r="F1650" s="26">
        <v>6.4850000000000003</v>
      </c>
      <c r="G1650" s="26">
        <f t="shared" si="25"/>
        <v>-84695.278000000006</v>
      </c>
    </row>
    <row r="1651" spans="1:7" x14ac:dyDescent="0.2">
      <c r="A1651" s="26">
        <v>80</v>
      </c>
      <c r="B1651" s="26">
        <v>60</v>
      </c>
      <c r="C1651" s="26">
        <v>140</v>
      </c>
      <c r="D1651" s="26" t="s">
        <v>1679</v>
      </c>
      <c r="E1651" s="26">
        <v>-84251.77</v>
      </c>
      <c r="F1651" s="26">
        <v>27.945</v>
      </c>
      <c r="G1651" s="26">
        <f t="shared" si="25"/>
        <v>-84251.77</v>
      </c>
    </row>
    <row r="1652" spans="1:7" x14ac:dyDescent="0.2">
      <c r="A1652" s="26">
        <v>79</v>
      </c>
      <c r="B1652" s="26">
        <v>61</v>
      </c>
      <c r="C1652" s="26">
        <v>140</v>
      </c>
      <c r="D1652" s="26" t="s">
        <v>1680</v>
      </c>
      <c r="E1652" s="26">
        <v>-78206.570000000007</v>
      </c>
      <c r="F1652" s="26">
        <v>36.835999999999999</v>
      </c>
      <c r="G1652" s="26">
        <f t="shared" si="25"/>
        <v>-78206.570000000007</v>
      </c>
    </row>
    <row r="1653" spans="1:7" x14ac:dyDescent="0.2">
      <c r="A1653" s="26">
        <v>78</v>
      </c>
      <c r="B1653" s="26">
        <v>62</v>
      </c>
      <c r="C1653" s="26">
        <v>140</v>
      </c>
      <c r="D1653" s="26" t="s">
        <v>1681</v>
      </c>
      <c r="E1653" s="26">
        <v>-75455.963000000003</v>
      </c>
      <c r="F1653" s="26">
        <v>12.497</v>
      </c>
      <c r="G1653" s="26">
        <f t="shared" si="25"/>
        <v>-75455.963000000003</v>
      </c>
    </row>
    <row r="1654" spans="1:7" x14ac:dyDescent="0.2">
      <c r="A1654" s="26">
        <v>77</v>
      </c>
      <c r="B1654" s="26">
        <v>63</v>
      </c>
      <c r="C1654" s="26">
        <v>140</v>
      </c>
      <c r="D1654" s="26" t="s">
        <v>1682</v>
      </c>
      <c r="E1654" s="26">
        <v>-66985.963000000003</v>
      </c>
      <c r="F1654" s="26">
        <v>51.537999999999997</v>
      </c>
      <c r="G1654" s="26">
        <f t="shared" si="25"/>
        <v>-66985.963000000003</v>
      </c>
    </row>
    <row r="1655" spans="1:7" x14ac:dyDescent="0.2">
      <c r="A1655" s="26">
        <v>76</v>
      </c>
      <c r="B1655" s="26">
        <v>64</v>
      </c>
      <c r="C1655" s="26">
        <v>140</v>
      </c>
      <c r="D1655" s="26" t="s">
        <v>1683</v>
      </c>
      <c r="E1655" s="26">
        <v>-61782.271999999997</v>
      </c>
      <c r="F1655" s="26">
        <v>27.945</v>
      </c>
      <c r="G1655" s="26">
        <f t="shared" si="25"/>
        <v>-61782.271999999997</v>
      </c>
    </row>
    <row r="1656" spans="1:7" x14ac:dyDescent="0.2">
      <c r="A1656" s="26">
        <v>75</v>
      </c>
      <c r="B1656" s="26">
        <v>65</v>
      </c>
      <c r="C1656" s="26">
        <v>140</v>
      </c>
      <c r="D1656" s="26" t="s">
        <v>1684</v>
      </c>
      <c r="E1656" s="26">
        <v>-50482.271999999997</v>
      </c>
      <c r="F1656" s="26">
        <v>800.48800000000006</v>
      </c>
      <c r="G1656" s="26">
        <f t="shared" si="25"/>
        <v>-50482.271999999997</v>
      </c>
    </row>
    <row r="1657" spans="1:7" x14ac:dyDescent="0.2">
      <c r="A1657" s="26">
        <v>74</v>
      </c>
      <c r="B1657" s="26">
        <v>66</v>
      </c>
      <c r="C1657" s="26">
        <v>140</v>
      </c>
      <c r="D1657" s="26" t="s">
        <v>1685</v>
      </c>
      <c r="E1657" s="26" t="s">
        <v>863</v>
      </c>
      <c r="F1657" s="26" t="s">
        <v>1728</v>
      </c>
      <c r="G1657" s="26">
        <f t="shared" si="25"/>
        <v>-42839.01</v>
      </c>
    </row>
    <row r="1658" spans="1:7" x14ac:dyDescent="0.2">
      <c r="A1658" s="26">
        <v>73</v>
      </c>
      <c r="B1658" s="26">
        <v>67</v>
      </c>
      <c r="C1658" s="26">
        <v>140</v>
      </c>
      <c r="D1658" s="26" t="s">
        <v>1686</v>
      </c>
      <c r="E1658" s="26" t="s">
        <v>864</v>
      </c>
      <c r="F1658" s="26" t="s">
        <v>1728</v>
      </c>
      <c r="G1658" s="26">
        <f t="shared" si="25"/>
        <v>-29305.01</v>
      </c>
    </row>
    <row r="1659" spans="1:7" x14ac:dyDescent="0.2">
      <c r="A1659" s="26">
        <v>89</v>
      </c>
      <c r="B1659" s="26">
        <v>52</v>
      </c>
      <c r="C1659" s="26">
        <v>141</v>
      </c>
      <c r="D1659" s="26" t="s">
        <v>1424</v>
      </c>
      <c r="E1659" s="26" t="s">
        <v>1649</v>
      </c>
      <c r="F1659" s="26" t="s">
        <v>1723</v>
      </c>
      <c r="G1659" s="26">
        <f t="shared" si="25"/>
        <v>-51558.01</v>
      </c>
    </row>
    <row r="1660" spans="1:7" x14ac:dyDescent="0.2">
      <c r="A1660" s="26">
        <v>88</v>
      </c>
      <c r="B1660" s="26">
        <v>53</v>
      </c>
      <c r="C1660" s="26">
        <v>141</v>
      </c>
      <c r="D1660" s="26" t="s">
        <v>1425</v>
      </c>
      <c r="E1660" s="26" t="s">
        <v>865</v>
      </c>
      <c r="F1660" s="26" t="s">
        <v>1480</v>
      </c>
      <c r="G1660" s="26">
        <f t="shared" si="25"/>
        <v>-60519.01</v>
      </c>
    </row>
    <row r="1661" spans="1:7" x14ac:dyDescent="0.2">
      <c r="A1661" s="26">
        <v>87</v>
      </c>
      <c r="B1661" s="26">
        <v>54</v>
      </c>
      <c r="C1661" s="26">
        <v>141</v>
      </c>
      <c r="D1661" s="26" t="s">
        <v>1426</v>
      </c>
      <c r="E1661" s="26">
        <v>-68326.902000000002</v>
      </c>
      <c r="F1661" s="26">
        <v>90.613</v>
      </c>
      <c r="G1661" s="26">
        <f t="shared" si="25"/>
        <v>-68326.902000000002</v>
      </c>
    </row>
    <row r="1662" spans="1:7" x14ac:dyDescent="0.2">
      <c r="A1662" s="26">
        <v>86</v>
      </c>
      <c r="B1662" s="26">
        <v>55</v>
      </c>
      <c r="C1662" s="26">
        <v>141</v>
      </c>
      <c r="D1662" s="26" t="s">
        <v>1427</v>
      </c>
      <c r="E1662" s="26">
        <v>-74476.902000000002</v>
      </c>
      <c r="F1662" s="26">
        <v>10.525</v>
      </c>
      <c r="G1662" s="26">
        <f t="shared" si="25"/>
        <v>-74476.902000000002</v>
      </c>
    </row>
    <row r="1663" spans="1:7" x14ac:dyDescent="0.2">
      <c r="A1663" s="26">
        <v>85</v>
      </c>
      <c r="B1663" s="26">
        <v>56</v>
      </c>
      <c r="C1663" s="26">
        <v>141</v>
      </c>
      <c r="D1663" s="26" t="s">
        <v>1428</v>
      </c>
      <c r="E1663" s="26">
        <v>-79725.631999999998</v>
      </c>
      <c r="F1663" s="26">
        <v>8.1080000000000005</v>
      </c>
      <c r="G1663" s="26">
        <f t="shared" si="25"/>
        <v>-79725.631999999998</v>
      </c>
    </row>
    <row r="1664" spans="1:7" x14ac:dyDescent="0.2">
      <c r="A1664" s="26">
        <v>84</v>
      </c>
      <c r="B1664" s="26">
        <v>57</v>
      </c>
      <c r="C1664" s="26">
        <v>141</v>
      </c>
      <c r="D1664" s="26" t="s">
        <v>1429</v>
      </c>
      <c r="E1664" s="26">
        <v>-82938.221000000005</v>
      </c>
      <c r="F1664" s="26">
        <v>4.577</v>
      </c>
      <c r="G1664" s="26">
        <f t="shared" si="25"/>
        <v>-82938.221000000005</v>
      </c>
    </row>
    <row r="1665" spans="1:7" x14ac:dyDescent="0.2">
      <c r="A1665" s="26">
        <v>83</v>
      </c>
      <c r="B1665" s="26">
        <v>58</v>
      </c>
      <c r="C1665" s="26">
        <v>141</v>
      </c>
      <c r="D1665" s="26" t="s">
        <v>1677</v>
      </c>
      <c r="E1665" s="26">
        <v>-85440.104999999996</v>
      </c>
      <c r="F1665" s="26">
        <v>2.4620000000000002</v>
      </c>
      <c r="G1665" s="26">
        <f t="shared" si="25"/>
        <v>-85440.104999999996</v>
      </c>
    </row>
    <row r="1666" spans="1:7" x14ac:dyDescent="0.2">
      <c r="A1666" s="26">
        <v>82</v>
      </c>
      <c r="B1666" s="26">
        <v>59</v>
      </c>
      <c r="C1666" s="26">
        <v>141</v>
      </c>
      <c r="D1666" s="26" t="s">
        <v>1678</v>
      </c>
      <c r="E1666" s="26">
        <v>-86020.892000000007</v>
      </c>
      <c r="F1666" s="26">
        <v>2.468</v>
      </c>
      <c r="G1666" s="26">
        <f t="shared" si="25"/>
        <v>-86020.892000000007</v>
      </c>
    </row>
    <row r="1667" spans="1:7" x14ac:dyDescent="0.2">
      <c r="A1667" s="26">
        <v>81</v>
      </c>
      <c r="B1667" s="26">
        <v>60</v>
      </c>
      <c r="C1667" s="26">
        <v>141</v>
      </c>
      <c r="D1667" s="26" t="s">
        <v>1679</v>
      </c>
      <c r="E1667" s="26">
        <v>-84197.879000000001</v>
      </c>
      <c r="F1667" s="26">
        <v>3.7389999999999999</v>
      </c>
      <c r="G1667" s="26">
        <f t="shared" si="25"/>
        <v>-84197.879000000001</v>
      </c>
    </row>
    <row r="1668" spans="1:7" x14ac:dyDescent="0.2">
      <c r="A1668" s="26">
        <v>80</v>
      </c>
      <c r="B1668" s="26">
        <v>61</v>
      </c>
      <c r="C1668" s="26">
        <v>141</v>
      </c>
      <c r="D1668" s="26" t="s">
        <v>1680</v>
      </c>
      <c r="E1668" s="26">
        <v>-80522.948999999993</v>
      </c>
      <c r="F1668" s="26">
        <v>13.972</v>
      </c>
      <c r="G1668" s="26">
        <f t="shared" si="25"/>
        <v>-80522.948999999993</v>
      </c>
    </row>
    <row r="1669" spans="1:7" x14ac:dyDescent="0.2">
      <c r="A1669" s="26">
        <v>79</v>
      </c>
      <c r="B1669" s="26">
        <v>62</v>
      </c>
      <c r="C1669" s="26">
        <v>141</v>
      </c>
      <c r="D1669" s="26" t="s">
        <v>1681</v>
      </c>
      <c r="E1669" s="26">
        <v>-75938.661999999997</v>
      </c>
      <c r="F1669" s="26">
        <v>8.6270000000000007</v>
      </c>
      <c r="G1669" s="26">
        <f t="shared" si="25"/>
        <v>-75938.661999999997</v>
      </c>
    </row>
    <row r="1670" spans="1:7" x14ac:dyDescent="0.2">
      <c r="A1670" s="26">
        <v>78</v>
      </c>
      <c r="B1670" s="26">
        <v>63</v>
      </c>
      <c r="C1670" s="26">
        <v>141</v>
      </c>
      <c r="D1670" s="26" t="s">
        <v>1682</v>
      </c>
      <c r="E1670" s="26">
        <v>-69926.584000000003</v>
      </c>
      <c r="F1670" s="26">
        <v>12.641</v>
      </c>
      <c r="G1670" s="26">
        <f t="shared" si="25"/>
        <v>-69926.584000000003</v>
      </c>
    </row>
    <row r="1671" spans="1:7" x14ac:dyDescent="0.2">
      <c r="A1671" s="26">
        <v>77</v>
      </c>
      <c r="B1671" s="26">
        <v>64</v>
      </c>
      <c r="C1671" s="26">
        <v>141</v>
      </c>
      <c r="D1671" s="26" t="s">
        <v>1683</v>
      </c>
      <c r="E1671" s="26">
        <v>-63224.224000000002</v>
      </c>
      <c r="F1671" s="26">
        <v>19.760000000000002</v>
      </c>
      <c r="G1671" s="26">
        <f t="shared" si="25"/>
        <v>-63224.224000000002</v>
      </c>
    </row>
    <row r="1672" spans="1:7" x14ac:dyDescent="0.2">
      <c r="A1672" s="26">
        <v>76</v>
      </c>
      <c r="B1672" s="26">
        <v>65</v>
      </c>
      <c r="C1672" s="26">
        <v>141</v>
      </c>
      <c r="D1672" s="26" t="s">
        <v>1684</v>
      </c>
      <c r="E1672" s="26">
        <v>-54540.837</v>
      </c>
      <c r="F1672" s="26">
        <v>105.259</v>
      </c>
      <c r="G1672" s="26">
        <f t="shared" si="25"/>
        <v>-54540.837</v>
      </c>
    </row>
    <row r="1673" spans="1:7" x14ac:dyDescent="0.2">
      <c r="A1673" s="26">
        <v>75</v>
      </c>
      <c r="B1673" s="26">
        <v>66</v>
      </c>
      <c r="C1673" s="26">
        <v>141</v>
      </c>
      <c r="D1673" s="26" t="s">
        <v>1685</v>
      </c>
      <c r="E1673" s="26" t="s">
        <v>866</v>
      </c>
      <c r="F1673" s="26" t="s">
        <v>1730</v>
      </c>
      <c r="G1673" s="26">
        <f t="shared" si="25"/>
        <v>-45317.01</v>
      </c>
    </row>
    <row r="1674" spans="1:7" x14ac:dyDescent="0.2">
      <c r="A1674" s="26">
        <v>74</v>
      </c>
      <c r="B1674" s="26">
        <v>67</v>
      </c>
      <c r="C1674" s="26">
        <v>141</v>
      </c>
      <c r="D1674" s="26" t="s">
        <v>1686</v>
      </c>
      <c r="E1674" s="26" t="s">
        <v>867</v>
      </c>
      <c r="F1674" s="26" t="s">
        <v>1728</v>
      </c>
      <c r="G1674" s="26">
        <f t="shared" ref="G1674:G1737" si="26">IF(ISNUMBER(E1674),E1674,VALUE(SUBSTITUTE(E1674,"#",".01")))</f>
        <v>-34374.01</v>
      </c>
    </row>
    <row r="1675" spans="1:7" x14ac:dyDescent="0.2">
      <c r="A1675" s="26">
        <v>90</v>
      </c>
      <c r="B1675" s="26">
        <v>52</v>
      </c>
      <c r="C1675" s="26">
        <v>142</v>
      </c>
      <c r="D1675" s="26" t="s">
        <v>1424</v>
      </c>
      <c r="E1675" s="26" t="s">
        <v>868</v>
      </c>
      <c r="F1675" s="26" t="s">
        <v>1505</v>
      </c>
      <c r="G1675" s="26">
        <f t="shared" si="26"/>
        <v>-47432.01</v>
      </c>
    </row>
    <row r="1676" spans="1:7" x14ac:dyDescent="0.2">
      <c r="A1676" s="26">
        <v>89</v>
      </c>
      <c r="B1676" s="26">
        <v>53</v>
      </c>
      <c r="C1676" s="26">
        <v>142</v>
      </c>
      <c r="D1676" s="26" t="s">
        <v>1425</v>
      </c>
      <c r="E1676" s="26" t="s">
        <v>1652</v>
      </c>
      <c r="F1676" s="26" t="s">
        <v>1723</v>
      </c>
      <c r="G1676" s="26">
        <f t="shared" si="26"/>
        <v>-55722.01</v>
      </c>
    </row>
    <row r="1677" spans="1:7" x14ac:dyDescent="0.2">
      <c r="A1677" s="26">
        <v>88</v>
      </c>
      <c r="B1677" s="26">
        <v>54</v>
      </c>
      <c r="C1677" s="26">
        <v>142</v>
      </c>
      <c r="D1677" s="26" t="s">
        <v>1426</v>
      </c>
      <c r="E1677" s="26">
        <v>-65475.095999999998</v>
      </c>
      <c r="F1677" s="26">
        <v>100.56</v>
      </c>
      <c r="G1677" s="26">
        <f t="shared" si="26"/>
        <v>-65475.095999999998</v>
      </c>
    </row>
    <row r="1678" spans="1:7" x14ac:dyDescent="0.2">
      <c r="A1678" s="26">
        <v>87</v>
      </c>
      <c r="B1678" s="26">
        <v>55</v>
      </c>
      <c r="C1678" s="26">
        <v>142</v>
      </c>
      <c r="D1678" s="26" t="s">
        <v>1427</v>
      </c>
      <c r="E1678" s="26">
        <v>-70515.096000000005</v>
      </c>
      <c r="F1678" s="26">
        <v>10.6</v>
      </c>
      <c r="G1678" s="26">
        <f t="shared" si="26"/>
        <v>-70515.096000000005</v>
      </c>
    </row>
    <row r="1679" spans="1:7" x14ac:dyDescent="0.2">
      <c r="A1679" s="26">
        <v>86</v>
      </c>
      <c r="B1679" s="26">
        <v>56</v>
      </c>
      <c r="C1679" s="26">
        <v>142</v>
      </c>
      <c r="D1679" s="26" t="s">
        <v>1428</v>
      </c>
      <c r="E1679" s="26">
        <v>-77823.146999999997</v>
      </c>
      <c r="F1679" s="26">
        <v>6.181</v>
      </c>
      <c r="G1679" s="26">
        <f t="shared" si="26"/>
        <v>-77823.146999999997</v>
      </c>
    </row>
    <row r="1680" spans="1:7" x14ac:dyDescent="0.2">
      <c r="A1680" s="26">
        <v>85</v>
      </c>
      <c r="B1680" s="26">
        <v>57</v>
      </c>
      <c r="C1680" s="26">
        <v>142</v>
      </c>
      <c r="D1680" s="26" t="s">
        <v>1429</v>
      </c>
      <c r="E1680" s="26">
        <v>-80034.774999999994</v>
      </c>
      <c r="F1680" s="26">
        <v>5.6630000000000003</v>
      </c>
      <c r="G1680" s="26">
        <f t="shared" si="26"/>
        <v>-80034.774999999994</v>
      </c>
    </row>
    <row r="1681" spans="1:7" x14ac:dyDescent="0.2">
      <c r="A1681" s="26">
        <v>84</v>
      </c>
      <c r="B1681" s="26">
        <v>58</v>
      </c>
      <c r="C1681" s="26">
        <v>142</v>
      </c>
      <c r="D1681" s="26" t="s">
        <v>1677</v>
      </c>
      <c r="E1681" s="26">
        <v>-84538.479000000007</v>
      </c>
      <c r="F1681" s="26">
        <v>2.9929999999999999</v>
      </c>
      <c r="G1681" s="26">
        <f t="shared" si="26"/>
        <v>-84538.479000000007</v>
      </c>
    </row>
    <row r="1682" spans="1:7" x14ac:dyDescent="0.2">
      <c r="A1682" s="26">
        <v>83</v>
      </c>
      <c r="B1682" s="26">
        <v>59</v>
      </c>
      <c r="C1682" s="26">
        <v>142</v>
      </c>
      <c r="D1682" s="26" t="s">
        <v>1678</v>
      </c>
      <c r="E1682" s="26">
        <v>-83792.724000000002</v>
      </c>
      <c r="F1682" s="26">
        <v>2.468</v>
      </c>
      <c r="G1682" s="26">
        <f t="shared" si="26"/>
        <v>-83792.724000000002</v>
      </c>
    </row>
    <row r="1683" spans="1:7" x14ac:dyDescent="0.2">
      <c r="A1683" s="26">
        <v>82</v>
      </c>
      <c r="B1683" s="26">
        <v>60</v>
      </c>
      <c r="C1683" s="26">
        <v>142</v>
      </c>
      <c r="D1683" s="26" t="s">
        <v>1679</v>
      </c>
      <c r="E1683" s="26">
        <v>-85955.195000000007</v>
      </c>
      <c r="F1683" s="26">
        <v>2.3279999999999998</v>
      </c>
      <c r="G1683" s="26">
        <f t="shared" si="26"/>
        <v>-85955.195000000007</v>
      </c>
    </row>
    <row r="1684" spans="1:7" x14ac:dyDescent="0.2">
      <c r="A1684" s="26">
        <v>81</v>
      </c>
      <c r="B1684" s="26">
        <v>61</v>
      </c>
      <c r="C1684" s="26">
        <v>142</v>
      </c>
      <c r="D1684" s="26" t="s">
        <v>1680</v>
      </c>
      <c r="E1684" s="26">
        <v>-81156.907000000007</v>
      </c>
      <c r="F1684" s="26">
        <v>25.061</v>
      </c>
      <c r="G1684" s="26">
        <f t="shared" si="26"/>
        <v>-81156.907000000007</v>
      </c>
    </row>
    <row r="1685" spans="1:7" x14ac:dyDescent="0.2">
      <c r="A1685" s="26">
        <v>80</v>
      </c>
      <c r="B1685" s="26">
        <v>62</v>
      </c>
      <c r="C1685" s="26">
        <v>142</v>
      </c>
      <c r="D1685" s="26" t="s">
        <v>1681</v>
      </c>
      <c r="E1685" s="26">
        <v>-78992.888999999996</v>
      </c>
      <c r="F1685" s="26">
        <v>5.6749999999999998</v>
      </c>
      <c r="G1685" s="26">
        <f t="shared" si="26"/>
        <v>-78992.888999999996</v>
      </c>
    </row>
    <row r="1686" spans="1:7" x14ac:dyDescent="0.2">
      <c r="A1686" s="26">
        <v>79</v>
      </c>
      <c r="B1686" s="26">
        <v>63</v>
      </c>
      <c r="C1686" s="26">
        <v>142</v>
      </c>
      <c r="D1686" s="26" t="s">
        <v>1682</v>
      </c>
      <c r="E1686" s="26">
        <v>-71319.888999999996</v>
      </c>
      <c r="F1686" s="26">
        <v>30.532</v>
      </c>
      <c r="G1686" s="26">
        <f t="shared" si="26"/>
        <v>-71319.888999999996</v>
      </c>
    </row>
    <row r="1687" spans="1:7" x14ac:dyDescent="0.2">
      <c r="A1687" s="26">
        <v>78</v>
      </c>
      <c r="B1687" s="26">
        <v>64</v>
      </c>
      <c r="C1687" s="26">
        <v>142</v>
      </c>
      <c r="D1687" s="26" t="s">
        <v>1683</v>
      </c>
      <c r="E1687" s="26">
        <v>-66959.514999999999</v>
      </c>
      <c r="F1687" s="26">
        <v>27.945</v>
      </c>
      <c r="G1687" s="26">
        <f t="shared" si="26"/>
        <v>-66959.514999999999</v>
      </c>
    </row>
    <row r="1688" spans="1:7" x14ac:dyDescent="0.2">
      <c r="A1688" s="26">
        <v>77</v>
      </c>
      <c r="B1688" s="26">
        <v>65</v>
      </c>
      <c r="C1688" s="26">
        <v>142</v>
      </c>
      <c r="D1688" s="26" t="s">
        <v>1684</v>
      </c>
      <c r="E1688" s="26" t="s">
        <v>869</v>
      </c>
      <c r="F1688" s="26" t="s">
        <v>1334</v>
      </c>
      <c r="G1688" s="26">
        <f t="shared" si="26"/>
        <v>-57060.01</v>
      </c>
    </row>
    <row r="1689" spans="1:7" x14ac:dyDescent="0.2">
      <c r="A1689" s="26">
        <v>76</v>
      </c>
      <c r="B1689" s="26">
        <v>66</v>
      </c>
      <c r="C1689" s="26">
        <v>142</v>
      </c>
      <c r="D1689" s="26" t="s">
        <v>1685</v>
      </c>
      <c r="E1689" s="26" t="s">
        <v>870</v>
      </c>
      <c r="F1689" s="26" t="s">
        <v>1314</v>
      </c>
      <c r="G1689" s="26">
        <f t="shared" si="26"/>
        <v>-49960.01</v>
      </c>
    </row>
    <row r="1690" spans="1:7" x14ac:dyDescent="0.2">
      <c r="A1690" s="26">
        <v>75</v>
      </c>
      <c r="B1690" s="26">
        <v>67</v>
      </c>
      <c r="C1690" s="26">
        <v>142</v>
      </c>
      <c r="D1690" s="26" t="s">
        <v>1686</v>
      </c>
      <c r="E1690" s="26" t="s">
        <v>871</v>
      </c>
      <c r="F1690" s="26" t="s">
        <v>1728</v>
      </c>
      <c r="G1690" s="26">
        <f t="shared" si="26"/>
        <v>-37474.01</v>
      </c>
    </row>
    <row r="1691" spans="1:7" x14ac:dyDescent="0.2">
      <c r="A1691" s="26">
        <v>90</v>
      </c>
      <c r="B1691" s="26">
        <v>53</v>
      </c>
      <c r="C1691" s="26">
        <v>143</v>
      </c>
      <c r="D1691" s="26" t="s">
        <v>1425</v>
      </c>
      <c r="E1691" s="26" t="s">
        <v>1592</v>
      </c>
      <c r="F1691" s="26" t="s">
        <v>1723</v>
      </c>
      <c r="G1691" s="26">
        <f t="shared" si="26"/>
        <v>-51642.01</v>
      </c>
    </row>
    <row r="1692" spans="1:7" x14ac:dyDescent="0.2">
      <c r="A1692" s="26">
        <v>89</v>
      </c>
      <c r="B1692" s="26">
        <v>54</v>
      </c>
      <c r="C1692" s="26">
        <v>143</v>
      </c>
      <c r="D1692" s="26" t="s">
        <v>1426</v>
      </c>
      <c r="E1692" s="26" t="s">
        <v>872</v>
      </c>
      <c r="F1692" s="26" t="s">
        <v>1480</v>
      </c>
      <c r="G1692" s="26">
        <f t="shared" si="26"/>
        <v>-60445.01</v>
      </c>
    </row>
    <row r="1693" spans="1:7" x14ac:dyDescent="0.2">
      <c r="A1693" s="26">
        <v>88</v>
      </c>
      <c r="B1693" s="26">
        <v>55</v>
      </c>
      <c r="C1693" s="26">
        <v>143</v>
      </c>
      <c r="D1693" s="26" t="s">
        <v>1427</v>
      </c>
      <c r="E1693" s="26">
        <v>-67671.41</v>
      </c>
      <c r="F1693" s="26">
        <v>23.686</v>
      </c>
      <c r="G1693" s="26">
        <f t="shared" si="26"/>
        <v>-67671.41</v>
      </c>
    </row>
    <row r="1694" spans="1:7" x14ac:dyDescent="0.2">
      <c r="A1694" s="26">
        <v>87</v>
      </c>
      <c r="B1694" s="26">
        <v>56</v>
      </c>
      <c r="C1694" s="26">
        <v>143</v>
      </c>
      <c r="D1694" s="26" t="s">
        <v>1428</v>
      </c>
      <c r="E1694" s="26">
        <v>-73935.736000000004</v>
      </c>
      <c r="F1694" s="26">
        <v>13.247999999999999</v>
      </c>
      <c r="G1694" s="26">
        <f t="shared" si="26"/>
        <v>-73935.736000000004</v>
      </c>
    </row>
    <row r="1695" spans="1:7" x14ac:dyDescent="0.2">
      <c r="A1695" s="26">
        <v>86</v>
      </c>
      <c r="B1695" s="26">
        <v>57</v>
      </c>
      <c r="C1695" s="26">
        <v>143</v>
      </c>
      <c r="D1695" s="26" t="s">
        <v>1429</v>
      </c>
      <c r="E1695" s="26">
        <v>-78187.073000000004</v>
      </c>
      <c r="F1695" s="26">
        <v>15.425000000000001</v>
      </c>
      <c r="G1695" s="26">
        <f t="shared" si="26"/>
        <v>-78187.073000000004</v>
      </c>
    </row>
    <row r="1696" spans="1:7" x14ac:dyDescent="0.2">
      <c r="A1696" s="26">
        <v>85</v>
      </c>
      <c r="B1696" s="26">
        <v>58</v>
      </c>
      <c r="C1696" s="26">
        <v>143</v>
      </c>
      <c r="D1696" s="26" t="s">
        <v>1677</v>
      </c>
      <c r="E1696" s="26">
        <v>-81611.998999999996</v>
      </c>
      <c r="F1696" s="26">
        <v>2.9929999999999999</v>
      </c>
      <c r="G1696" s="26">
        <f t="shared" si="26"/>
        <v>-81611.998999999996</v>
      </c>
    </row>
    <row r="1697" spans="1:7" x14ac:dyDescent="0.2">
      <c r="A1697" s="26">
        <v>84</v>
      </c>
      <c r="B1697" s="26">
        <v>59</v>
      </c>
      <c r="C1697" s="26">
        <v>143</v>
      </c>
      <c r="D1697" s="26" t="s">
        <v>1678</v>
      </c>
      <c r="E1697" s="26">
        <v>-83073.498999999996</v>
      </c>
      <c r="F1697" s="26">
        <v>2.633</v>
      </c>
      <c r="G1697" s="26">
        <f t="shared" si="26"/>
        <v>-83073.498999999996</v>
      </c>
    </row>
    <row r="1698" spans="1:7" x14ac:dyDescent="0.2">
      <c r="A1698" s="26">
        <v>83</v>
      </c>
      <c r="B1698" s="26">
        <v>60</v>
      </c>
      <c r="C1698" s="26">
        <v>143</v>
      </c>
      <c r="D1698" s="26" t="s">
        <v>1679</v>
      </c>
      <c r="E1698" s="26">
        <v>-84007.448000000004</v>
      </c>
      <c r="F1698" s="26">
        <v>2.3279999999999998</v>
      </c>
      <c r="G1698" s="26">
        <f t="shared" si="26"/>
        <v>-84007.448000000004</v>
      </c>
    </row>
    <row r="1699" spans="1:7" x14ac:dyDescent="0.2">
      <c r="A1699" s="26">
        <v>82</v>
      </c>
      <c r="B1699" s="26">
        <v>61</v>
      </c>
      <c r="C1699" s="26">
        <v>143</v>
      </c>
      <c r="D1699" s="26" t="s">
        <v>1680</v>
      </c>
      <c r="E1699" s="26">
        <v>-82965.733999999997</v>
      </c>
      <c r="F1699" s="26">
        <v>3.3079999999999998</v>
      </c>
      <c r="G1699" s="26">
        <f t="shared" si="26"/>
        <v>-82965.733999999997</v>
      </c>
    </row>
    <row r="1700" spans="1:7" x14ac:dyDescent="0.2">
      <c r="A1700" s="26">
        <v>81</v>
      </c>
      <c r="B1700" s="26">
        <v>62</v>
      </c>
      <c r="C1700" s="26">
        <v>143</v>
      </c>
      <c r="D1700" s="26" t="s">
        <v>1681</v>
      </c>
      <c r="E1700" s="26">
        <v>-79523.191000000006</v>
      </c>
      <c r="F1700" s="26">
        <v>3.63</v>
      </c>
      <c r="G1700" s="26">
        <f t="shared" si="26"/>
        <v>-79523.191000000006</v>
      </c>
    </row>
    <row r="1701" spans="1:7" x14ac:dyDescent="0.2">
      <c r="A1701" s="26">
        <v>80</v>
      </c>
      <c r="B1701" s="26">
        <v>63</v>
      </c>
      <c r="C1701" s="26">
        <v>143</v>
      </c>
      <c r="D1701" s="26" t="s">
        <v>1682</v>
      </c>
      <c r="E1701" s="26">
        <v>-74242.392000000007</v>
      </c>
      <c r="F1701" s="26">
        <v>10.986000000000001</v>
      </c>
      <c r="G1701" s="26">
        <f t="shared" si="26"/>
        <v>-74242.392000000007</v>
      </c>
    </row>
    <row r="1702" spans="1:7" x14ac:dyDescent="0.2">
      <c r="A1702" s="26">
        <v>79</v>
      </c>
      <c r="B1702" s="26">
        <v>64</v>
      </c>
      <c r="C1702" s="26">
        <v>143</v>
      </c>
      <c r="D1702" s="26" t="s">
        <v>1683</v>
      </c>
      <c r="E1702" s="26">
        <v>-68232.392000000007</v>
      </c>
      <c r="F1702" s="26">
        <v>200.30099999999999</v>
      </c>
      <c r="G1702" s="26">
        <f t="shared" si="26"/>
        <v>-68232.392000000007</v>
      </c>
    </row>
    <row r="1703" spans="1:7" x14ac:dyDescent="0.2">
      <c r="A1703" s="26">
        <v>78</v>
      </c>
      <c r="B1703" s="26">
        <v>65</v>
      </c>
      <c r="C1703" s="26">
        <v>143</v>
      </c>
      <c r="D1703" s="26" t="s">
        <v>1684</v>
      </c>
      <c r="E1703" s="26">
        <v>-60434.400000000001</v>
      </c>
      <c r="F1703" s="26">
        <v>59.616</v>
      </c>
      <c r="G1703" s="26">
        <f t="shared" si="26"/>
        <v>-60434.400000000001</v>
      </c>
    </row>
    <row r="1704" spans="1:7" x14ac:dyDescent="0.2">
      <c r="A1704" s="26">
        <v>77</v>
      </c>
      <c r="B1704" s="26">
        <v>66</v>
      </c>
      <c r="C1704" s="26">
        <v>143</v>
      </c>
      <c r="D1704" s="26" t="s">
        <v>1685</v>
      </c>
      <c r="E1704" s="26" t="s">
        <v>1654</v>
      </c>
      <c r="F1704" s="26" t="s">
        <v>1480</v>
      </c>
      <c r="G1704" s="26">
        <f t="shared" si="26"/>
        <v>-52322.01</v>
      </c>
    </row>
    <row r="1705" spans="1:7" x14ac:dyDescent="0.2">
      <c r="A1705" s="26">
        <v>76</v>
      </c>
      <c r="B1705" s="26">
        <v>67</v>
      </c>
      <c r="C1705" s="26">
        <v>143</v>
      </c>
      <c r="D1705" s="26" t="s">
        <v>1686</v>
      </c>
      <c r="E1705" s="26" t="s">
        <v>873</v>
      </c>
      <c r="F1705" s="26" t="s">
        <v>1723</v>
      </c>
      <c r="G1705" s="26">
        <f t="shared" si="26"/>
        <v>-42281.01</v>
      </c>
    </row>
    <row r="1706" spans="1:7" x14ac:dyDescent="0.2">
      <c r="A1706" s="26">
        <v>75</v>
      </c>
      <c r="B1706" s="26">
        <v>68</v>
      </c>
      <c r="C1706" s="26">
        <v>143</v>
      </c>
      <c r="D1706" s="26" t="s">
        <v>1687</v>
      </c>
      <c r="E1706" s="26" t="s">
        <v>874</v>
      </c>
      <c r="F1706" s="26" t="s">
        <v>1505</v>
      </c>
      <c r="G1706" s="26">
        <f t="shared" si="26"/>
        <v>-31354.01</v>
      </c>
    </row>
    <row r="1707" spans="1:7" x14ac:dyDescent="0.2">
      <c r="A1707" s="26">
        <v>91</v>
      </c>
      <c r="B1707" s="26">
        <v>53</v>
      </c>
      <c r="C1707" s="26">
        <v>144</v>
      </c>
      <c r="D1707" s="26" t="s">
        <v>1425</v>
      </c>
      <c r="E1707" s="26" t="s">
        <v>875</v>
      </c>
      <c r="F1707" s="26" t="s">
        <v>1728</v>
      </c>
      <c r="G1707" s="26">
        <f t="shared" si="26"/>
        <v>-46584.01</v>
      </c>
    </row>
    <row r="1708" spans="1:7" x14ac:dyDescent="0.2">
      <c r="A1708" s="26">
        <v>90</v>
      </c>
      <c r="B1708" s="26">
        <v>54</v>
      </c>
      <c r="C1708" s="26">
        <v>144</v>
      </c>
      <c r="D1708" s="26" t="s">
        <v>1426</v>
      </c>
      <c r="E1708" s="26" t="s">
        <v>876</v>
      </c>
      <c r="F1708" s="26" t="s">
        <v>1730</v>
      </c>
      <c r="G1708" s="26">
        <f t="shared" si="26"/>
        <v>-57278.01</v>
      </c>
    </row>
    <row r="1709" spans="1:7" x14ac:dyDescent="0.2">
      <c r="A1709" s="26">
        <v>89</v>
      </c>
      <c r="B1709" s="26">
        <v>55</v>
      </c>
      <c r="C1709" s="26">
        <v>144</v>
      </c>
      <c r="D1709" s="26" t="s">
        <v>1427</v>
      </c>
      <c r="E1709" s="26">
        <v>-63269.947</v>
      </c>
      <c r="F1709" s="26">
        <v>26.251999999999999</v>
      </c>
      <c r="G1709" s="26">
        <f t="shared" si="26"/>
        <v>-63269.947</v>
      </c>
    </row>
    <row r="1710" spans="1:7" x14ac:dyDescent="0.2">
      <c r="A1710" s="26">
        <v>88</v>
      </c>
      <c r="B1710" s="26">
        <v>56</v>
      </c>
      <c r="C1710" s="26">
        <v>144</v>
      </c>
      <c r="D1710" s="26" t="s">
        <v>1428</v>
      </c>
      <c r="E1710" s="26">
        <v>-71768.956000000006</v>
      </c>
      <c r="F1710" s="26">
        <v>13.349</v>
      </c>
      <c r="G1710" s="26">
        <f t="shared" si="26"/>
        <v>-71768.956000000006</v>
      </c>
    </row>
    <row r="1711" spans="1:7" x14ac:dyDescent="0.2">
      <c r="A1711" s="26">
        <v>87</v>
      </c>
      <c r="B1711" s="26">
        <v>57</v>
      </c>
      <c r="C1711" s="26">
        <v>144</v>
      </c>
      <c r="D1711" s="26" t="s">
        <v>1429</v>
      </c>
      <c r="E1711" s="26">
        <v>-74892.447</v>
      </c>
      <c r="F1711" s="26">
        <v>48.814999999999998</v>
      </c>
      <c r="G1711" s="26">
        <f t="shared" si="26"/>
        <v>-74892.447</v>
      </c>
    </row>
    <row r="1712" spans="1:7" x14ac:dyDescent="0.2">
      <c r="A1712" s="26">
        <v>86</v>
      </c>
      <c r="B1712" s="26">
        <v>58</v>
      </c>
      <c r="C1712" s="26">
        <v>144</v>
      </c>
      <c r="D1712" s="26" t="s">
        <v>1677</v>
      </c>
      <c r="E1712" s="26">
        <v>-80436.989000000001</v>
      </c>
      <c r="F1712" s="26">
        <v>3.444</v>
      </c>
      <c r="G1712" s="26">
        <f t="shared" si="26"/>
        <v>-80436.989000000001</v>
      </c>
    </row>
    <row r="1713" spans="1:7" x14ac:dyDescent="0.2">
      <c r="A1713" s="26">
        <v>85</v>
      </c>
      <c r="B1713" s="26">
        <v>59</v>
      </c>
      <c r="C1713" s="26">
        <v>144</v>
      </c>
      <c r="D1713" s="26" t="s">
        <v>1678</v>
      </c>
      <c r="E1713" s="26">
        <v>-80755.645000000004</v>
      </c>
      <c r="F1713" s="26">
        <v>3.3420000000000001</v>
      </c>
      <c r="G1713" s="26">
        <f t="shared" si="26"/>
        <v>-80755.645000000004</v>
      </c>
    </row>
    <row r="1714" spans="1:7" x14ac:dyDescent="0.2">
      <c r="A1714" s="26">
        <v>84</v>
      </c>
      <c r="B1714" s="26">
        <v>60</v>
      </c>
      <c r="C1714" s="26">
        <v>144</v>
      </c>
      <c r="D1714" s="26" t="s">
        <v>1679</v>
      </c>
      <c r="E1714" s="26">
        <v>-83753.164999999994</v>
      </c>
      <c r="F1714" s="26">
        <v>2.3279999999999998</v>
      </c>
      <c r="G1714" s="26">
        <f t="shared" si="26"/>
        <v>-83753.164999999994</v>
      </c>
    </row>
    <row r="1715" spans="1:7" x14ac:dyDescent="0.2">
      <c r="A1715" s="26">
        <v>83</v>
      </c>
      <c r="B1715" s="26">
        <v>61</v>
      </c>
      <c r="C1715" s="26">
        <v>144</v>
      </c>
      <c r="D1715" s="26" t="s">
        <v>1680</v>
      </c>
      <c r="E1715" s="26">
        <v>-81421.106</v>
      </c>
      <c r="F1715" s="26">
        <v>3.19</v>
      </c>
      <c r="G1715" s="26">
        <f t="shared" si="26"/>
        <v>-81421.106</v>
      </c>
    </row>
    <row r="1716" spans="1:7" x14ac:dyDescent="0.2">
      <c r="A1716" s="26">
        <v>82</v>
      </c>
      <c r="B1716" s="26">
        <v>62</v>
      </c>
      <c r="C1716" s="26">
        <v>144</v>
      </c>
      <c r="D1716" s="26" t="s">
        <v>1681</v>
      </c>
      <c r="E1716" s="26">
        <v>-81971.957999999999</v>
      </c>
      <c r="F1716" s="26">
        <v>2.8069999999999999</v>
      </c>
      <c r="G1716" s="26">
        <f t="shared" si="26"/>
        <v>-81971.957999999999</v>
      </c>
    </row>
    <row r="1717" spans="1:7" x14ac:dyDescent="0.2">
      <c r="A1717" s="26">
        <v>81</v>
      </c>
      <c r="B1717" s="26">
        <v>63</v>
      </c>
      <c r="C1717" s="26">
        <v>144</v>
      </c>
      <c r="D1717" s="26" t="s">
        <v>1682</v>
      </c>
      <c r="E1717" s="26">
        <v>-75621.642999999996</v>
      </c>
      <c r="F1717" s="26">
        <v>10.827</v>
      </c>
      <c r="G1717" s="26">
        <f t="shared" si="26"/>
        <v>-75621.642999999996</v>
      </c>
    </row>
    <row r="1718" spans="1:7" x14ac:dyDescent="0.2">
      <c r="A1718" s="26">
        <v>80</v>
      </c>
      <c r="B1718" s="26">
        <v>64</v>
      </c>
      <c r="C1718" s="26">
        <v>144</v>
      </c>
      <c r="D1718" s="26" t="s">
        <v>1683</v>
      </c>
      <c r="E1718" s="26">
        <v>-71759.504000000001</v>
      </c>
      <c r="F1718" s="26">
        <v>27.945</v>
      </c>
      <c r="G1718" s="26">
        <f t="shared" si="26"/>
        <v>-71759.504000000001</v>
      </c>
    </row>
    <row r="1719" spans="1:7" x14ac:dyDescent="0.2">
      <c r="A1719" s="26">
        <v>79</v>
      </c>
      <c r="B1719" s="26">
        <v>65</v>
      </c>
      <c r="C1719" s="26">
        <v>144</v>
      </c>
      <c r="D1719" s="26" t="s">
        <v>1684</v>
      </c>
      <c r="E1719" s="26">
        <v>-62368.180999999997</v>
      </c>
      <c r="F1719" s="26">
        <v>27.945</v>
      </c>
      <c r="G1719" s="26">
        <f t="shared" si="26"/>
        <v>-62368.180999999997</v>
      </c>
    </row>
    <row r="1720" spans="1:7" x14ac:dyDescent="0.2">
      <c r="A1720" s="26">
        <v>78</v>
      </c>
      <c r="B1720" s="26">
        <v>66</v>
      </c>
      <c r="C1720" s="26">
        <v>144</v>
      </c>
      <c r="D1720" s="26" t="s">
        <v>1685</v>
      </c>
      <c r="E1720" s="26">
        <v>-56584.535000000003</v>
      </c>
      <c r="F1720" s="26">
        <v>30.739000000000001</v>
      </c>
      <c r="G1720" s="26">
        <f t="shared" si="26"/>
        <v>-56584.535000000003</v>
      </c>
    </row>
    <row r="1721" spans="1:7" x14ac:dyDescent="0.2">
      <c r="A1721" s="26">
        <v>77</v>
      </c>
      <c r="B1721" s="26">
        <v>67</v>
      </c>
      <c r="C1721" s="26">
        <v>144</v>
      </c>
      <c r="D1721" s="26" t="s">
        <v>1686</v>
      </c>
      <c r="E1721" s="26" t="s">
        <v>788</v>
      </c>
      <c r="F1721" s="26" t="s">
        <v>1730</v>
      </c>
      <c r="G1721" s="26">
        <f t="shared" si="26"/>
        <v>-45196.01</v>
      </c>
    </row>
    <row r="1722" spans="1:7" x14ac:dyDescent="0.2">
      <c r="A1722" s="26">
        <v>76</v>
      </c>
      <c r="B1722" s="26">
        <v>68</v>
      </c>
      <c r="C1722" s="26">
        <v>144</v>
      </c>
      <c r="D1722" s="26" t="s">
        <v>1687</v>
      </c>
      <c r="E1722" s="26" t="s">
        <v>877</v>
      </c>
      <c r="F1722" s="26" t="s">
        <v>1723</v>
      </c>
      <c r="G1722" s="26">
        <f t="shared" si="26"/>
        <v>-36906.01</v>
      </c>
    </row>
    <row r="1723" spans="1:7" x14ac:dyDescent="0.2">
      <c r="A1723" s="26">
        <v>91</v>
      </c>
      <c r="B1723" s="26">
        <v>54</v>
      </c>
      <c r="C1723" s="26">
        <v>145</v>
      </c>
      <c r="D1723" s="26" t="s">
        <v>1426</v>
      </c>
      <c r="E1723" s="26" t="s">
        <v>1653</v>
      </c>
      <c r="F1723" s="26" t="s">
        <v>1730</v>
      </c>
      <c r="G1723" s="26">
        <f t="shared" si="26"/>
        <v>-52098.01</v>
      </c>
    </row>
    <row r="1724" spans="1:7" x14ac:dyDescent="0.2">
      <c r="A1724" s="26">
        <v>90</v>
      </c>
      <c r="B1724" s="26">
        <v>55</v>
      </c>
      <c r="C1724" s="26">
        <v>145</v>
      </c>
      <c r="D1724" s="26" t="s">
        <v>1427</v>
      </c>
      <c r="E1724" s="26">
        <v>-60056.985999999997</v>
      </c>
      <c r="F1724" s="26">
        <v>10.842000000000001</v>
      </c>
      <c r="G1724" s="26">
        <f t="shared" si="26"/>
        <v>-60056.985999999997</v>
      </c>
    </row>
    <row r="1725" spans="1:7" x14ac:dyDescent="0.2">
      <c r="A1725" s="26">
        <v>89</v>
      </c>
      <c r="B1725" s="26">
        <v>56</v>
      </c>
      <c r="C1725" s="26">
        <v>145</v>
      </c>
      <c r="D1725" s="26" t="s">
        <v>1428</v>
      </c>
      <c r="E1725" s="26">
        <v>-67414.986000000004</v>
      </c>
      <c r="F1725" s="26">
        <v>70.834999999999994</v>
      </c>
      <c r="G1725" s="26">
        <f t="shared" si="26"/>
        <v>-67414.986000000004</v>
      </c>
    </row>
    <row r="1726" spans="1:7" x14ac:dyDescent="0.2">
      <c r="A1726" s="26">
        <v>88</v>
      </c>
      <c r="B1726" s="26">
        <v>57</v>
      </c>
      <c r="C1726" s="26">
        <v>145</v>
      </c>
      <c r="D1726" s="26" t="s">
        <v>1429</v>
      </c>
      <c r="E1726" s="26">
        <v>-72986.839000000007</v>
      </c>
      <c r="F1726" s="26">
        <v>90.123000000000005</v>
      </c>
      <c r="G1726" s="26">
        <f t="shared" si="26"/>
        <v>-72986.839000000007</v>
      </c>
    </row>
    <row r="1727" spans="1:7" x14ac:dyDescent="0.2">
      <c r="A1727" s="26">
        <v>87</v>
      </c>
      <c r="B1727" s="26">
        <v>58</v>
      </c>
      <c r="C1727" s="26">
        <v>145</v>
      </c>
      <c r="D1727" s="26" t="s">
        <v>1677</v>
      </c>
      <c r="E1727" s="26">
        <v>-77096.839000000007</v>
      </c>
      <c r="F1727" s="26">
        <v>41.497999999999998</v>
      </c>
      <c r="G1727" s="26">
        <f t="shared" si="26"/>
        <v>-77096.839000000007</v>
      </c>
    </row>
    <row r="1728" spans="1:7" x14ac:dyDescent="0.2">
      <c r="A1728" s="26">
        <v>86</v>
      </c>
      <c r="B1728" s="26">
        <v>59</v>
      </c>
      <c r="C1728" s="26">
        <v>145</v>
      </c>
      <c r="D1728" s="26" t="s">
        <v>1678</v>
      </c>
      <c r="E1728" s="26">
        <v>-79631.839000000007</v>
      </c>
      <c r="F1728" s="26">
        <v>7.4459999999999997</v>
      </c>
      <c r="G1728" s="26">
        <f t="shared" si="26"/>
        <v>-79631.839000000007</v>
      </c>
    </row>
    <row r="1729" spans="1:7" x14ac:dyDescent="0.2">
      <c r="A1729" s="26">
        <v>85</v>
      </c>
      <c r="B1729" s="26">
        <v>60</v>
      </c>
      <c r="C1729" s="26">
        <v>145</v>
      </c>
      <c r="D1729" s="26" t="s">
        <v>1679</v>
      </c>
      <c r="E1729" s="26">
        <v>-81437.134000000005</v>
      </c>
      <c r="F1729" s="26">
        <v>2.3340000000000001</v>
      </c>
      <c r="G1729" s="26">
        <f t="shared" si="26"/>
        <v>-81437.134000000005</v>
      </c>
    </row>
    <row r="1730" spans="1:7" x14ac:dyDescent="0.2">
      <c r="A1730" s="26">
        <v>84</v>
      </c>
      <c r="B1730" s="26">
        <v>61</v>
      </c>
      <c r="C1730" s="26">
        <v>145</v>
      </c>
      <c r="D1730" s="26" t="s">
        <v>1680</v>
      </c>
      <c r="E1730" s="26">
        <v>-81273.762000000002</v>
      </c>
      <c r="F1730" s="26">
        <v>3.137</v>
      </c>
      <c r="G1730" s="26">
        <f t="shared" si="26"/>
        <v>-81273.762000000002</v>
      </c>
    </row>
    <row r="1731" spans="1:7" x14ac:dyDescent="0.2">
      <c r="A1731" s="26">
        <v>83</v>
      </c>
      <c r="B1731" s="26">
        <v>62</v>
      </c>
      <c r="C1731" s="26">
        <v>145</v>
      </c>
      <c r="D1731" s="26" t="s">
        <v>1681</v>
      </c>
      <c r="E1731" s="26">
        <v>-80657.736999999994</v>
      </c>
      <c r="F1731" s="26">
        <v>2.8140000000000001</v>
      </c>
      <c r="G1731" s="26">
        <f t="shared" si="26"/>
        <v>-80657.736999999994</v>
      </c>
    </row>
    <row r="1732" spans="1:7" x14ac:dyDescent="0.2">
      <c r="A1732" s="26">
        <v>82</v>
      </c>
      <c r="B1732" s="26">
        <v>63</v>
      </c>
      <c r="C1732" s="26">
        <v>145</v>
      </c>
      <c r="D1732" s="26" t="s">
        <v>1682</v>
      </c>
      <c r="E1732" s="26">
        <v>-77998.429000000004</v>
      </c>
      <c r="F1732" s="26">
        <v>3.843</v>
      </c>
      <c r="G1732" s="26">
        <f t="shared" si="26"/>
        <v>-77998.429000000004</v>
      </c>
    </row>
    <row r="1733" spans="1:7" x14ac:dyDescent="0.2">
      <c r="A1733" s="26">
        <v>81</v>
      </c>
      <c r="B1733" s="26">
        <v>64</v>
      </c>
      <c r="C1733" s="26">
        <v>145</v>
      </c>
      <c r="D1733" s="26" t="s">
        <v>1683</v>
      </c>
      <c r="E1733" s="26">
        <v>-72927.361999999994</v>
      </c>
      <c r="F1733" s="26">
        <v>18.756</v>
      </c>
      <c r="G1733" s="26">
        <f t="shared" si="26"/>
        <v>-72927.361999999994</v>
      </c>
    </row>
    <row r="1734" spans="1:7" x14ac:dyDescent="0.2">
      <c r="A1734" s="26">
        <v>80</v>
      </c>
      <c r="B1734" s="26">
        <v>65</v>
      </c>
      <c r="C1734" s="26">
        <v>145</v>
      </c>
      <c r="D1734" s="26" t="s">
        <v>1684</v>
      </c>
      <c r="E1734" s="26">
        <v>-65880.845000000001</v>
      </c>
      <c r="F1734" s="26">
        <v>56.820999999999998</v>
      </c>
      <c r="G1734" s="26">
        <f t="shared" si="26"/>
        <v>-65880.845000000001</v>
      </c>
    </row>
    <row r="1735" spans="1:7" x14ac:dyDescent="0.2">
      <c r="A1735" s="26">
        <v>79</v>
      </c>
      <c r="B1735" s="26">
        <v>66</v>
      </c>
      <c r="C1735" s="26">
        <v>145</v>
      </c>
      <c r="D1735" s="26" t="s">
        <v>1685</v>
      </c>
      <c r="E1735" s="26">
        <v>-58288.237999999998</v>
      </c>
      <c r="F1735" s="26">
        <v>45.643000000000001</v>
      </c>
      <c r="G1735" s="26">
        <f t="shared" si="26"/>
        <v>-58288.237999999998</v>
      </c>
    </row>
    <row r="1736" spans="1:7" x14ac:dyDescent="0.2">
      <c r="A1736" s="26">
        <v>78</v>
      </c>
      <c r="B1736" s="26">
        <v>67</v>
      </c>
      <c r="C1736" s="26">
        <v>145</v>
      </c>
      <c r="D1736" s="26" t="s">
        <v>1686</v>
      </c>
      <c r="E1736" s="26" t="s">
        <v>878</v>
      </c>
      <c r="F1736" s="26" t="s">
        <v>1730</v>
      </c>
      <c r="G1736" s="26">
        <f t="shared" si="26"/>
        <v>-49183.01</v>
      </c>
    </row>
    <row r="1737" spans="1:7" x14ac:dyDescent="0.2">
      <c r="A1737" s="26">
        <v>77</v>
      </c>
      <c r="B1737" s="26">
        <v>68</v>
      </c>
      <c r="C1737" s="26">
        <v>145</v>
      </c>
      <c r="D1737" s="26" t="s">
        <v>1687</v>
      </c>
      <c r="E1737" s="26" t="s">
        <v>879</v>
      </c>
      <c r="F1737" s="26" t="s">
        <v>1723</v>
      </c>
      <c r="G1737" s="26">
        <f t="shared" si="26"/>
        <v>-39691.01</v>
      </c>
    </row>
    <row r="1738" spans="1:7" x14ac:dyDescent="0.2">
      <c r="A1738" s="26">
        <v>76</v>
      </c>
      <c r="B1738" s="26">
        <v>69</v>
      </c>
      <c r="C1738" s="26">
        <v>145</v>
      </c>
      <c r="D1738" s="26" t="s">
        <v>1688</v>
      </c>
      <c r="E1738" s="26" t="s">
        <v>880</v>
      </c>
      <c r="F1738" s="26" t="s">
        <v>1723</v>
      </c>
      <c r="G1738" s="26">
        <f t="shared" ref="G1738:G1801" si="27">IF(ISNUMBER(E1738),E1738,VALUE(SUBSTITUTE(E1738,"#",".01")))</f>
        <v>-27877.01</v>
      </c>
    </row>
    <row r="1739" spans="1:7" x14ac:dyDescent="0.2">
      <c r="A1739" s="26">
        <v>92</v>
      </c>
      <c r="B1739" s="26">
        <v>54</v>
      </c>
      <c r="C1739" s="26">
        <v>146</v>
      </c>
      <c r="D1739" s="26" t="s">
        <v>1426</v>
      </c>
      <c r="E1739" s="26" t="s">
        <v>881</v>
      </c>
      <c r="F1739" s="26" t="s">
        <v>1723</v>
      </c>
      <c r="G1739" s="26">
        <f t="shared" si="27"/>
        <v>-48671.01</v>
      </c>
    </row>
    <row r="1740" spans="1:7" x14ac:dyDescent="0.2">
      <c r="A1740" s="26">
        <v>91</v>
      </c>
      <c r="B1740" s="26">
        <v>55</v>
      </c>
      <c r="C1740" s="26">
        <v>146</v>
      </c>
      <c r="D1740" s="26" t="s">
        <v>1427</v>
      </c>
      <c r="E1740" s="26">
        <v>-55620.044000000002</v>
      </c>
      <c r="F1740" s="26">
        <v>71.271000000000001</v>
      </c>
      <c r="G1740" s="26">
        <f t="shared" si="27"/>
        <v>-55620.044000000002</v>
      </c>
    </row>
    <row r="1741" spans="1:7" x14ac:dyDescent="0.2">
      <c r="A1741" s="26">
        <v>90</v>
      </c>
      <c r="B1741" s="26">
        <v>56</v>
      </c>
      <c r="C1741" s="26">
        <v>146</v>
      </c>
      <c r="D1741" s="26" t="s">
        <v>1428</v>
      </c>
      <c r="E1741" s="26">
        <v>-65000.05</v>
      </c>
      <c r="F1741" s="26">
        <v>72.302000000000007</v>
      </c>
      <c r="G1741" s="26">
        <f t="shared" si="27"/>
        <v>-65000.05</v>
      </c>
    </row>
    <row r="1742" spans="1:7" x14ac:dyDescent="0.2">
      <c r="A1742" s="26">
        <v>89</v>
      </c>
      <c r="B1742" s="26">
        <v>57</v>
      </c>
      <c r="C1742" s="26">
        <v>146</v>
      </c>
      <c r="D1742" s="26" t="s">
        <v>1429</v>
      </c>
      <c r="E1742" s="26">
        <v>-69122.947</v>
      </c>
      <c r="F1742" s="26">
        <v>71.388000000000005</v>
      </c>
      <c r="G1742" s="26">
        <f t="shared" si="27"/>
        <v>-69122.947</v>
      </c>
    </row>
    <row r="1743" spans="1:7" x14ac:dyDescent="0.2">
      <c r="A1743" s="26">
        <v>88</v>
      </c>
      <c r="B1743" s="26">
        <v>58</v>
      </c>
      <c r="C1743" s="26">
        <v>146</v>
      </c>
      <c r="D1743" s="26" t="s">
        <v>1677</v>
      </c>
      <c r="E1743" s="26">
        <v>-75675.495999999999</v>
      </c>
      <c r="F1743" s="26">
        <v>66.441999999999993</v>
      </c>
      <c r="G1743" s="26">
        <f t="shared" si="27"/>
        <v>-75675.495999999999</v>
      </c>
    </row>
    <row r="1744" spans="1:7" x14ac:dyDescent="0.2">
      <c r="A1744" s="26">
        <v>87</v>
      </c>
      <c r="B1744" s="26">
        <v>59</v>
      </c>
      <c r="C1744" s="26">
        <v>146</v>
      </c>
      <c r="D1744" s="26" t="s">
        <v>1678</v>
      </c>
      <c r="E1744" s="26">
        <v>-76713.808000000005</v>
      </c>
      <c r="F1744" s="26">
        <v>61.710999999999999</v>
      </c>
      <c r="G1744" s="26">
        <f t="shared" si="27"/>
        <v>-76713.808000000005</v>
      </c>
    </row>
    <row r="1745" spans="1:7" x14ac:dyDescent="0.2">
      <c r="A1745" s="26">
        <v>86</v>
      </c>
      <c r="B1745" s="26">
        <v>60</v>
      </c>
      <c r="C1745" s="26">
        <v>146</v>
      </c>
      <c r="D1745" s="26" t="s">
        <v>1679</v>
      </c>
      <c r="E1745" s="26">
        <v>-80931.05</v>
      </c>
      <c r="F1745" s="26">
        <v>2.3340000000000001</v>
      </c>
      <c r="G1745" s="26">
        <f t="shared" si="27"/>
        <v>-80931.05</v>
      </c>
    </row>
    <row r="1746" spans="1:7" x14ac:dyDescent="0.2">
      <c r="A1746" s="26">
        <v>85</v>
      </c>
      <c r="B1746" s="26">
        <v>61</v>
      </c>
      <c r="C1746" s="26">
        <v>146</v>
      </c>
      <c r="D1746" s="26" t="s">
        <v>1680</v>
      </c>
      <c r="E1746" s="26">
        <v>-79459.88</v>
      </c>
      <c r="F1746" s="26">
        <v>4.6870000000000003</v>
      </c>
      <c r="G1746" s="26">
        <f t="shared" si="27"/>
        <v>-79459.88</v>
      </c>
    </row>
    <row r="1747" spans="1:7" x14ac:dyDescent="0.2">
      <c r="A1747" s="26">
        <v>84</v>
      </c>
      <c r="B1747" s="26">
        <v>62</v>
      </c>
      <c r="C1747" s="26">
        <v>146</v>
      </c>
      <c r="D1747" s="26" t="s">
        <v>1681</v>
      </c>
      <c r="E1747" s="26">
        <v>-81001.88</v>
      </c>
      <c r="F1747" s="26">
        <v>3.601</v>
      </c>
      <c r="G1747" s="26">
        <f t="shared" si="27"/>
        <v>-81001.88</v>
      </c>
    </row>
    <row r="1748" spans="1:7" x14ac:dyDescent="0.2">
      <c r="A1748" s="26">
        <v>83</v>
      </c>
      <c r="B1748" s="26">
        <v>63</v>
      </c>
      <c r="C1748" s="26">
        <v>146</v>
      </c>
      <c r="D1748" s="26" t="s">
        <v>1682</v>
      </c>
      <c r="E1748" s="26">
        <v>-77122.285000000003</v>
      </c>
      <c r="F1748" s="26">
        <v>6.2329999999999997</v>
      </c>
      <c r="G1748" s="26">
        <f t="shared" si="27"/>
        <v>-77122.285000000003</v>
      </c>
    </row>
    <row r="1749" spans="1:7" x14ac:dyDescent="0.2">
      <c r="A1749" s="26">
        <v>82</v>
      </c>
      <c r="B1749" s="26">
        <v>64</v>
      </c>
      <c r="C1749" s="26">
        <v>146</v>
      </c>
      <c r="D1749" s="26" t="s">
        <v>1683</v>
      </c>
      <c r="E1749" s="26">
        <v>-76093.179000000004</v>
      </c>
      <c r="F1749" s="26">
        <v>4.7069999999999999</v>
      </c>
      <c r="G1749" s="26">
        <f t="shared" si="27"/>
        <v>-76093.179000000004</v>
      </c>
    </row>
    <row r="1750" spans="1:7" x14ac:dyDescent="0.2">
      <c r="A1750" s="26">
        <v>81</v>
      </c>
      <c r="B1750" s="26">
        <v>65</v>
      </c>
      <c r="C1750" s="26">
        <v>146</v>
      </c>
      <c r="D1750" s="26" t="s">
        <v>1684</v>
      </c>
      <c r="E1750" s="26">
        <v>-67769.37</v>
      </c>
      <c r="F1750" s="26">
        <v>45.210999999999999</v>
      </c>
      <c r="G1750" s="26">
        <f t="shared" si="27"/>
        <v>-67769.37</v>
      </c>
    </row>
    <row r="1751" spans="1:7" x14ac:dyDescent="0.2">
      <c r="A1751" s="26">
        <v>80</v>
      </c>
      <c r="B1751" s="26">
        <v>66</v>
      </c>
      <c r="C1751" s="26">
        <v>146</v>
      </c>
      <c r="D1751" s="26" t="s">
        <v>1685</v>
      </c>
      <c r="E1751" s="26">
        <v>-62554.135999999999</v>
      </c>
      <c r="F1751" s="26">
        <v>27.111999999999998</v>
      </c>
      <c r="G1751" s="26">
        <f t="shared" si="27"/>
        <v>-62554.135999999999</v>
      </c>
    </row>
    <row r="1752" spans="1:7" x14ac:dyDescent="0.2">
      <c r="A1752" s="26">
        <v>79</v>
      </c>
      <c r="B1752" s="26">
        <v>67</v>
      </c>
      <c r="C1752" s="26">
        <v>146</v>
      </c>
      <c r="D1752" s="26" t="s">
        <v>1686</v>
      </c>
      <c r="E1752" s="26" t="s">
        <v>882</v>
      </c>
      <c r="F1752" s="26" t="s">
        <v>1480</v>
      </c>
      <c r="G1752" s="26">
        <f t="shared" si="27"/>
        <v>-51568.01</v>
      </c>
    </row>
    <row r="1753" spans="1:7" x14ac:dyDescent="0.2">
      <c r="A1753" s="26">
        <v>78</v>
      </c>
      <c r="B1753" s="26">
        <v>68</v>
      </c>
      <c r="C1753" s="26">
        <v>146</v>
      </c>
      <c r="D1753" s="26" t="s">
        <v>1687</v>
      </c>
      <c r="E1753" s="26" t="s">
        <v>883</v>
      </c>
      <c r="F1753" s="26" t="s">
        <v>1730</v>
      </c>
      <c r="G1753" s="26">
        <f t="shared" si="27"/>
        <v>-44712.01</v>
      </c>
    </row>
    <row r="1754" spans="1:7" x14ac:dyDescent="0.2">
      <c r="A1754" s="26">
        <v>77</v>
      </c>
      <c r="B1754" s="26">
        <v>69</v>
      </c>
      <c r="C1754" s="26">
        <v>146</v>
      </c>
      <c r="D1754" s="26" t="s">
        <v>1688</v>
      </c>
      <c r="E1754" s="26" t="s">
        <v>884</v>
      </c>
      <c r="F1754" s="26" t="s">
        <v>1723</v>
      </c>
      <c r="G1754" s="26">
        <f t="shared" si="27"/>
        <v>-31275.01</v>
      </c>
    </row>
    <row r="1755" spans="1:7" x14ac:dyDescent="0.2">
      <c r="A1755" s="26">
        <v>93</v>
      </c>
      <c r="B1755" s="26">
        <v>54</v>
      </c>
      <c r="C1755" s="26">
        <v>147</v>
      </c>
      <c r="D1755" s="26" t="s">
        <v>1426</v>
      </c>
      <c r="E1755" s="26" t="s">
        <v>885</v>
      </c>
      <c r="F1755" s="26" t="s">
        <v>1723</v>
      </c>
      <c r="G1755" s="26">
        <f t="shared" si="27"/>
        <v>-43259.01</v>
      </c>
    </row>
    <row r="1756" spans="1:7" x14ac:dyDescent="0.2">
      <c r="A1756" s="26">
        <v>92</v>
      </c>
      <c r="B1756" s="26">
        <v>55</v>
      </c>
      <c r="C1756" s="26">
        <v>147</v>
      </c>
      <c r="D1756" s="26" t="s">
        <v>1427</v>
      </c>
      <c r="E1756" s="26">
        <v>-52019.275000000001</v>
      </c>
      <c r="F1756" s="26">
        <v>53.055999999999997</v>
      </c>
      <c r="G1756" s="26">
        <f t="shared" si="27"/>
        <v>-52019.275000000001</v>
      </c>
    </row>
    <row r="1757" spans="1:7" x14ac:dyDescent="0.2">
      <c r="A1757" s="26">
        <v>91</v>
      </c>
      <c r="B1757" s="26">
        <v>56</v>
      </c>
      <c r="C1757" s="26">
        <v>147</v>
      </c>
      <c r="D1757" s="26" t="s">
        <v>1428</v>
      </c>
      <c r="E1757" s="26" t="s">
        <v>886</v>
      </c>
      <c r="F1757" s="26" t="s">
        <v>1495</v>
      </c>
      <c r="G1757" s="26">
        <f t="shared" si="27"/>
        <v>-60598.01</v>
      </c>
    </row>
    <row r="1758" spans="1:7" x14ac:dyDescent="0.2">
      <c r="A1758" s="26">
        <v>90</v>
      </c>
      <c r="B1758" s="26">
        <v>57</v>
      </c>
      <c r="C1758" s="26">
        <v>147</v>
      </c>
      <c r="D1758" s="26" t="s">
        <v>1429</v>
      </c>
      <c r="E1758" s="26">
        <v>-66848.403000000006</v>
      </c>
      <c r="F1758" s="26">
        <v>48.072000000000003</v>
      </c>
      <c r="G1758" s="26">
        <f t="shared" si="27"/>
        <v>-66848.403000000006</v>
      </c>
    </row>
    <row r="1759" spans="1:7" x14ac:dyDescent="0.2">
      <c r="A1759" s="26">
        <v>89</v>
      </c>
      <c r="B1759" s="26">
        <v>58</v>
      </c>
      <c r="C1759" s="26">
        <v>147</v>
      </c>
      <c r="D1759" s="26" t="s">
        <v>1677</v>
      </c>
      <c r="E1759" s="26">
        <v>-72028.748000000007</v>
      </c>
      <c r="F1759" s="26">
        <v>30.523</v>
      </c>
      <c r="G1759" s="26">
        <f t="shared" si="27"/>
        <v>-72028.748000000007</v>
      </c>
    </row>
    <row r="1760" spans="1:7" x14ac:dyDescent="0.2">
      <c r="A1760" s="26">
        <v>88</v>
      </c>
      <c r="B1760" s="26">
        <v>59</v>
      </c>
      <c r="C1760" s="26">
        <v>147</v>
      </c>
      <c r="D1760" s="26" t="s">
        <v>1678</v>
      </c>
      <c r="E1760" s="26">
        <v>-75454.748000000007</v>
      </c>
      <c r="F1760" s="26">
        <v>23.056999999999999</v>
      </c>
      <c r="G1760" s="26">
        <f t="shared" si="27"/>
        <v>-75454.748000000007</v>
      </c>
    </row>
    <row r="1761" spans="1:7" x14ac:dyDescent="0.2">
      <c r="A1761" s="26">
        <v>87</v>
      </c>
      <c r="B1761" s="26">
        <v>60</v>
      </c>
      <c r="C1761" s="26">
        <v>147</v>
      </c>
      <c r="D1761" s="26" t="s">
        <v>1679</v>
      </c>
      <c r="E1761" s="26">
        <v>-78151.936000000002</v>
      </c>
      <c r="F1761" s="26">
        <v>2.335</v>
      </c>
      <c r="G1761" s="26">
        <f t="shared" si="27"/>
        <v>-78151.936000000002</v>
      </c>
    </row>
    <row r="1762" spans="1:7" x14ac:dyDescent="0.2">
      <c r="A1762" s="26">
        <v>86</v>
      </c>
      <c r="B1762" s="26">
        <v>61</v>
      </c>
      <c r="C1762" s="26">
        <v>147</v>
      </c>
      <c r="D1762" s="26" t="s">
        <v>1680</v>
      </c>
      <c r="E1762" s="26">
        <v>-79047.936000000002</v>
      </c>
      <c r="F1762" s="26">
        <v>2.4089999999999998</v>
      </c>
      <c r="G1762" s="26">
        <f t="shared" si="27"/>
        <v>-79047.936000000002</v>
      </c>
    </row>
    <row r="1763" spans="1:7" x14ac:dyDescent="0.2">
      <c r="A1763" s="26">
        <v>85</v>
      </c>
      <c r="B1763" s="26">
        <v>62</v>
      </c>
      <c r="C1763" s="26">
        <v>147</v>
      </c>
      <c r="D1763" s="26" t="s">
        <v>1681</v>
      </c>
      <c r="E1763" s="26">
        <v>-79272.074999999997</v>
      </c>
      <c r="F1763" s="26">
        <v>2.4119999999999999</v>
      </c>
      <c r="G1763" s="26">
        <f t="shared" si="27"/>
        <v>-79272.074999999997</v>
      </c>
    </row>
    <row r="1764" spans="1:7" x14ac:dyDescent="0.2">
      <c r="A1764" s="26">
        <v>84</v>
      </c>
      <c r="B1764" s="26">
        <v>63</v>
      </c>
      <c r="C1764" s="26">
        <v>147</v>
      </c>
      <c r="D1764" s="26" t="s">
        <v>1682</v>
      </c>
      <c r="E1764" s="26">
        <v>-77550.498999999996</v>
      </c>
      <c r="F1764" s="26">
        <v>3.2280000000000002</v>
      </c>
      <c r="G1764" s="26">
        <f t="shared" si="27"/>
        <v>-77550.498999999996</v>
      </c>
    </row>
    <row r="1765" spans="1:7" x14ac:dyDescent="0.2">
      <c r="A1765" s="26">
        <v>83</v>
      </c>
      <c r="B1765" s="26">
        <v>64</v>
      </c>
      <c r="C1765" s="26">
        <v>147</v>
      </c>
      <c r="D1765" s="26" t="s">
        <v>1683</v>
      </c>
      <c r="E1765" s="26">
        <v>-75363.062999999995</v>
      </c>
      <c r="F1765" s="26">
        <v>3.03</v>
      </c>
      <c r="G1765" s="26">
        <f t="shared" si="27"/>
        <v>-75363.062999999995</v>
      </c>
    </row>
    <row r="1766" spans="1:7" x14ac:dyDescent="0.2">
      <c r="A1766" s="26">
        <v>82</v>
      </c>
      <c r="B1766" s="26">
        <v>65</v>
      </c>
      <c r="C1766" s="26">
        <v>147</v>
      </c>
      <c r="D1766" s="26" t="s">
        <v>1684</v>
      </c>
      <c r="E1766" s="26">
        <v>-70752.013000000006</v>
      </c>
      <c r="F1766" s="26">
        <v>11.914999999999999</v>
      </c>
      <c r="G1766" s="26">
        <f t="shared" si="27"/>
        <v>-70752.013000000006</v>
      </c>
    </row>
    <row r="1767" spans="1:7" x14ac:dyDescent="0.2">
      <c r="A1767" s="26">
        <v>81</v>
      </c>
      <c r="B1767" s="26">
        <v>66</v>
      </c>
      <c r="C1767" s="26">
        <v>147</v>
      </c>
      <c r="D1767" s="26" t="s">
        <v>1685</v>
      </c>
      <c r="E1767" s="26">
        <v>-64187.855000000003</v>
      </c>
      <c r="F1767" s="26">
        <v>19.760000000000002</v>
      </c>
      <c r="G1767" s="26">
        <f t="shared" si="27"/>
        <v>-64187.855000000003</v>
      </c>
    </row>
    <row r="1768" spans="1:7" x14ac:dyDescent="0.2">
      <c r="A1768" s="26">
        <v>80</v>
      </c>
      <c r="B1768" s="26">
        <v>67</v>
      </c>
      <c r="C1768" s="26">
        <v>147</v>
      </c>
      <c r="D1768" s="26" t="s">
        <v>1686</v>
      </c>
      <c r="E1768" s="26">
        <v>-55837.476999999999</v>
      </c>
      <c r="F1768" s="26">
        <v>27.945</v>
      </c>
      <c r="G1768" s="26">
        <f t="shared" si="27"/>
        <v>-55837.476999999999</v>
      </c>
    </row>
    <row r="1769" spans="1:7" x14ac:dyDescent="0.2">
      <c r="A1769" s="26">
        <v>79</v>
      </c>
      <c r="B1769" s="26">
        <v>68</v>
      </c>
      <c r="C1769" s="26">
        <v>147</v>
      </c>
      <c r="D1769" s="26" t="s">
        <v>1687</v>
      </c>
      <c r="E1769" s="26" t="s">
        <v>887</v>
      </c>
      <c r="F1769" s="26" t="s">
        <v>1730</v>
      </c>
      <c r="G1769" s="26">
        <f t="shared" si="27"/>
        <v>-47050.01</v>
      </c>
    </row>
    <row r="1770" spans="1:7" x14ac:dyDescent="0.2">
      <c r="A1770" s="26">
        <v>78</v>
      </c>
      <c r="B1770" s="26">
        <v>69</v>
      </c>
      <c r="C1770" s="26">
        <v>147</v>
      </c>
      <c r="D1770" s="26" t="s">
        <v>1688</v>
      </c>
      <c r="E1770" s="26" t="s">
        <v>888</v>
      </c>
      <c r="F1770" s="26" t="s">
        <v>1730</v>
      </c>
      <c r="G1770" s="26">
        <f t="shared" si="27"/>
        <v>-36365.01</v>
      </c>
    </row>
    <row r="1771" spans="1:7" x14ac:dyDescent="0.2">
      <c r="A1771" s="26">
        <v>93</v>
      </c>
      <c r="B1771" s="26">
        <v>55</v>
      </c>
      <c r="C1771" s="26">
        <v>148</v>
      </c>
      <c r="D1771" s="26" t="s">
        <v>1427</v>
      </c>
      <c r="E1771" s="26">
        <v>-47302.985999999997</v>
      </c>
      <c r="F1771" s="26">
        <v>575.72400000000005</v>
      </c>
      <c r="G1771" s="26">
        <f t="shared" si="27"/>
        <v>-47302.985999999997</v>
      </c>
    </row>
    <row r="1772" spans="1:7" x14ac:dyDescent="0.2">
      <c r="A1772" s="26">
        <v>92</v>
      </c>
      <c r="B1772" s="26">
        <v>56</v>
      </c>
      <c r="C1772" s="26">
        <v>148</v>
      </c>
      <c r="D1772" s="26" t="s">
        <v>1428</v>
      </c>
      <c r="E1772" s="26">
        <v>-58013.402999999998</v>
      </c>
      <c r="F1772" s="26">
        <v>84.180999999999997</v>
      </c>
      <c r="G1772" s="26">
        <f t="shared" si="27"/>
        <v>-58013.402999999998</v>
      </c>
    </row>
    <row r="1773" spans="1:7" x14ac:dyDescent="0.2">
      <c r="A1773" s="26">
        <v>91</v>
      </c>
      <c r="B1773" s="26">
        <v>57</v>
      </c>
      <c r="C1773" s="26">
        <v>148</v>
      </c>
      <c r="D1773" s="26" t="s">
        <v>1429</v>
      </c>
      <c r="E1773" s="26">
        <v>-63128.402999999998</v>
      </c>
      <c r="F1773" s="26">
        <v>59.045000000000002</v>
      </c>
      <c r="G1773" s="26">
        <f t="shared" si="27"/>
        <v>-63128.402999999998</v>
      </c>
    </row>
    <row r="1774" spans="1:7" x14ac:dyDescent="0.2">
      <c r="A1774" s="26">
        <v>90</v>
      </c>
      <c r="B1774" s="26">
        <v>58</v>
      </c>
      <c r="C1774" s="26">
        <v>148</v>
      </c>
      <c r="D1774" s="26" t="s">
        <v>1677</v>
      </c>
      <c r="E1774" s="26">
        <v>-70390.755999999994</v>
      </c>
      <c r="F1774" s="26">
        <v>29.425000000000001</v>
      </c>
      <c r="G1774" s="26">
        <f t="shared" si="27"/>
        <v>-70390.755999999994</v>
      </c>
    </row>
    <row r="1775" spans="1:7" x14ac:dyDescent="0.2">
      <c r="A1775" s="26">
        <v>89</v>
      </c>
      <c r="B1775" s="26">
        <v>59</v>
      </c>
      <c r="C1775" s="26">
        <v>148</v>
      </c>
      <c r="D1775" s="26" t="s">
        <v>1678</v>
      </c>
      <c r="E1775" s="26">
        <v>-72530.755999999994</v>
      </c>
      <c r="F1775" s="26">
        <v>25.881</v>
      </c>
      <c r="G1775" s="26">
        <f t="shared" si="27"/>
        <v>-72530.755999999994</v>
      </c>
    </row>
    <row r="1776" spans="1:7" x14ac:dyDescent="0.2">
      <c r="A1776" s="26">
        <v>88</v>
      </c>
      <c r="B1776" s="26">
        <v>60</v>
      </c>
      <c r="C1776" s="26">
        <v>148</v>
      </c>
      <c r="D1776" s="26" t="s">
        <v>1679</v>
      </c>
      <c r="E1776" s="26">
        <v>-77413.403999999995</v>
      </c>
      <c r="F1776" s="26">
        <v>2.8370000000000002</v>
      </c>
      <c r="G1776" s="26">
        <f t="shared" si="27"/>
        <v>-77413.403999999995</v>
      </c>
    </row>
    <row r="1777" spans="1:7" x14ac:dyDescent="0.2">
      <c r="A1777" s="26">
        <v>87</v>
      </c>
      <c r="B1777" s="26">
        <v>61</v>
      </c>
      <c r="C1777" s="26">
        <v>148</v>
      </c>
      <c r="D1777" s="26" t="s">
        <v>1680</v>
      </c>
      <c r="E1777" s="26">
        <v>-76871.898000000001</v>
      </c>
      <c r="F1777" s="26">
        <v>6.0830000000000002</v>
      </c>
      <c r="G1777" s="26">
        <f t="shared" si="27"/>
        <v>-76871.898000000001</v>
      </c>
    </row>
    <row r="1778" spans="1:7" x14ac:dyDescent="0.2">
      <c r="A1778" s="26">
        <v>86</v>
      </c>
      <c r="B1778" s="26">
        <v>62</v>
      </c>
      <c r="C1778" s="26">
        <v>148</v>
      </c>
      <c r="D1778" s="26" t="s">
        <v>1681</v>
      </c>
      <c r="E1778" s="26">
        <v>-79342.168999999994</v>
      </c>
      <c r="F1778" s="26">
        <v>2.4169999999999998</v>
      </c>
      <c r="G1778" s="26">
        <f t="shared" si="27"/>
        <v>-79342.168999999994</v>
      </c>
    </row>
    <row r="1779" spans="1:7" x14ac:dyDescent="0.2">
      <c r="A1779" s="26">
        <v>85</v>
      </c>
      <c r="B1779" s="26">
        <v>63</v>
      </c>
      <c r="C1779" s="26">
        <v>148</v>
      </c>
      <c r="D1779" s="26" t="s">
        <v>1682</v>
      </c>
      <c r="E1779" s="26">
        <v>-76302.498000000007</v>
      </c>
      <c r="F1779" s="26">
        <v>10.208</v>
      </c>
      <c r="G1779" s="26">
        <f t="shared" si="27"/>
        <v>-76302.498000000007</v>
      </c>
    </row>
    <row r="1780" spans="1:7" x14ac:dyDescent="0.2">
      <c r="A1780" s="26">
        <v>84</v>
      </c>
      <c r="B1780" s="26">
        <v>64</v>
      </c>
      <c r="C1780" s="26">
        <v>148</v>
      </c>
      <c r="D1780" s="26" t="s">
        <v>1683</v>
      </c>
      <c r="E1780" s="26">
        <v>-76275.83</v>
      </c>
      <c r="F1780" s="26">
        <v>2.8069999999999999</v>
      </c>
      <c r="G1780" s="26">
        <f t="shared" si="27"/>
        <v>-76275.83</v>
      </c>
    </row>
    <row r="1781" spans="1:7" x14ac:dyDescent="0.2">
      <c r="A1781" s="26">
        <v>83</v>
      </c>
      <c r="B1781" s="26">
        <v>65</v>
      </c>
      <c r="C1781" s="26">
        <v>148</v>
      </c>
      <c r="D1781" s="26" t="s">
        <v>1684</v>
      </c>
      <c r="E1781" s="26">
        <v>-70540.456999999995</v>
      </c>
      <c r="F1781" s="26">
        <v>13.907</v>
      </c>
      <c r="G1781" s="26">
        <f t="shared" si="27"/>
        <v>-70540.456999999995</v>
      </c>
    </row>
    <row r="1782" spans="1:7" x14ac:dyDescent="0.2">
      <c r="A1782" s="26">
        <v>82</v>
      </c>
      <c r="B1782" s="26">
        <v>66</v>
      </c>
      <c r="C1782" s="26">
        <v>148</v>
      </c>
      <c r="D1782" s="26" t="s">
        <v>1685</v>
      </c>
      <c r="E1782" s="26">
        <v>-67859.495999999999</v>
      </c>
      <c r="F1782" s="26">
        <v>10.583</v>
      </c>
      <c r="G1782" s="26">
        <f t="shared" si="27"/>
        <v>-67859.495999999999</v>
      </c>
    </row>
    <row r="1783" spans="1:7" x14ac:dyDescent="0.2">
      <c r="A1783" s="26">
        <v>81</v>
      </c>
      <c r="B1783" s="26">
        <v>67</v>
      </c>
      <c r="C1783" s="26">
        <v>148</v>
      </c>
      <c r="D1783" s="26" t="s">
        <v>1686</v>
      </c>
      <c r="E1783" s="26">
        <v>-58015.31</v>
      </c>
      <c r="F1783" s="26">
        <v>129.47800000000001</v>
      </c>
      <c r="G1783" s="26">
        <f t="shared" si="27"/>
        <v>-58015.31</v>
      </c>
    </row>
    <row r="1784" spans="1:7" x14ac:dyDescent="0.2">
      <c r="A1784" s="26">
        <v>80</v>
      </c>
      <c r="B1784" s="26">
        <v>68</v>
      </c>
      <c r="C1784" s="26">
        <v>148</v>
      </c>
      <c r="D1784" s="26" t="s">
        <v>1687</v>
      </c>
      <c r="E1784" s="26" t="s">
        <v>1196</v>
      </c>
      <c r="F1784" s="26" t="s">
        <v>1480</v>
      </c>
      <c r="G1784" s="26">
        <f t="shared" si="27"/>
        <v>-51651.01</v>
      </c>
    </row>
    <row r="1785" spans="1:7" x14ac:dyDescent="0.2">
      <c r="A1785" s="26">
        <v>79</v>
      </c>
      <c r="B1785" s="26">
        <v>69</v>
      </c>
      <c r="C1785" s="26">
        <v>148</v>
      </c>
      <c r="D1785" s="26" t="s">
        <v>1688</v>
      </c>
      <c r="E1785" s="26" t="s">
        <v>1197</v>
      </c>
      <c r="F1785" s="26" t="s">
        <v>1723</v>
      </c>
      <c r="G1785" s="26">
        <f t="shared" si="27"/>
        <v>-39272.01</v>
      </c>
    </row>
    <row r="1786" spans="1:7" x14ac:dyDescent="0.2">
      <c r="A1786" s="26">
        <v>78</v>
      </c>
      <c r="B1786" s="26">
        <v>70</v>
      </c>
      <c r="C1786" s="26">
        <v>148</v>
      </c>
      <c r="D1786" s="26" t="s">
        <v>1689</v>
      </c>
      <c r="E1786" s="26" t="s">
        <v>1198</v>
      </c>
      <c r="F1786" s="26" t="s">
        <v>1505</v>
      </c>
      <c r="G1786" s="26">
        <f t="shared" si="27"/>
        <v>-30348.01</v>
      </c>
    </row>
    <row r="1787" spans="1:7" x14ac:dyDescent="0.2">
      <c r="A1787" s="26">
        <v>94</v>
      </c>
      <c r="B1787" s="26">
        <v>55</v>
      </c>
      <c r="C1787" s="26">
        <v>149</v>
      </c>
      <c r="D1787" s="26" t="s">
        <v>1427</v>
      </c>
      <c r="E1787" s="26" t="s">
        <v>1199</v>
      </c>
      <c r="F1787" s="26" t="s">
        <v>1480</v>
      </c>
      <c r="G1787" s="26">
        <f t="shared" si="27"/>
        <v>-43845.01</v>
      </c>
    </row>
    <row r="1788" spans="1:7" x14ac:dyDescent="0.2">
      <c r="A1788" s="26">
        <v>93</v>
      </c>
      <c r="B1788" s="26">
        <v>56</v>
      </c>
      <c r="C1788" s="26">
        <v>149</v>
      </c>
      <c r="D1788" s="26" t="s">
        <v>1428</v>
      </c>
      <c r="E1788" s="26" t="s">
        <v>1200</v>
      </c>
      <c r="F1788" s="26" t="s">
        <v>1480</v>
      </c>
      <c r="G1788" s="26">
        <f t="shared" si="27"/>
        <v>-53486.01</v>
      </c>
    </row>
    <row r="1789" spans="1:7" x14ac:dyDescent="0.2">
      <c r="A1789" s="26">
        <v>92</v>
      </c>
      <c r="B1789" s="26">
        <v>57</v>
      </c>
      <c r="C1789" s="26">
        <v>149</v>
      </c>
      <c r="D1789" s="26" t="s">
        <v>1429</v>
      </c>
      <c r="E1789" s="26" t="s">
        <v>1201</v>
      </c>
      <c r="F1789" s="26" t="s">
        <v>1202</v>
      </c>
      <c r="G1789" s="26">
        <f t="shared" si="27"/>
        <v>-60795.01</v>
      </c>
    </row>
    <row r="1790" spans="1:7" x14ac:dyDescent="0.2">
      <c r="A1790" s="26">
        <v>91</v>
      </c>
      <c r="B1790" s="26">
        <v>58</v>
      </c>
      <c r="C1790" s="26">
        <v>149</v>
      </c>
      <c r="D1790" s="26" t="s">
        <v>1677</v>
      </c>
      <c r="E1790" s="26">
        <v>-66695.08</v>
      </c>
      <c r="F1790" s="26">
        <v>96.908000000000001</v>
      </c>
      <c r="G1790" s="26">
        <f t="shared" si="27"/>
        <v>-66695.08</v>
      </c>
    </row>
    <row r="1791" spans="1:7" x14ac:dyDescent="0.2">
      <c r="A1791" s="26">
        <v>90</v>
      </c>
      <c r="B1791" s="26">
        <v>59</v>
      </c>
      <c r="C1791" s="26">
        <v>149</v>
      </c>
      <c r="D1791" s="26" t="s">
        <v>1678</v>
      </c>
      <c r="E1791" s="26">
        <v>-71056.55</v>
      </c>
      <c r="F1791" s="26">
        <v>82.122</v>
      </c>
      <c r="G1791" s="26">
        <f t="shared" si="27"/>
        <v>-71056.55</v>
      </c>
    </row>
    <row r="1792" spans="1:7" x14ac:dyDescent="0.2">
      <c r="A1792" s="26">
        <v>89</v>
      </c>
      <c r="B1792" s="26">
        <v>60</v>
      </c>
      <c r="C1792" s="26">
        <v>149</v>
      </c>
      <c r="D1792" s="26" t="s">
        <v>1679</v>
      </c>
      <c r="E1792" s="26">
        <v>-74380.875</v>
      </c>
      <c r="F1792" s="26">
        <v>2.8380000000000001</v>
      </c>
      <c r="G1792" s="26">
        <f t="shared" si="27"/>
        <v>-74380.875</v>
      </c>
    </row>
    <row r="1793" spans="1:7" x14ac:dyDescent="0.2">
      <c r="A1793" s="26">
        <v>88</v>
      </c>
      <c r="B1793" s="26">
        <v>61</v>
      </c>
      <c r="C1793" s="26">
        <v>149</v>
      </c>
      <c r="D1793" s="26" t="s">
        <v>1680</v>
      </c>
      <c r="E1793" s="26">
        <v>-76071.244999999995</v>
      </c>
      <c r="F1793" s="26">
        <v>4.1589999999999998</v>
      </c>
      <c r="G1793" s="26">
        <f t="shared" si="27"/>
        <v>-76071.244999999995</v>
      </c>
    </row>
    <row r="1794" spans="1:7" x14ac:dyDescent="0.2">
      <c r="A1794" s="26">
        <v>87</v>
      </c>
      <c r="B1794" s="26">
        <v>62</v>
      </c>
      <c r="C1794" s="26">
        <v>149</v>
      </c>
      <c r="D1794" s="26" t="s">
        <v>1681</v>
      </c>
      <c r="E1794" s="26">
        <v>-77141.922000000006</v>
      </c>
      <c r="F1794" s="26">
        <v>2.4430000000000001</v>
      </c>
      <c r="G1794" s="26">
        <f t="shared" si="27"/>
        <v>-77141.922000000006</v>
      </c>
    </row>
    <row r="1795" spans="1:7" x14ac:dyDescent="0.2">
      <c r="A1795" s="26">
        <v>86</v>
      </c>
      <c r="B1795" s="26">
        <v>63</v>
      </c>
      <c r="C1795" s="26">
        <v>149</v>
      </c>
      <c r="D1795" s="26" t="s">
        <v>1682</v>
      </c>
      <c r="E1795" s="26">
        <v>-76446.559999999998</v>
      </c>
      <c r="F1795" s="26">
        <v>4.3479999999999999</v>
      </c>
      <c r="G1795" s="26">
        <f t="shared" si="27"/>
        <v>-76446.559999999998</v>
      </c>
    </row>
    <row r="1796" spans="1:7" x14ac:dyDescent="0.2">
      <c r="A1796" s="26">
        <v>85</v>
      </c>
      <c r="B1796" s="26">
        <v>64</v>
      </c>
      <c r="C1796" s="26">
        <v>149</v>
      </c>
      <c r="D1796" s="26" t="s">
        <v>1683</v>
      </c>
      <c r="E1796" s="26">
        <v>-75133.453999999998</v>
      </c>
      <c r="F1796" s="26">
        <v>3.95</v>
      </c>
      <c r="G1796" s="26">
        <f t="shared" si="27"/>
        <v>-75133.453999999998</v>
      </c>
    </row>
    <row r="1797" spans="1:7" x14ac:dyDescent="0.2">
      <c r="A1797" s="26">
        <v>84</v>
      </c>
      <c r="B1797" s="26">
        <v>65</v>
      </c>
      <c r="C1797" s="26">
        <v>149</v>
      </c>
      <c r="D1797" s="26" t="s">
        <v>1684</v>
      </c>
      <c r="E1797" s="26">
        <v>-71495.975000000006</v>
      </c>
      <c r="F1797" s="26">
        <v>4.2839999999999998</v>
      </c>
      <c r="G1797" s="26">
        <f t="shared" si="27"/>
        <v>-71495.975000000006</v>
      </c>
    </row>
    <row r="1798" spans="1:7" x14ac:dyDescent="0.2">
      <c r="A1798" s="26">
        <v>83</v>
      </c>
      <c r="B1798" s="26">
        <v>66</v>
      </c>
      <c r="C1798" s="26">
        <v>149</v>
      </c>
      <c r="D1798" s="26" t="s">
        <v>1685</v>
      </c>
      <c r="E1798" s="26">
        <v>-67715.153999999995</v>
      </c>
      <c r="F1798" s="26">
        <v>8.7639999999999993</v>
      </c>
      <c r="G1798" s="26">
        <f t="shared" si="27"/>
        <v>-67715.153999999995</v>
      </c>
    </row>
    <row r="1799" spans="1:7" x14ac:dyDescent="0.2">
      <c r="A1799" s="26">
        <v>82</v>
      </c>
      <c r="B1799" s="26">
        <v>67</v>
      </c>
      <c r="C1799" s="26">
        <v>149</v>
      </c>
      <c r="D1799" s="26" t="s">
        <v>1686</v>
      </c>
      <c r="E1799" s="26">
        <v>-61688.402999999998</v>
      </c>
      <c r="F1799" s="26">
        <v>18.404</v>
      </c>
      <c r="G1799" s="26">
        <f t="shared" si="27"/>
        <v>-61688.402999999998</v>
      </c>
    </row>
    <row r="1800" spans="1:7" x14ac:dyDescent="0.2">
      <c r="A1800" s="26">
        <v>81</v>
      </c>
      <c r="B1800" s="26">
        <v>68</v>
      </c>
      <c r="C1800" s="26">
        <v>149</v>
      </c>
      <c r="D1800" s="26" t="s">
        <v>1687</v>
      </c>
      <c r="E1800" s="26">
        <v>-53741.614999999998</v>
      </c>
      <c r="F1800" s="26">
        <v>27.945</v>
      </c>
      <c r="G1800" s="26">
        <f t="shared" si="27"/>
        <v>-53741.614999999998</v>
      </c>
    </row>
    <row r="1801" spans="1:7" x14ac:dyDescent="0.2">
      <c r="A1801" s="26">
        <v>80</v>
      </c>
      <c r="B1801" s="26">
        <v>69</v>
      </c>
      <c r="C1801" s="26">
        <v>149</v>
      </c>
      <c r="D1801" s="26" t="s">
        <v>1688</v>
      </c>
      <c r="E1801" s="26" t="s">
        <v>1655</v>
      </c>
      <c r="F1801" s="26" t="s">
        <v>1730</v>
      </c>
      <c r="G1801" s="26">
        <f t="shared" si="27"/>
        <v>-44041.01</v>
      </c>
    </row>
    <row r="1802" spans="1:7" x14ac:dyDescent="0.2">
      <c r="A1802" s="26">
        <v>79</v>
      </c>
      <c r="B1802" s="26">
        <v>70</v>
      </c>
      <c r="C1802" s="26">
        <v>149</v>
      </c>
      <c r="D1802" s="26" t="s">
        <v>1689</v>
      </c>
      <c r="E1802" s="26" t="s">
        <v>1203</v>
      </c>
      <c r="F1802" s="26" t="s">
        <v>1728</v>
      </c>
      <c r="G1802" s="26">
        <f t="shared" ref="G1802:G1865" si="28">IF(ISNUMBER(E1802),E1802,VALUE(SUBSTITUTE(E1802,"#",".01")))</f>
        <v>-33497.01</v>
      </c>
    </row>
    <row r="1803" spans="1:7" x14ac:dyDescent="0.2">
      <c r="A1803" s="26">
        <v>95</v>
      </c>
      <c r="B1803" s="26">
        <v>55</v>
      </c>
      <c r="C1803" s="26">
        <v>150</v>
      </c>
      <c r="D1803" s="26" t="s">
        <v>1427</v>
      </c>
      <c r="E1803" s="26" t="s">
        <v>1204</v>
      </c>
      <c r="F1803" s="26" t="s">
        <v>1730</v>
      </c>
      <c r="G1803" s="26">
        <f t="shared" si="28"/>
        <v>-38964.01</v>
      </c>
    </row>
    <row r="1804" spans="1:7" x14ac:dyDescent="0.2">
      <c r="A1804" s="26">
        <v>94</v>
      </c>
      <c r="B1804" s="26">
        <v>56</v>
      </c>
      <c r="C1804" s="26">
        <v>150</v>
      </c>
      <c r="D1804" s="26" t="s">
        <v>1428</v>
      </c>
      <c r="E1804" s="26" t="s">
        <v>1205</v>
      </c>
      <c r="F1804" s="26" t="s">
        <v>1723</v>
      </c>
      <c r="G1804" s="26">
        <f t="shared" si="28"/>
        <v>-50599.01</v>
      </c>
    </row>
    <row r="1805" spans="1:7" x14ac:dyDescent="0.2">
      <c r="A1805" s="26">
        <v>93</v>
      </c>
      <c r="B1805" s="26">
        <v>57</v>
      </c>
      <c r="C1805" s="26">
        <v>150</v>
      </c>
      <c r="D1805" s="26" t="s">
        <v>1429</v>
      </c>
      <c r="E1805" s="26" t="s">
        <v>1206</v>
      </c>
      <c r="F1805" s="26" t="s">
        <v>1723</v>
      </c>
      <c r="G1805" s="26">
        <f t="shared" si="28"/>
        <v>-57035.01</v>
      </c>
    </row>
    <row r="1806" spans="1:7" x14ac:dyDescent="0.2">
      <c r="A1806" s="26">
        <v>92</v>
      </c>
      <c r="B1806" s="26">
        <v>58</v>
      </c>
      <c r="C1806" s="26">
        <v>150</v>
      </c>
      <c r="D1806" s="26" t="s">
        <v>1677</v>
      </c>
      <c r="E1806" s="26">
        <v>-64823.663</v>
      </c>
      <c r="F1806" s="26">
        <v>47.814</v>
      </c>
      <c r="G1806" s="26">
        <f t="shared" si="28"/>
        <v>-64823.663</v>
      </c>
    </row>
    <row r="1807" spans="1:7" x14ac:dyDescent="0.2">
      <c r="A1807" s="26">
        <v>91</v>
      </c>
      <c r="B1807" s="26">
        <v>59</v>
      </c>
      <c r="C1807" s="26">
        <v>150</v>
      </c>
      <c r="D1807" s="26" t="s">
        <v>1678</v>
      </c>
      <c r="E1807" s="26">
        <v>-68303.663</v>
      </c>
      <c r="F1807" s="26">
        <v>26.193999999999999</v>
      </c>
      <c r="G1807" s="26">
        <f t="shared" si="28"/>
        <v>-68303.663</v>
      </c>
    </row>
    <row r="1808" spans="1:7" x14ac:dyDescent="0.2">
      <c r="A1808" s="26">
        <v>90</v>
      </c>
      <c r="B1808" s="26">
        <v>60</v>
      </c>
      <c r="C1808" s="26">
        <v>150</v>
      </c>
      <c r="D1808" s="26" t="s">
        <v>1679</v>
      </c>
      <c r="E1808" s="26">
        <v>-73689.663</v>
      </c>
      <c r="F1808" s="26">
        <v>3.1840000000000002</v>
      </c>
      <c r="G1808" s="26">
        <f t="shared" si="28"/>
        <v>-73689.663</v>
      </c>
    </row>
    <row r="1809" spans="1:7" x14ac:dyDescent="0.2">
      <c r="A1809" s="26">
        <v>89</v>
      </c>
      <c r="B1809" s="26">
        <v>61</v>
      </c>
      <c r="C1809" s="26">
        <v>150</v>
      </c>
      <c r="D1809" s="26" t="s">
        <v>1680</v>
      </c>
      <c r="E1809" s="26">
        <v>-73603.339000000007</v>
      </c>
      <c r="F1809" s="26">
        <v>20.146999999999998</v>
      </c>
      <c r="G1809" s="26">
        <f t="shared" si="28"/>
        <v>-73603.339000000007</v>
      </c>
    </row>
    <row r="1810" spans="1:7" x14ac:dyDescent="0.2">
      <c r="A1810" s="26">
        <v>88</v>
      </c>
      <c r="B1810" s="26">
        <v>62</v>
      </c>
      <c r="C1810" s="26">
        <v>150</v>
      </c>
      <c r="D1810" s="26" t="s">
        <v>1681</v>
      </c>
      <c r="E1810" s="26">
        <v>-77057.339000000007</v>
      </c>
      <c r="F1810" s="26">
        <v>2.4329999999999998</v>
      </c>
      <c r="G1810" s="26">
        <f t="shared" si="28"/>
        <v>-77057.339000000007</v>
      </c>
    </row>
    <row r="1811" spans="1:7" x14ac:dyDescent="0.2">
      <c r="A1811" s="26">
        <v>87</v>
      </c>
      <c r="B1811" s="26">
        <v>63</v>
      </c>
      <c r="C1811" s="26">
        <v>150</v>
      </c>
      <c r="D1811" s="26" t="s">
        <v>1682</v>
      </c>
      <c r="E1811" s="26">
        <v>-74797.274000000005</v>
      </c>
      <c r="F1811" s="26">
        <v>6.4969999999999999</v>
      </c>
      <c r="G1811" s="26">
        <f t="shared" si="28"/>
        <v>-74797.274000000005</v>
      </c>
    </row>
    <row r="1812" spans="1:7" x14ac:dyDescent="0.2">
      <c r="A1812" s="26">
        <v>86</v>
      </c>
      <c r="B1812" s="26">
        <v>64</v>
      </c>
      <c r="C1812" s="26">
        <v>150</v>
      </c>
      <c r="D1812" s="26" t="s">
        <v>1683</v>
      </c>
      <c r="E1812" s="26">
        <v>-75768.769</v>
      </c>
      <c r="F1812" s="26">
        <v>6.3170000000000002</v>
      </c>
      <c r="G1812" s="26">
        <f t="shared" si="28"/>
        <v>-75768.769</v>
      </c>
    </row>
    <row r="1813" spans="1:7" x14ac:dyDescent="0.2">
      <c r="A1813" s="26">
        <v>85</v>
      </c>
      <c r="B1813" s="26">
        <v>65</v>
      </c>
      <c r="C1813" s="26">
        <v>150</v>
      </c>
      <c r="D1813" s="26" t="s">
        <v>1684</v>
      </c>
      <c r="E1813" s="26">
        <v>-71110.544999999998</v>
      </c>
      <c r="F1813" s="26">
        <v>7.556</v>
      </c>
      <c r="G1813" s="26">
        <f t="shared" si="28"/>
        <v>-71110.544999999998</v>
      </c>
    </row>
    <row r="1814" spans="1:7" x14ac:dyDescent="0.2">
      <c r="A1814" s="26">
        <v>84</v>
      </c>
      <c r="B1814" s="26">
        <v>66</v>
      </c>
      <c r="C1814" s="26">
        <v>150</v>
      </c>
      <c r="D1814" s="26" t="s">
        <v>1685</v>
      </c>
      <c r="E1814" s="26">
        <v>-69316.955000000002</v>
      </c>
      <c r="F1814" s="26">
        <v>4.91</v>
      </c>
      <c r="G1814" s="26">
        <f t="shared" si="28"/>
        <v>-69316.955000000002</v>
      </c>
    </row>
    <row r="1815" spans="1:7" x14ac:dyDescent="0.2">
      <c r="A1815" s="26">
        <v>83</v>
      </c>
      <c r="B1815" s="26">
        <v>67</v>
      </c>
      <c r="C1815" s="26">
        <v>150</v>
      </c>
      <c r="D1815" s="26" t="s">
        <v>1686</v>
      </c>
      <c r="E1815" s="26">
        <v>-61947.908000000003</v>
      </c>
      <c r="F1815" s="26">
        <v>14.182</v>
      </c>
      <c r="G1815" s="26">
        <f t="shared" si="28"/>
        <v>-61947.908000000003</v>
      </c>
    </row>
    <row r="1816" spans="1:7" x14ac:dyDescent="0.2">
      <c r="A1816" s="26">
        <v>82</v>
      </c>
      <c r="B1816" s="26">
        <v>68</v>
      </c>
      <c r="C1816" s="26">
        <v>150</v>
      </c>
      <c r="D1816" s="26" t="s">
        <v>1687</v>
      </c>
      <c r="E1816" s="26">
        <v>-57832.887000000002</v>
      </c>
      <c r="F1816" s="26">
        <v>17.201000000000001</v>
      </c>
      <c r="G1816" s="26">
        <f t="shared" si="28"/>
        <v>-57832.887000000002</v>
      </c>
    </row>
    <row r="1817" spans="1:7" x14ac:dyDescent="0.2">
      <c r="A1817" s="26">
        <v>81</v>
      </c>
      <c r="B1817" s="26">
        <v>69</v>
      </c>
      <c r="C1817" s="26">
        <v>150</v>
      </c>
      <c r="D1817" s="26" t="s">
        <v>1688</v>
      </c>
      <c r="E1817" s="26" t="s">
        <v>1207</v>
      </c>
      <c r="F1817" s="26" t="s">
        <v>1480</v>
      </c>
      <c r="G1817" s="26">
        <f t="shared" si="28"/>
        <v>-46612.01</v>
      </c>
    </row>
    <row r="1818" spans="1:7" x14ac:dyDescent="0.2">
      <c r="A1818" s="26">
        <v>80</v>
      </c>
      <c r="B1818" s="26">
        <v>70</v>
      </c>
      <c r="C1818" s="26">
        <v>150</v>
      </c>
      <c r="D1818" s="26" t="s">
        <v>1689</v>
      </c>
      <c r="E1818" s="26" t="s">
        <v>1208</v>
      </c>
      <c r="F1818" s="26" t="s">
        <v>1723</v>
      </c>
      <c r="G1818" s="26">
        <f t="shared" si="28"/>
        <v>-38732.01</v>
      </c>
    </row>
    <row r="1819" spans="1:7" x14ac:dyDescent="0.2">
      <c r="A1819" s="26">
        <v>79</v>
      </c>
      <c r="B1819" s="26">
        <v>71</v>
      </c>
      <c r="C1819" s="26">
        <v>150</v>
      </c>
      <c r="D1819" s="26" t="s">
        <v>1690</v>
      </c>
      <c r="E1819" s="26" t="s">
        <v>1209</v>
      </c>
      <c r="F1819" s="26" t="s">
        <v>1728</v>
      </c>
      <c r="G1819" s="26">
        <f t="shared" si="28"/>
        <v>-24938.01</v>
      </c>
    </row>
    <row r="1820" spans="1:7" x14ac:dyDescent="0.2">
      <c r="A1820" s="26">
        <v>96</v>
      </c>
      <c r="B1820" s="26">
        <v>55</v>
      </c>
      <c r="C1820" s="26">
        <v>151</v>
      </c>
      <c r="D1820" s="26" t="s">
        <v>1427</v>
      </c>
      <c r="E1820" s="26" t="s">
        <v>1210</v>
      </c>
      <c r="F1820" s="26" t="s">
        <v>1728</v>
      </c>
      <c r="G1820" s="26">
        <f t="shared" si="28"/>
        <v>-35220.01</v>
      </c>
    </row>
    <row r="1821" spans="1:7" x14ac:dyDescent="0.2">
      <c r="A1821" s="26">
        <v>95</v>
      </c>
      <c r="B1821" s="26">
        <v>56</v>
      </c>
      <c r="C1821" s="26">
        <v>151</v>
      </c>
      <c r="D1821" s="26" t="s">
        <v>1428</v>
      </c>
      <c r="E1821" s="26" t="s">
        <v>1211</v>
      </c>
      <c r="F1821" s="26" t="s">
        <v>1723</v>
      </c>
      <c r="G1821" s="26">
        <f t="shared" si="28"/>
        <v>-45820.01</v>
      </c>
    </row>
    <row r="1822" spans="1:7" x14ac:dyDescent="0.2">
      <c r="A1822" s="26">
        <v>94</v>
      </c>
      <c r="B1822" s="26">
        <v>57</v>
      </c>
      <c r="C1822" s="26">
        <v>151</v>
      </c>
      <c r="D1822" s="26" t="s">
        <v>1429</v>
      </c>
      <c r="E1822" s="26" t="s">
        <v>1647</v>
      </c>
      <c r="F1822" s="26" t="s">
        <v>1723</v>
      </c>
      <c r="G1822" s="26">
        <f t="shared" si="28"/>
        <v>-54287.01</v>
      </c>
    </row>
    <row r="1823" spans="1:7" x14ac:dyDescent="0.2">
      <c r="A1823" s="26">
        <v>93</v>
      </c>
      <c r="B1823" s="26">
        <v>58</v>
      </c>
      <c r="C1823" s="26">
        <v>151</v>
      </c>
      <c r="D1823" s="26" t="s">
        <v>1677</v>
      </c>
      <c r="E1823" s="26">
        <v>-61500.777000000002</v>
      </c>
      <c r="F1823" s="26">
        <v>102.629</v>
      </c>
      <c r="G1823" s="26">
        <f t="shared" si="28"/>
        <v>-61500.777000000002</v>
      </c>
    </row>
    <row r="1824" spans="1:7" x14ac:dyDescent="0.2">
      <c r="A1824" s="26">
        <v>92</v>
      </c>
      <c r="B1824" s="26">
        <v>59</v>
      </c>
      <c r="C1824" s="26">
        <v>151</v>
      </c>
      <c r="D1824" s="26" t="s">
        <v>1678</v>
      </c>
      <c r="E1824" s="26">
        <v>-66770.777000000002</v>
      </c>
      <c r="F1824" s="26">
        <v>23.079000000000001</v>
      </c>
      <c r="G1824" s="26">
        <f t="shared" si="28"/>
        <v>-66770.777000000002</v>
      </c>
    </row>
    <row r="1825" spans="1:7" x14ac:dyDescent="0.2">
      <c r="A1825" s="26">
        <v>91</v>
      </c>
      <c r="B1825" s="26">
        <v>60</v>
      </c>
      <c r="C1825" s="26">
        <v>151</v>
      </c>
      <c r="D1825" s="26" t="s">
        <v>1679</v>
      </c>
      <c r="E1825" s="26">
        <v>-70952.895999999993</v>
      </c>
      <c r="F1825" s="26">
        <v>3.1859999999999999</v>
      </c>
      <c r="G1825" s="26">
        <f t="shared" si="28"/>
        <v>-70952.895999999993</v>
      </c>
    </row>
    <row r="1826" spans="1:7" x14ac:dyDescent="0.2">
      <c r="A1826" s="26">
        <v>90</v>
      </c>
      <c r="B1826" s="26">
        <v>61</v>
      </c>
      <c r="C1826" s="26">
        <v>151</v>
      </c>
      <c r="D1826" s="26" t="s">
        <v>1680</v>
      </c>
      <c r="E1826" s="26">
        <v>-73395.232000000004</v>
      </c>
      <c r="F1826" s="26">
        <v>5.34</v>
      </c>
      <c r="G1826" s="26">
        <f t="shared" si="28"/>
        <v>-73395.232000000004</v>
      </c>
    </row>
    <row r="1827" spans="1:7" x14ac:dyDescent="0.2">
      <c r="A1827" s="26">
        <v>89</v>
      </c>
      <c r="B1827" s="26">
        <v>62</v>
      </c>
      <c r="C1827" s="26">
        <v>151</v>
      </c>
      <c r="D1827" s="26" t="s">
        <v>1681</v>
      </c>
      <c r="E1827" s="26">
        <v>-74582.481</v>
      </c>
      <c r="F1827" s="26">
        <v>2.4329999999999998</v>
      </c>
      <c r="G1827" s="26">
        <f t="shared" si="28"/>
        <v>-74582.481</v>
      </c>
    </row>
    <row r="1828" spans="1:7" x14ac:dyDescent="0.2">
      <c r="A1828" s="26">
        <v>88</v>
      </c>
      <c r="B1828" s="26">
        <v>63</v>
      </c>
      <c r="C1828" s="26">
        <v>151</v>
      </c>
      <c r="D1828" s="26" t="s">
        <v>1682</v>
      </c>
      <c r="E1828" s="26">
        <v>-74659.093999999997</v>
      </c>
      <c r="F1828" s="26">
        <v>2.4550000000000001</v>
      </c>
      <c r="G1828" s="26">
        <f t="shared" si="28"/>
        <v>-74659.093999999997</v>
      </c>
    </row>
    <row r="1829" spans="1:7" x14ac:dyDescent="0.2">
      <c r="A1829" s="26">
        <v>87</v>
      </c>
      <c r="B1829" s="26">
        <v>64</v>
      </c>
      <c r="C1829" s="26">
        <v>151</v>
      </c>
      <c r="D1829" s="26" t="s">
        <v>1683</v>
      </c>
      <c r="E1829" s="26">
        <v>-74194.910999999993</v>
      </c>
      <c r="F1829" s="26">
        <v>3.6739999999999999</v>
      </c>
      <c r="G1829" s="26">
        <f t="shared" si="28"/>
        <v>-74194.910999999993</v>
      </c>
    </row>
    <row r="1830" spans="1:7" x14ac:dyDescent="0.2">
      <c r="A1830" s="26">
        <v>86</v>
      </c>
      <c r="B1830" s="26">
        <v>65</v>
      </c>
      <c r="C1830" s="26">
        <v>151</v>
      </c>
      <c r="D1830" s="26" t="s">
        <v>1684</v>
      </c>
      <c r="E1830" s="26">
        <v>-71629.52</v>
      </c>
      <c r="F1830" s="26">
        <v>4.5819999999999999</v>
      </c>
      <c r="G1830" s="26">
        <f t="shared" si="28"/>
        <v>-71629.52</v>
      </c>
    </row>
    <row r="1831" spans="1:7" x14ac:dyDescent="0.2">
      <c r="A1831" s="26">
        <v>85</v>
      </c>
      <c r="B1831" s="26">
        <v>66</v>
      </c>
      <c r="C1831" s="26">
        <v>151</v>
      </c>
      <c r="D1831" s="26" t="s">
        <v>1685</v>
      </c>
      <c r="E1831" s="26">
        <v>-68758.600999999995</v>
      </c>
      <c r="F1831" s="26">
        <v>4.0199999999999996</v>
      </c>
      <c r="G1831" s="26">
        <f t="shared" si="28"/>
        <v>-68758.600999999995</v>
      </c>
    </row>
    <row r="1832" spans="1:7" x14ac:dyDescent="0.2">
      <c r="A1832" s="26">
        <v>84</v>
      </c>
      <c r="B1832" s="26">
        <v>67</v>
      </c>
      <c r="C1832" s="26">
        <v>151</v>
      </c>
      <c r="D1832" s="26" t="s">
        <v>1686</v>
      </c>
      <c r="E1832" s="26">
        <v>-63632.086000000003</v>
      </c>
      <c r="F1832" s="26">
        <v>12.053000000000001</v>
      </c>
      <c r="G1832" s="26">
        <f t="shared" si="28"/>
        <v>-63632.086000000003</v>
      </c>
    </row>
    <row r="1833" spans="1:7" x14ac:dyDescent="0.2">
      <c r="A1833" s="26">
        <v>83</v>
      </c>
      <c r="B1833" s="26">
        <v>68</v>
      </c>
      <c r="C1833" s="26">
        <v>151</v>
      </c>
      <c r="D1833" s="26" t="s">
        <v>1687</v>
      </c>
      <c r="E1833" s="26">
        <v>-58265.970999999998</v>
      </c>
      <c r="F1833" s="26">
        <v>16.47</v>
      </c>
      <c r="G1833" s="26">
        <f t="shared" si="28"/>
        <v>-58265.970999999998</v>
      </c>
    </row>
    <row r="1834" spans="1:7" x14ac:dyDescent="0.2">
      <c r="A1834" s="26">
        <v>82</v>
      </c>
      <c r="B1834" s="26">
        <v>69</v>
      </c>
      <c r="C1834" s="26">
        <v>151</v>
      </c>
      <c r="D1834" s="26" t="s">
        <v>1688</v>
      </c>
      <c r="E1834" s="26">
        <v>-50781.802000000003</v>
      </c>
      <c r="F1834" s="26">
        <v>20.251999999999999</v>
      </c>
      <c r="G1834" s="26">
        <f t="shared" si="28"/>
        <v>-50781.802000000003</v>
      </c>
    </row>
    <row r="1835" spans="1:7" x14ac:dyDescent="0.2">
      <c r="A1835" s="26">
        <v>81</v>
      </c>
      <c r="B1835" s="26">
        <v>70</v>
      </c>
      <c r="C1835" s="26">
        <v>151</v>
      </c>
      <c r="D1835" s="26" t="s">
        <v>1689</v>
      </c>
      <c r="E1835" s="26">
        <v>-41543.915999999997</v>
      </c>
      <c r="F1835" s="26">
        <v>300.49299999999999</v>
      </c>
      <c r="G1835" s="26">
        <f t="shared" si="28"/>
        <v>-41543.915999999997</v>
      </c>
    </row>
    <row r="1836" spans="1:7" x14ac:dyDescent="0.2">
      <c r="A1836" s="26">
        <v>80</v>
      </c>
      <c r="B1836" s="26">
        <v>71</v>
      </c>
      <c r="C1836" s="26">
        <v>151</v>
      </c>
      <c r="D1836" s="26" t="s">
        <v>1690</v>
      </c>
      <c r="E1836" s="26" t="s">
        <v>1212</v>
      </c>
      <c r="F1836" s="26" t="s">
        <v>1723</v>
      </c>
      <c r="G1836" s="26">
        <f t="shared" si="28"/>
        <v>-30202.01</v>
      </c>
    </row>
    <row r="1837" spans="1:7" x14ac:dyDescent="0.2">
      <c r="A1837" s="26">
        <v>96</v>
      </c>
      <c r="B1837" s="26">
        <v>56</v>
      </c>
      <c r="C1837" s="26">
        <v>152</v>
      </c>
      <c r="D1837" s="26" t="s">
        <v>1428</v>
      </c>
      <c r="E1837" s="26" t="s">
        <v>1213</v>
      </c>
      <c r="F1837" s="26" t="s">
        <v>1728</v>
      </c>
      <c r="G1837" s="26">
        <f t="shared" si="28"/>
        <v>-42597.01</v>
      </c>
    </row>
    <row r="1838" spans="1:7" x14ac:dyDescent="0.2">
      <c r="A1838" s="26">
        <v>95</v>
      </c>
      <c r="B1838" s="26">
        <v>57</v>
      </c>
      <c r="C1838" s="26">
        <v>152</v>
      </c>
      <c r="D1838" s="26" t="s">
        <v>1429</v>
      </c>
      <c r="E1838" s="26" t="s">
        <v>1214</v>
      </c>
      <c r="F1838" s="26" t="s">
        <v>1723</v>
      </c>
      <c r="G1838" s="26">
        <f t="shared" si="28"/>
        <v>-50068.01</v>
      </c>
    </row>
    <row r="1839" spans="1:7" x14ac:dyDescent="0.2">
      <c r="A1839" s="26">
        <v>94</v>
      </c>
      <c r="B1839" s="26">
        <v>58</v>
      </c>
      <c r="C1839" s="26">
        <v>152</v>
      </c>
      <c r="D1839" s="26" t="s">
        <v>1677</v>
      </c>
      <c r="E1839" s="26" t="s">
        <v>1215</v>
      </c>
      <c r="F1839" s="26" t="s">
        <v>1480</v>
      </c>
      <c r="G1839" s="26">
        <f t="shared" si="28"/>
        <v>-59113.01</v>
      </c>
    </row>
    <row r="1840" spans="1:7" x14ac:dyDescent="0.2">
      <c r="A1840" s="26">
        <v>93</v>
      </c>
      <c r="B1840" s="26">
        <v>59</v>
      </c>
      <c r="C1840" s="26">
        <v>152</v>
      </c>
      <c r="D1840" s="26" t="s">
        <v>1678</v>
      </c>
      <c r="E1840" s="26">
        <v>-63808.061000000002</v>
      </c>
      <c r="F1840" s="26">
        <v>122.497</v>
      </c>
      <c r="G1840" s="26">
        <f t="shared" si="28"/>
        <v>-63808.061000000002</v>
      </c>
    </row>
    <row r="1841" spans="1:7" x14ac:dyDescent="0.2">
      <c r="A1841" s="26">
        <v>92</v>
      </c>
      <c r="B1841" s="26">
        <v>60</v>
      </c>
      <c r="C1841" s="26">
        <v>152</v>
      </c>
      <c r="D1841" s="26" t="s">
        <v>1679</v>
      </c>
      <c r="E1841" s="26">
        <v>-70158.061000000002</v>
      </c>
      <c r="F1841" s="26">
        <v>24.609000000000002</v>
      </c>
      <c r="G1841" s="26">
        <f t="shared" si="28"/>
        <v>-70158.061000000002</v>
      </c>
    </row>
    <row r="1842" spans="1:7" x14ac:dyDescent="0.2">
      <c r="A1842" s="26">
        <v>91</v>
      </c>
      <c r="B1842" s="26">
        <v>61</v>
      </c>
      <c r="C1842" s="26">
        <v>152</v>
      </c>
      <c r="D1842" s="26" t="s">
        <v>1680</v>
      </c>
      <c r="E1842" s="26">
        <v>-71262.275999999998</v>
      </c>
      <c r="F1842" s="26">
        <v>26.015999999999998</v>
      </c>
      <c r="G1842" s="26">
        <f t="shared" si="28"/>
        <v>-71262.275999999998</v>
      </c>
    </row>
    <row r="1843" spans="1:7" x14ac:dyDescent="0.2">
      <c r="A1843" s="26">
        <v>90</v>
      </c>
      <c r="B1843" s="26">
        <v>62</v>
      </c>
      <c r="C1843" s="26">
        <v>152</v>
      </c>
      <c r="D1843" s="26" t="s">
        <v>1681</v>
      </c>
      <c r="E1843" s="26">
        <v>-74768.764999999999</v>
      </c>
      <c r="F1843" s="26">
        <v>2.4710000000000001</v>
      </c>
      <c r="G1843" s="26">
        <f t="shared" si="28"/>
        <v>-74768.764999999999</v>
      </c>
    </row>
    <row r="1844" spans="1:7" x14ac:dyDescent="0.2">
      <c r="A1844" s="26">
        <v>89</v>
      </c>
      <c r="B1844" s="26">
        <v>63</v>
      </c>
      <c r="C1844" s="26">
        <v>152</v>
      </c>
      <c r="D1844" s="26" t="s">
        <v>1682</v>
      </c>
      <c r="E1844" s="26">
        <v>-72894.497000000003</v>
      </c>
      <c r="F1844" s="26">
        <v>2.4550000000000001</v>
      </c>
      <c r="G1844" s="26">
        <f t="shared" si="28"/>
        <v>-72894.497000000003</v>
      </c>
    </row>
    <row r="1845" spans="1:7" x14ac:dyDescent="0.2">
      <c r="A1845" s="26">
        <v>88</v>
      </c>
      <c r="B1845" s="26">
        <v>64</v>
      </c>
      <c r="C1845" s="26">
        <v>152</v>
      </c>
      <c r="D1845" s="26" t="s">
        <v>1683</v>
      </c>
      <c r="E1845" s="26">
        <v>-74714.206000000006</v>
      </c>
      <c r="F1845" s="26">
        <v>2.5129999999999999</v>
      </c>
      <c r="G1845" s="26">
        <f t="shared" si="28"/>
        <v>-74714.206000000006</v>
      </c>
    </row>
    <row r="1846" spans="1:7" x14ac:dyDescent="0.2">
      <c r="A1846" s="26">
        <v>87</v>
      </c>
      <c r="B1846" s="26">
        <v>65</v>
      </c>
      <c r="C1846" s="26">
        <v>152</v>
      </c>
      <c r="D1846" s="26" t="s">
        <v>1684</v>
      </c>
      <c r="E1846" s="26">
        <v>-70724.206000000006</v>
      </c>
      <c r="F1846" s="26">
        <v>40.079000000000001</v>
      </c>
      <c r="G1846" s="26">
        <f t="shared" si="28"/>
        <v>-70724.206000000006</v>
      </c>
    </row>
    <row r="1847" spans="1:7" x14ac:dyDescent="0.2">
      <c r="A1847" s="26">
        <v>86</v>
      </c>
      <c r="B1847" s="26">
        <v>66</v>
      </c>
      <c r="C1847" s="26">
        <v>152</v>
      </c>
      <c r="D1847" s="26" t="s">
        <v>1685</v>
      </c>
      <c r="E1847" s="26">
        <v>-70124.452000000005</v>
      </c>
      <c r="F1847" s="26">
        <v>5.181</v>
      </c>
      <c r="G1847" s="26">
        <f t="shared" si="28"/>
        <v>-70124.452000000005</v>
      </c>
    </row>
    <row r="1848" spans="1:7" x14ac:dyDescent="0.2">
      <c r="A1848" s="26">
        <v>85</v>
      </c>
      <c r="B1848" s="26">
        <v>67</v>
      </c>
      <c r="C1848" s="26">
        <v>152</v>
      </c>
      <c r="D1848" s="26" t="s">
        <v>1686</v>
      </c>
      <c r="E1848" s="26">
        <v>-63608.266000000003</v>
      </c>
      <c r="F1848" s="26">
        <v>13.971</v>
      </c>
      <c r="G1848" s="26">
        <f t="shared" si="28"/>
        <v>-63608.266000000003</v>
      </c>
    </row>
    <row r="1849" spans="1:7" x14ac:dyDescent="0.2">
      <c r="A1849" s="26">
        <v>84</v>
      </c>
      <c r="B1849" s="26">
        <v>68</v>
      </c>
      <c r="C1849" s="26">
        <v>152</v>
      </c>
      <c r="D1849" s="26" t="s">
        <v>1687</v>
      </c>
      <c r="E1849" s="26">
        <v>-60500.173000000003</v>
      </c>
      <c r="F1849" s="26">
        <v>10.706</v>
      </c>
      <c r="G1849" s="26">
        <f t="shared" si="28"/>
        <v>-60500.173000000003</v>
      </c>
    </row>
    <row r="1850" spans="1:7" x14ac:dyDescent="0.2">
      <c r="A1850" s="26">
        <v>83</v>
      </c>
      <c r="B1850" s="26">
        <v>69</v>
      </c>
      <c r="C1850" s="26">
        <v>152</v>
      </c>
      <c r="D1850" s="26" t="s">
        <v>1688</v>
      </c>
      <c r="E1850" s="26">
        <v>-51770.574000000001</v>
      </c>
      <c r="F1850" s="26">
        <v>73.587999999999994</v>
      </c>
      <c r="G1850" s="26">
        <f t="shared" si="28"/>
        <v>-51770.574000000001</v>
      </c>
    </row>
    <row r="1851" spans="1:7" x14ac:dyDescent="0.2">
      <c r="A1851" s="26">
        <v>82</v>
      </c>
      <c r="B1851" s="26">
        <v>70</v>
      </c>
      <c r="C1851" s="26">
        <v>152</v>
      </c>
      <c r="D1851" s="26" t="s">
        <v>1689</v>
      </c>
      <c r="E1851" s="26">
        <v>-46305.574000000001</v>
      </c>
      <c r="F1851" s="26">
        <v>208.423</v>
      </c>
      <c r="G1851" s="26">
        <f t="shared" si="28"/>
        <v>-46305.574000000001</v>
      </c>
    </row>
    <row r="1852" spans="1:7" x14ac:dyDescent="0.2">
      <c r="A1852" s="26">
        <v>81</v>
      </c>
      <c r="B1852" s="26">
        <v>71</v>
      </c>
      <c r="C1852" s="26">
        <v>152</v>
      </c>
      <c r="D1852" s="26" t="s">
        <v>1690</v>
      </c>
      <c r="E1852" s="26" t="s">
        <v>911</v>
      </c>
      <c r="F1852" s="26" t="s">
        <v>1480</v>
      </c>
      <c r="G1852" s="26">
        <f t="shared" si="28"/>
        <v>-33422.01</v>
      </c>
    </row>
    <row r="1853" spans="1:7" x14ac:dyDescent="0.2">
      <c r="A1853" s="26">
        <v>97</v>
      </c>
      <c r="B1853" s="26">
        <v>56</v>
      </c>
      <c r="C1853" s="26">
        <v>153</v>
      </c>
      <c r="D1853" s="26" t="s">
        <v>1428</v>
      </c>
      <c r="E1853" s="26" t="s">
        <v>1371</v>
      </c>
      <c r="F1853" s="26" t="s">
        <v>1725</v>
      </c>
      <c r="G1853" s="26">
        <f t="shared" si="28"/>
        <v>-37623.01</v>
      </c>
    </row>
    <row r="1854" spans="1:7" x14ac:dyDescent="0.2">
      <c r="A1854" s="26">
        <v>96</v>
      </c>
      <c r="B1854" s="26">
        <v>57</v>
      </c>
      <c r="C1854" s="26">
        <v>153</v>
      </c>
      <c r="D1854" s="26" t="s">
        <v>1429</v>
      </c>
      <c r="E1854" s="26" t="s">
        <v>1579</v>
      </c>
      <c r="F1854" s="26" t="s">
        <v>1505</v>
      </c>
      <c r="G1854" s="26">
        <f t="shared" si="28"/>
        <v>-46929.01</v>
      </c>
    </row>
    <row r="1855" spans="1:7" x14ac:dyDescent="0.2">
      <c r="A1855" s="26">
        <v>95</v>
      </c>
      <c r="B1855" s="26">
        <v>58</v>
      </c>
      <c r="C1855" s="26">
        <v>153</v>
      </c>
      <c r="D1855" s="26" t="s">
        <v>1677</v>
      </c>
      <c r="E1855" s="26" t="s">
        <v>1372</v>
      </c>
      <c r="F1855" s="26" t="s">
        <v>1723</v>
      </c>
      <c r="G1855" s="26">
        <f t="shared" si="28"/>
        <v>-55349.01</v>
      </c>
    </row>
    <row r="1856" spans="1:7" x14ac:dyDescent="0.2">
      <c r="A1856" s="26">
        <v>94</v>
      </c>
      <c r="B1856" s="26">
        <v>59</v>
      </c>
      <c r="C1856" s="26">
        <v>153</v>
      </c>
      <c r="D1856" s="26" t="s">
        <v>1678</v>
      </c>
      <c r="E1856" s="26">
        <v>-61628.663</v>
      </c>
      <c r="F1856" s="26">
        <v>103.673</v>
      </c>
      <c r="G1856" s="26">
        <f t="shared" si="28"/>
        <v>-61628.663</v>
      </c>
    </row>
    <row r="1857" spans="1:7" x14ac:dyDescent="0.2">
      <c r="A1857" s="26">
        <v>93</v>
      </c>
      <c r="B1857" s="26">
        <v>60</v>
      </c>
      <c r="C1857" s="26">
        <v>153</v>
      </c>
      <c r="D1857" s="26" t="s">
        <v>1679</v>
      </c>
      <c r="E1857" s="26">
        <v>-67348.663</v>
      </c>
      <c r="F1857" s="26">
        <v>27.352</v>
      </c>
      <c r="G1857" s="26">
        <f t="shared" si="28"/>
        <v>-67348.663</v>
      </c>
    </row>
    <row r="1858" spans="1:7" x14ac:dyDescent="0.2">
      <c r="A1858" s="26">
        <v>92</v>
      </c>
      <c r="B1858" s="26">
        <v>61</v>
      </c>
      <c r="C1858" s="26">
        <v>153</v>
      </c>
      <c r="D1858" s="26" t="s">
        <v>1680</v>
      </c>
      <c r="E1858" s="26">
        <v>-70684.663</v>
      </c>
      <c r="F1858" s="26">
        <v>11.097</v>
      </c>
      <c r="G1858" s="26">
        <f t="shared" si="28"/>
        <v>-70684.663</v>
      </c>
    </row>
    <row r="1859" spans="1:7" x14ac:dyDescent="0.2">
      <c r="A1859" s="26">
        <v>91</v>
      </c>
      <c r="B1859" s="26">
        <v>62</v>
      </c>
      <c r="C1859" s="26">
        <v>153</v>
      </c>
      <c r="D1859" s="26" t="s">
        <v>1681</v>
      </c>
      <c r="E1859" s="26">
        <v>-72565.846000000005</v>
      </c>
      <c r="F1859" s="26">
        <v>2.4740000000000002</v>
      </c>
      <c r="G1859" s="26">
        <f t="shared" si="28"/>
        <v>-72565.846000000005</v>
      </c>
    </row>
    <row r="1860" spans="1:7" x14ac:dyDescent="0.2">
      <c r="A1860" s="26">
        <v>90</v>
      </c>
      <c r="B1860" s="26">
        <v>63</v>
      </c>
      <c r="C1860" s="26">
        <v>153</v>
      </c>
      <c r="D1860" s="26" t="s">
        <v>1682</v>
      </c>
      <c r="E1860" s="26">
        <v>-73373.467000000004</v>
      </c>
      <c r="F1860" s="26">
        <v>2.4569999999999999</v>
      </c>
      <c r="G1860" s="26">
        <f t="shared" si="28"/>
        <v>-73373.467000000004</v>
      </c>
    </row>
    <row r="1861" spans="1:7" x14ac:dyDescent="0.2">
      <c r="A1861" s="26">
        <v>89</v>
      </c>
      <c r="B1861" s="26">
        <v>64</v>
      </c>
      <c r="C1861" s="26">
        <v>153</v>
      </c>
      <c r="D1861" s="26" t="s">
        <v>1683</v>
      </c>
      <c r="E1861" s="26">
        <v>-72889.831000000006</v>
      </c>
      <c r="F1861" s="26">
        <v>2.5089999999999999</v>
      </c>
      <c r="G1861" s="26">
        <f t="shared" si="28"/>
        <v>-72889.831000000006</v>
      </c>
    </row>
    <row r="1862" spans="1:7" x14ac:dyDescent="0.2">
      <c r="A1862" s="26">
        <v>88</v>
      </c>
      <c r="B1862" s="26">
        <v>65</v>
      </c>
      <c r="C1862" s="26">
        <v>153</v>
      </c>
      <c r="D1862" s="26" t="s">
        <v>1684</v>
      </c>
      <c r="E1862" s="26">
        <v>-71320.221999999994</v>
      </c>
      <c r="F1862" s="26">
        <v>4.4909999999999997</v>
      </c>
      <c r="G1862" s="26">
        <f t="shared" si="28"/>
        <v>-71320.221999999994</v>
      </c>
    </row>
    <row r="1863" spans="1:7" x14ac:dyDescent="0.2">
      <c r="A1863" s="26">
        <v>87</v>
      </c>
      <c r="B1863" s="26">
        <v>66</v>
      </c>
      <c r="C1863" s="26">
        <v>153</v>
      </c>
      <c r="D1863" s="26" t="s">
        <v>1685</v>
      </c>
      <c r="E1863" s="26">
        <v>-69149.763999999996</v>
      </c>
      <c r="F1863" s="26">
        <v>4.5350000000000001</v>
      </c>
      <c r="G1863" s="26">
        <f t="shared" si="28"/>
        <v>-69149.763999999996</v>
      </c>
    </row>
    <row r="1864" spans="1:7" x14ac:dyDescent="0.2">
      <c r="A1864" s="26">
        <v>86</v>
      </c>
      <c r="B1864" s="26">
        <v>67</v>
      </c>
      <c r="C1864" s="26">
        <v>153</v>
      </c>
      <c r="D1864" s="26" t="s">
        <v>1686</v>
      </c>
      <c r="E1864" s="26">
        <v>-65019.41</v>
      </c>
      <c r="F1864" s="26">
        <v>5.5540000000000003</v>
      </c>
      <c r="G1864" s="26">
        <f t="shared" si="28"/>
        <v>-65019.41</v>
      </c>
    </row>
    <row r="1865" spans="1:7" x14ac:dyDescent="0.2">
      <c r="A1865" s="26">
        <v>85</v>
      </c>
      <c r="B1865" s="26">
        <v>68</v>
      </c>
      <c r="C1865" s="26">
        <v>153</v>
      </c>
      <c r="D1865" s="26" t="s">
        <v>1687</v>
      </c>
      <c r="E1865" s="26">
        <v>-60487.968000000001</v>
      </c>
      <c r="F1865" s="26">
        <v>8.8279999999999994</v>
      </c>
      <c r="G1865" s="26">
        <f t="shared" si="28"/>
        <v>-60487.968000000001</v>
      </c>
    </row>
    <row r="1866" spans="1:7" x14ac:dyDescent="0.2">
      <c r="A1866" s="26">
        <v>84</v>
      </c>
      <c r="B1866" s="26">
        <v>69</v>
      </c>
      <c r="C1866" s="26">
        <v>153</v>
      </c>
      <c r="D1866" s="26" t="s">
        <v>1688</v>
      </c>
      <c r="E1866" s="26">
        <v>-54015.37</v>
      </c>
      <c r="F1866" s="26">
        <v>18.460999999999999</v>
      </c>
      <c r="G1866" s="26">
        <f t="shared" ref="G1866:G1929" si="29">IF(ISNUMBER(E1866),E1866,VALUE(SUBSTITUTE(E1866,"#",".01")))</f>
        <v>-54015.37</v>
      </c>
    </row>
    <row r="1867" spans="1:7" x14ac:dyDescent="0.2">
      <c r="A1867" s="26">
        <v>83</v>
      </c>
      <c r="B1867" s="26">
        <v>70</v>
      </c>
      <c r="C1867" s="26">
        <v>153</v>
      </c>
      <c r="D1867" s="26" t="s">
        <v>1689</v>
      </c>
      <c r="E1867" s="26" t="s">
        <v>1597</v>
      </c>
      <c r="F1867" s="26" t="s">
        <v>1480</v>
      </c>
      <c r="G1867" s="26">
        <f t="shared" si="29"/>
        <v>-47059.01</v>
      </c>
    </row>
    <row r="1868" spans="1:7" x14ac:dyDescent="0.2">
      <c r="A1868" s="26">
        <v>82</v>
      </c>
      <c r="B1868" s="26">
        <v>71</v>
      </c>
      <c r="C1868" s="26">
        <v>153</v>
      </c>
      <c r="D1868" s="26" t="s">
        <v>1690</v>
      </c>
      <c r="E1868" s="26">
        <v>-38407.983999999997</v>
      </c>
      <c r="F1868" s="26">
        <v>208.65799999999999</v>
      </c>
      <c r="G1868" s="26">
        <f t="shared" si="29"/>
        <v>-38407.983999999997</v>
      </c>
    </row>
    <row r="1869" spans="1:7" x14ac:dyDescent="0.2">
      <c r="A1869" s="26">
        <v>81</v>
      </c>
      <c r="B1869" s="26">
        <v>72</v>
      </c>
      <c r="C1869" s="26">
        <v>153</v>
      </c>
      <c r="D1869" s="26" t="s">
        <v>1691</v>
      </c>
      <c r="E1869" s="26" t="s">
        <v>912</v>
      </c>
      <c r="F1869" s="26" t="s">
        <v>1728</v>
      </c>
      <c r="G1869" s="26">
        <f t="shared" si="29"/>
        <v>-27302.01</v>
      </c>
    </row>
    <row r="1870" spans="1:7" x14ac:dyDescent="0.2">
      <c r="A1870" s="26">
        <v>97</v>
      </c>
      <c r="B1870" s="26">
        <v>57</v>
      </c>
      <c r="C1870" s="26">
        <v>154</v>
      </c>
      <c r="D1870" s="26" t="s">
        <v>1429</v>
      </c>
      <c r="E1870" s="26" t="s">
        <v>913</v>
      </c>
      <c r="F1870" s="26" t="s">
        <v>1505</v>
      </c>
      <c r="G1870" s="26">
        <f t="shared" si="29"/>
        <v>-42383.01</v>
      </c>
    </row>
    <row r="1871" spans="1:7" x14ac:dyDescent="0.2">
      <c r="A1871" s="26">
        <v>96</v>
      </c>
      <c r="B1871" s="26">
        <v>58</v>
      </c>
      <c r="C1871" s="26">
        <v>154</v>
      </c>
      <c r="D1871" s="26" t="s">
        <v>1677</v>
      </c>
      <c r="E1871" s="26" t="s">
        <v>800</v>
      </c>
      <c r="F1871" s="26" t="s">
        <v>1728</v>
      </c>
      <c r="G1871" s="26">
        <f t="shared" si="29"/>
        <v>-52704.01</v>
      </c>
    </row>
    <row r="1872" spans="1:7" x14ac:dyDescent="0.2">
      <c r="A1872" s="26">
        <v>95</v>
      </c>
      <c r="B1872" s="26">
        <v>59</v>
      </c>
      <c r="C1872" s="26">
        <v>154</v>
      </c>
      <c r="D1872" s="26" t="s">
        <v>1678</v>
      </c>
      <c r="E1872" s="26">
        <v>-58201.466</v>
      </c>
      <c r="F1872" s="26">
        <v>151.65100000000001</v>
      </c>
      <c r="G1872" s="26">
        <f t="shared" si="29"/>
        <v>-58201.466</v>
      </c>
    </row>
    <row r="1873" spans="1:7" x14ac:dyDescent="0.2">
      <c r="A1873" s="26">
        <v>94</v>
      </c>
      <c r="B1873" s="26">
        <v>60</v>
      </c>
      <c r="C1873" s="26">
        <v>154</v>
      </c>
      <c r="D1873" s="26" t="s">
        <v>1679</v>
      </c>
      <c r="E1873" s="26">
        <v>-65691.466</v>
      </c>
      <c r="F1873" s="26">
        <v>114.008</v>
      </c>
      <c r="G1873" s="26">
        <f t="shared" si="29"/>
        <v>-65691.466</v>
      </c>
    </row>
    <row r="1874" spans="1:7" x14ac:dyDescent="0.2">
      <c r="A1874" s="26">
        <v>93</v>
      </c>
      <c r="B1874" s="26">
        <v>61</v>
      </c>
      <c r="C1874" s="26">
        <v>154</v>
      </c>
      <c r="D1874" s="26" t="s">
        <v>1680</v>
      </c>
      <c r="E1874" s="26">
        <v>-68498.395999999993</v>
      </c>
      <c r="F1874" s="26">
        <v>44.793999999999997</v>
      </c>
      <c r="G1874" s="26">
        <f t="shared" si="29"/>
        <v>-68498.395999999993</v>
      </c>
    </row>
    <row r="1875" spans="1:7" x14ac:dyDescent="0.2">
      <c r="A1875" s="26">
        <v>92</v>
      </c>
      <c r="B1875" s="26">
        <v>62</v>
      </c>
      <c r="C1875" s="26">
        <v>154</v>
      </c>
      <c r="D1875" s="26" t="s">
        <v>1681</v>
      </c>
      <c r="E1875" s="26">
        <v>-72461.596000000005</v>
      </c>
      <c r="F1875" s="26">
        <v>2.548</v>
      </c>
      <c r="G1875" s="26">
        <f t="shared" si="29"/>
        <v>-72461.596000000005</v>
      </c>
    </row>
    <row r="1876" spans="1:7" x14ac:dyDescent="0.2">
      <c r="A1876" s="26">
        <v>91</v>
      </c>
      <c r="B1876" s="26">
        <v>63</v>
      </c>
      <c r="C1876" s="26">
        <v>154</v>
      </c>
      <c r="D1876" s="26" t="s">
        <v>1682</v>
      </c>
      <c r="E1876" s="26">
        <v>-71744.377999999997</v>
      </c>
      <c r="F1876" s="26">
        <v>2.4620000000000002</v>
      </c>
      <c r="G1876" s="26">
        <f t="shared" si="29"/>
        <v>-71744.377999999997</v>
      </c>
    </row>
    <row r="1877" spans="1:7" x14ac:dyDescent="0.2">
      <c r="A1877" s="26">
        <v>90</v>
      </c>
      <c r="B1877" s="26">
        <v>64</v>
      </c>
      <c r="C1877" s="26">
        <v>154</v>
      </c>
      <c r="D1877" s="26" t="s">
        <v>1683</v>
      </c>
      <c r="E1877" s="26">
        <v>-73713.221000000005</v>
      </c>
      <c r="F1877" s="26">
        <v>2.504</v>
      </c>
      <c r="G1877" s="26">
        <f t="shared" si="29"/>
        <v>-73713.221000000005</v>
      </c>
    </row>
    <row r="1878" spans="1:7" x14ac:dyDescent="0.2">
      <c r="A1878" s="26">
        <v>89</v>
      </c>
      <c r="B1878" s="26">
        <v>65</v>
      </c>
      <c r="C1878" s="26">
        <v>154</v>
      </c>
      <c r="D1878" s="26" t="s">
        <v>1684</v>
      </c>
      <c r="E1878" s="26">
        <v>-70161.974000000002</v>
      </c>
      <c r="F1878" s="26">
        <v>45.366999999999997</v>
      </c>
      <c r="G1878" s="26">
        <f t="shared" si="29"/>
        <v>-70161.974000000002</v>
      </c>
    </row>
    <row r="1879" spans="1:7" x14ac:dyDescent="0.2">
      <c r="A1879" s="26">
        <v>88</v>
      </c>
      <c r="B1879" s="26">
        <v>66</v>
      </c>
      <c r="C1879" s="26">
        <v>154</v>
      </c>
      <c r="D1879" s="26" t="s">
        <v>1685</v>
      </c>
      <c r="E1879" s="26">
        <v>-70398.164999999994</v>
      </c>
      <c r="F1879" s="26">
        <v>7.633</v>
      </c>
      <c r="G1879" s="26">
        <f t="shared" si="29"/>
        <v>-70398.164999999994</v>
      </c>
    </row>
    <row r="1880" spans="1:7" x14ac:dyDescent="0.2">
      <c r="A1880" s="26">
        <v>87</v>
      </c>
      <c r="B1880" s="26">
        <v>67</v>
      </c>
      <c r="C1880" s="26">
        <v>154</v>
      </c>
      <c r="D1880" s="26" t="s">
        <v>1686</v>
      </c>
      <c r="E1880" s="26">
        <v>-64644.213000000003</v>
      </c>
      <c r="F1880" s="26">
        <v>8.3829999999999991</v>
      </c>
      <c r="G1880" s="26">
        <f t="shared" si="29"/>
        <v>-64644.213000000003</v>
      </c>
    </row>
    <row r="1881" spans="1:7" x14ac:dyDescent="0.2">
      <c r="A1881" s="26">
        <v>86</v>
      </c>
      <c r="B1881" s="26">
        <v>68</v>
      </c>
      <c r="C1881" s="26">
        <v>154</v>
      </c>
      <c r="D1881" s="26" t="s">
        <v>1687</v>
      </c>
      <c r="E1881" s="26">
        <v>-62612.156999999999</v>
      </c>
      <c r="F1881" s="26">
        <v>5.47</v>
      </c>
      <c r="G1881" s="26">
        <f t="shared" si="29"/>
        <v>-62612.156999999999</v>
      </c>
    </row>
    <row r="1882" spans="1:7" x14ac:dyDescent="0.2">
      <c r="A1882" s="26">
        <v>85</v>
      </c>
      <c r="B1882" s="26">
        <v>69</v>
      </c>
      <c r="C1882" s="26">
        <v>154</v>
      </c>
      <c r="D1882" s="26" t="s">
        <v>1688</v>
      </c>
      <c r="E1882" s="26">
        <v>-54429.235999999997</v>
      </c>
      <c r="F1882" s="26">
        <v>14.426</v>
      </c>
      <c r="G1882" s="26">
        <f t="shared" si="29"/>
        <v>-54429.235999999997</v>
      </c>
    </row>
    <row r="1883" spans="1:7" x14ac:dyDescent="0.2">
      <c r="A1883" s="26">
        <v>84</v>
      </c>
      <c r="B1883" s="26">
        <v>70</v>
      </c>
      <c r="C1883" s="26">
        <v>154</v>
      </c>
      <c r="D1883" s="26" t="s">
        <v>1689</v>
      </c>
      <c r="E1883" s="26">
        <v>-49933.735000000001</v>
      </c>
      <c r="F1883" s="26">
        <v>17.288</v>
      </c>
      <c r="G1883" s="26">
        <f t="shared" si="29"/>
        <v>-49933.735000000001</v>
      </c>
    </row>
    <row r="1884" spans="1:7" x14ac:dyDescent="0.2">
      <c r="A1884" s="26">
        <v>83</v>
      </c>
      <c r="B1884" s="26">
        <v>71</v>
      </c>
      <c r="C1884" s="26">
        <v>154</v>
      </c>
      <c r="D1884" s="26" t="s">
        <v>1690</v>
      </c>
      <c r="E1884" s="26" t="s">
        <v>914</v>
      </c>
      <c r="F1884" s="26" t="s">
        <v>1252</v>
      </c>
      <c r="G1884" s="26">
        <f t="shared" si="29"/>
        <v>-39568.01</v>
      </c>
    </row>
    <row r="1885" spans="1:7" x14ac:dyDescent="0.2">
      <c r="A1885" s="26">
        <v>82</v>
      </c>
      <c r="B1885" s="26">
        <v>72</v>
      </c>
      <c r="C1885" s="26">
        <v>154</v>
      </c>
      <c r="D1885" s="26" t="s">
        <v>1691</v>
      </c>
      <c r="E1885" s="26" t="s">
        <v>915</v>
      </c>
      <c r="F1885" s="26" t="s">
        <v>1728</v>
      </c>
      <c r="G1885" s="26">
        <f t="shared" si="29"/>
        <v>-32733.01</v>
      </c>
    </row>
    <row r="1886" spans="1:7" x14ac:dyDescent="0.2">
      <c r="A1886" s="26">
        <v>98</v>
      </c>
      <c r="B1886" s="26">
        <v>57</v>
      </c>
      <c r="C1886" s="26">
        <v>155</v>
      </c>
      <c r="D1886" s="26" t="s">
        <v>1429</v>
      </c>
      <c r="E1886" s="26" t="s">
        <v>916</v>
      </c>
      <c r="F1886" s="26" t="s">
        <v>1725</v>
      </c>
      <c r="G1886" s="26">
        <f t="shared" si="29"/>
        <v>-38797.01</v>
      </c>
    </row>
    <row r="1887" spans="1:7" x14ac:dyDescent="0.2">
      <c r="A1887" s="26">
        <v>97</v>
      </c>
      <c r="B1887" s="26">
        <v>58</v>
      </c>
      <c r="C1887" s="26">
        <v>155</v>
      </c>
      <c r="D1887" s="26" t="s">
        <v>1677</v>
      </c>
      <c r="E1887" s="26" t="s">
        <v>1373</v>
      </c>
      <c r="F1887" s="26" t="s">
        <v>1505</v>
      </c>
      <c r="G1887" s="26">
        <f t="shared" si="29"/>
        <v>-48400.01</v>
      </c>
    </row>
    <row r="1888" spans="1:7" x14ac:dyDescent="0.2">
      <c r="A1888" s="26">
        <v>96</v>
      </c>
      <c r="B1888" s="26">
        <v>59</v>
      </c>
      <c r="C1888" s="26">
        <v>155</v>
      </c>
      <c r="D1888" s="26" t="s">
        <v>1678</v>
      </c>
      <c r="E1888" s="26" t="s">
        <v>1310</v>
      </c>
      <c r="F1888" s="26" t="s">
        <v>1730</v>
      </c>
      <c r="G1888" s="26">
        <f t="shared" si="29"/>
        <v>-55778.01</v>
      </c>
    </row>
    <row r="1889" spans="1:7" x14ac:dyDescent="0.2">
      <c r="A1889" s="26">
        <v>95</v>
      </c>
      <c r="B1889" s="26">
        <v>60</v>
      </c>
      <c r="C1889" s="26">
        <v>155</v>
      </c>
      <c r="D1889" s="26" t="s">
        <v>1679</v>
      </c>
      <c r="E1889" s="26" t="s">
        <v>917</v>
      </c>
      <c r="F1889" s="26" t="s">
        <v>918</v>
      </c>
      <c r="G1889" s="26">
        <f t="shared" si="29"/>
        <v>-62473.01</v>
      </c>
    </row>
    <row r="1890" spans="1:7" x14ac:dyDescent="0.2">
      <c r="A1890" s="26">
        <v>94</v>
      </c>
      <c r="B1890" s="26">
        <v>61</v>
      </c>
      <c r="C1890" s="26">
        <v>155</v>
      </c>
      <c r="D1890" s="26" t="s">
        <v>1680</v>
      </c>
      <c r="E1890" s="26">
        <v>-66973.239000000001</v>
      </c>
      <c r="F1890" s="26">
        <v>30.109000000000002</v>
      </c>
      <c r="G1890" s="26">
        <f t="shared" si="29"/>
        <v>-66973.239000000001</v>
      </c>
    </row>
    <row r="1891" spans="1:7" x14ac:dyDescent="0.2">
      <c r="A1891" s="26">
        <v>93</v>
      </c>
      <c r="B1891" s="26">
        <v>62</v>
      </c>
      <c r="C1891" s="26">
        <v>155</v>
      </c>
      <c r="D1891" s="26" t="s">
        <v>1681</v>
      </c>
      <c r="E1891" s="26">
        <v>-70197.239000000001</v>
      </c>
      <c r="F1891" s="26">
        <v>2.5619999999999998</v>
      </c>
      <c r="G1891" s="26">
        <f t="shared" si="29"/>
        <v>-70197.239000000001</v>
      </c>
    </row>
    <row r="1892" spans="1:7" x14ac:dyDescent="0.2">
      <c r="A1892" s="26">
        <v>92</v>
      </c>
      <c r="B1892" s="26">
        <v>63</v>
      </c>
      <c r="C1892" s="26">
        <v>155</v>
      </c>
      <c r="D1892" s="26" t="s">
        <v>1682</v>
      </c>
      <c r="E1892" s="26">
        <v>-71824.466</v>
      </c>
      <c r="F1892" s="26">
        <v>2.4900000000000002</v>
      </c>
      <c r="G1892" s="26">
        <f t="shared" si="29"/>
        <v>-71824.466</v>
      </c>
    </row>
    <row r="1893" spans="1:7" x14ac:dyDescent="0.2">
      <c r="A1893" s="26">
        <v>91</v>
      </c>
      <c r="B1893" s="26">
        <v>64</v>
      </c>
      <c r="C1893" s="26">
        <v>155</v>
      </c>
      <c r="D1893" s="26" t="s">
        <v>1683</v>
      </c>
      <c r="E1893" s="26">
        <v>-72077.123000000007</v>
      </c>
      <c r="F1893" s="26">
        <v>2.504</v>
      </c>
      <c r="G1893" s="26">
        <f t="shared" si="29"/>
        <v>-72077.123000000007</v>
      </c>
    </row>
    <row r="1894" spans="1:7" x14ac:dyDescent="0.2">
      <c r="A1894" s="26">
        <v>90</v>
      </c>
      <c r="B1894" s="26">
        <v>65</v>
      </c>
      <c r="C1894" s="26">
        <v>155</v>
      </c>
      <c r="D1894" s="26" t="s">
        <v>1684</v>
      </c>
      <c r="E1894" s="26">
        <v>-71254.414000000004</v>
      </c>
      <c r="F1894" s="26">
        <v>12.125</v>
      </c>
      <c r="G1894" s="26">
        <f t="shared" si="29"/>
        <v>-71254.414000000004</v>
      </c>
    </row>
    <row r="1895" spans="1:7" x14ac:dyDescent="0.2">
      <c r="A1895" s="26">
        <v>89</v>
      </c>
      <c r="B1895" s="26">
        <v>66</v>
      </c>
      <c r="C1895" s="26">
        <v>155</v>
      </c>
      <c r="D1895" s="26" t="s">
        <v>1685</v>
      </c>
      <c r="E1895" s="26">
        <v>-69159.914000000004</v>
      </c>
      <c r="F1895" s="26">
        <v>11.976000000000001</v>
      </c>
      <c r="G1895" s="26">
        <f t="shared" si="29"/>
        <v>-69159.914000000004</v>
      </c>
    </row>
    <row r="1896" spans="1:7" x14ac:dyDescent="0.2">
      <c r="A1896" s="26">
        <v>88</v>
      </c>
      <c r="B1896" s="26">
        <v>67</v>
      </c>
      <c r="C1896" s="26">
        <v>155</v>
      </c>
      <c r="D1896" s="26" t="s">
        <v>1686</v>
      </c>
      <c r="E1896" s="26">
        <v>-66039.672999999995</v>
      </c>
      <c r="F1896" s="26">
        <v>17.89</v>
      </c>
      <c r="G1896" s="26">
        <f t="shared" si="29"/>
        <v>-66039.672999999995</v>
      </c>
    </row>
    <row r="1897" spans="1:7" x14ac:dyDescent="0.2">
      <c r="A1897" s="26">
        <v>87</v>
      </c>
      <c r="B1897" s="26">
        <v>68</v>
      </c>
      <c r="C1897" s="26">
        <v>155</v>
      </c>
      <c r="D1897" s="26" t="s">
        <v>1687</v>
      </c>
      <c r="E1897" s="26">
        <v>-62215.463000000003</v>
      </c>
      <c r="F1897" s="26">
        <v>6.52</v>
      </c>
      <c r="G1897" s="26">
        <f t="shared" si="29"/>
        <v>-62215.463000000003</v>
      </c>
    </row>
    <row r="1898" spans="1:7" x14ac:dyDescent="0.2">
      <c r="A1898" s="26">
        <v>86</v>
      </c>
      <c r="B1898" s="26">
        <v>69</v>
      </c>
      <c r="C1898" s="26">
        <v>155</v>
      </c>
      <c r="D1898" s="26" t="s">
        <v>1688</v>
      </c>
      <c r="E1898" s="26">
        <v>-56635.339</v>
      </c>
      <c r="F1898" s="26">
        <v>13.223000000000001</v>
      </c>
      <c r="G1898" s="26">
        <f t="shared" si="29"/>
        <v>-56635.339</v>
      </c>
    </row>
    <row r="1899" spans="1:7" x14ac:dyDescent="0.2">
      <c r="A1899" s="26">
        <v>85</v>
      </c>
      <c r="B1899" s="26">
        <v>70</v>
      </c>
      <c r="C1899" s="26">
        <v>155</v>
      </c>
      <c r="D1899" s="26" t="s">
        <v>1689</v>
      </c>
      <c r="E1899" s="26">
        <v>-50503.432999999997</v>
      </c>
      <c r="F1899" s="26">
        <v>16.625</v>
      </c>
      <c r="G1899" s="26">
        <f t="shared" si="29"/>
        <v>-50503.432999999997</v>
      </c>
    </row>
    <row r="1900" spans="1:7" x14ac:dyDescent="0.2">
      <c r="A1900" s="26">
        <v>84</v>
      </c>
      <c r="B1900" s="26">
        <v>71</v>
      </c>
      <c r="C1900" s="26">
        <v>155</v>
      </c>
      <c r="D1900" s="26" t="s">
        <v>1690</v>
      </c>
      <c r="E1900" s="26">
        <v>-42554.171000000002</v>
      </c>
      <c r="F1900" s="26">
        <v>20.088999999999999</v>
      </c>
      <c r="G1900" s="26">
        <f t="shared" si="29"/>
        <v>-42554.171000000002</v>
      </c>
    </row>
    <row r="1901" spans="1:7" x14ac:dyDescent="0.2">
      <c r="A1901" s="26">
        <v>83</v>
      </c>
      <c r="B1901" s="26">
        <v>72</v>
      </c>
      <c r="C1901" s="26">
        <v>155</v>
      </c>
      <c r="D1901" s="26" t="s">
        <v>1691</v>
      </c>
      <c r="E1901" s="26" t="s">
        <v>919</v>
      </c>
      <c r="F1901" s="26" t="s">
        <v>1723</v>
      </c>
      <c r="G1901" s="26">
        <f t="shared" si="29"/>
        <v>-34102.01</v>
      </c>
    </row>
    <row r="1902" spans="1:7" x14ac:dyDescent="0.2">
      <c r="A1902" s="26">
        <v>82</v>
      </c>
      <c r="B1902" s="26">
        <v>73</v>
      </c>
      <c r="C1902" s="26">
        <v>155</v>
      </c>
      <c r="D1902" s="26" t="s">
        <v>1692</v>
      </c>
      <c r="E1902" s="26" t="s">
        <v>920</v>
      </c>
      <c r="F1902" s="26" t="s">
        <v>1728</v>
      </c>
      <c r="G1902" s="26">
        <f t="shared" si="29"/>
        <v>-23668.01</v>
      </c>
    </row>
    <row r="1903" spans="1:7" x14ac:dyDescent="0.2">
      <c r="A1903" s="26">
        <v>98</v>
      </c>
      <c r="B1903" s="26">
        <v>58</v>
      </c>
      <c r="C1903" s="26">
        <v>156</v>
      </c>
      <c r="D1903" s="26" t="s">
        <v>1677</v>
      </c>
      <c r="E1903" s="26" t="s">
        <v>1374</v>
      </c>
      <c r="F1903" s="26" t="s">
        <v>1505</v>
      </c>
      <c r="G1903" s="26">
        <f t="shared" si="29"/>
        <v>-45401.01</v>
      </c>
    </row>
    <row r="1904" spans="1:7" x14ac:dyDescent="0.2">
      <c r="A1904" s="26">
        <v>97</v>
      </c>
      <c r="B1904" s="26">
        <v>59</v>
      </c>
      <c r="C1904" s="26">
        <v>156</v>
      </c>
      <c r="D1904" s="26" t="s">
        <v>1678</v>
      </c>
      <c r="E1904" s="26" t="s">
        <v>921</v>
      </c>
      <c r="F1904" s="26" t="s">
        <v>1723</v>
      </c>
      <c r="G1904" s="26">
        <f t="shared" si="29"/>
        <v>-51912.01</v>
      </c>
    </row>
    <row r="1905" spans="1:7" x14ac:dyDescent="0.2">
      <c r="A1905" s="26">
        <v>96</v>
      </c>
      <c r="B1905" s="26">
        <v>60</v>
      </c>
      <c r="C1905" s="26">
        <v>156</v>
      </c>
      <c r="D1905" s="26" t="s">
        <v>1679</v>
      </c>
      <c r="E1905" s="26">
        <v>-60530.237000000001</v>
      </c>
      <c r="F1905" s="26">
        <v>202.934</v>
      </c>
      <c r="G1905" s="26">
        <f t="shared" si="29"/>
        <v>-60530.237000000001</v>
      </c>
    </row>
    <row r="1906" spans="1:7" x14ac:dyDescent="0.2">
      <c r="A1906" s="26">
        <v>95</v>
      </c>
      <c r="B1906" s="26">
        <v>61</v>
      </c>
      <c r="C1906" s="26">
        <v>156</v>
      </c>
      <c r="D1906" s="26" t="s">
        <v>1680</v>
      </c>
      <c r="E1906" s="26">
        <v>-64220.237000000001</v>
      </c>
      <c r="F1906" s="26">
        <v>34.381999999999998</v>
      </c>
      <c r="G1906" s="26">
        <f t="shared" si="29"/>
        <v>-64220.237000000001</v>
      </c>
    </row>
    <row r="1907" spans="1:7" x14ac:dyDescent="0.2">
      <c r="A1907" s="26">
        <v>94</v>
      </c>
      <c r="B1907" s="26">
        <v>62</v>
      </c>
      <c r="C1907" s="26">
        <v>156</v>
      </c>
      <c r="D1907" s="26" t="s">
        <v>1681</v>
      </c>
      <c r="E1907" s="26">
        <v>-69370.326000000001</v>
      </c>
      <c r="F1907" s="26">
        <v>9.5280000000000005</v>
      </c>
      <c r="G1907" s="26">
        <f t="shared" si="29"/>
        <v>-69370.326000000001</v>
      </c>
    </row>
    <row r="1908" spans="1:7" x14ac:dyDescent="0.2">
      <c r="A1908" s="26">
        <v>93</v>
      </c>
      <c r="B1908" s="26">
        <v>63</v>
      </c>
      <c r="C1908" s="26">
        <v>156</v>
      </c>
      <c r="D1908" s="26" t="s">
        <v>1682</v>
      </c>
      <c r="E1908" s="26">
        <v>-70092.828999999998</v>
      </c>
      <c r="F1908" s="26">
        <v>5.8120000000000003</v>
      </c>
      <c r="G1908" s="26">
        <f t="shared" si="29"/>
        <v>-70092.828999999998</v>
      </c>
    </row>
    <row r="1909" spans="1:7" x14ac:dyDescent="0.2">
      <c r="A1909" s="26">
        <v>92</v>
      </c>
      <c r="B1909" s="26">
        <v>64</v>
      </c>
      <c r="C1909" s="26">
        <v>156</v>
      </c>
      <c r="D1909" s="26" t="s">
        <v>1683</v>
      </c>
      <c r="E1909" s="26">
        <v>-72542.197</v>
      </c>
      <c r="F1909" s="26">
        <v>2.504</v>
      </c>
      <c r="G1909" s="26">
        <f t="shared" si="29"/>
        <v>-72542.197</v>
      </c>
    </row>
    <row r="1910" spans="1:7" x14ac:dyDescent="0.2">
      <c r="A1910" s="26">
        <v>91</v>
      </c>
      <c r="B1910" s="26">
        <v>65</v>
      </c>
      <c r="C1910" s="26">
        <v>156</v>
      </c>
      <c r="D1910" s="26" t="s">
        <v>1684</v>
      </c>
      <c r="E1910" s="26">
        <v>-70097.52</v>
      </c>
      <c r="F1910" s="26">
        <v>4.4119999999999999</v>
      </c>
      <c r="G1910" s="26">
        <f t="shared" si="29"/>
        <v>-70097.52</v>
      </c>
    </row>
    <row r="1911" spans="1:7" x14ac:dyDescent="0.2">
      <c r="A1911" s="26">
        <v>90</v>
      </c>
      <c r="B1911" s="26">
        <v>66</v>
      </c>
      <c r="C1911" s="26">
        <v>156</v>
      </c>
      <c r="D1911" s="26" t="s">
        <v>1685</v>
      </c>
      <c r="E1911" s="26">
        <v>-70529.828999999998</v>
      </c>
      <c r="F1911" s="26">
        <v>6.5890000000000004</v>
      </c>
      <c r="G1911" s="26">
        <f t="shared" si="29"/>
        <v>-70529.828999999998</v>
      </c>
    </row>
    <row r="1912" spans="1:7" x14ac:dyDescent="0.2">
      <c r="A1912" s="26">
        <v>89</v>
      </c>
      <c r="B1912" s="26">
        <v>67</v>
      </c>
      <c r="C1912" s="26">
        <v>156</v>
      </c>
      <c r="D1912" s="26" t="s">
        <v>1686</v>
      </c>
      <c r="E1912" s="26">
        <v>-65354.550999999999</v>
      </c>
      <c r="F1912" s="26">
        <v>44.712000000000003</v>
      </c>
      <c r="G1912" s="26">
        <f t="shared" si="29"/>
        <v>-65354.550999999999</v>
      </c>
    </row>
    <row r="1913" spans="1:7" x14ac:dyDescent="0.2">
      <c r="A1913" s="26">
        <v>88</v>
      </c>
      <c r="B1913" s="26">
        <v>68</v>
      </c>
      <c r="C1913" s="26">
        <v>156</v>
      </c>
      <c r="D1913" s="26" t="s">
        <v>1687</v>
      </c>
      <c r="E1913" s="26">
        <v>-64212.821000000004</v>
      </c>
      <c r="F1913" s="26">
        <v>24.428000000000001</v>
      </c>
      <c r="G1913" s="26">
        <f t="shared" si="29"/>
        <v>-64212.821000000004</v>
      </c>
    </row>
    <row r="1914" spans="1:7" x14ac:dyDescent="0.2">
      <c r="A1914" s="26">
        <v>87</v>
      </c>
      <c r="B1914" s="26">
        <v>69</v>
      </c>
      <c r="C1914" s="26">
        <v>156</v>
      </c>
      <c r="D1914" s="26" t="s">
        <v>1688</v>
      </c>
      <c r="E1914" s="26">
        <v>-56839.826999999997</v>
      </c>
      <c r="F1914" s="26">
        <v>15.744</v>
      </c>
      <c r="G1914" s="26">
        <f t="shared" si="29"/>
        <v>-56839.826999999997</v>
      </c>
    </row>
    <row r="1915" spans="1:7" x14ac:dyDescent="0.2">
      <c r="A1915" s="26">
        <v>86</v>
      </c>
      <c r="B1915" s="26">
        <v>70</v>
      </c>
      <c r="C1915" s="26">
        <v>156</v>
      </c>
      <c r="D1915" s="26" t="s">
        <v>1689</v>
      </c>
      <c r="E1915" s="26">
        <v>-53264.49</v>
      </c>
      <c r="F1915" s="26">
        <v>11.287000000000001</v>
      </c>
      <c r="G1915" s="26">
        <f t="shared" si="29"/>
        <v>-53264.49</v>
      </c>
    </row>
    <row r="1916" spans="1:7" x14ac:dyDescent="0.2">
      <c r="A1916" s="26">
        <v>85</v>
      </c>
      <c r="B1916" s="26">
        <v>71</v>
      </c>
      <c r="C1916" s="26">
        <v>156</v>
      </c>
      <c r="D1916" s="26" t="s">
        <v>1690</v>
      </c>
      <c r="E1916" s="26">
        <v>-43749.923000000003</v>
      </c>
      <c r="F1916" s="26">
        <v>73.658000000000001</v>
      </c>
      <c r="G1916" s="26">
        <f t="shared" si="29"/>
        <v>-43749.923000000003</v>
      </c>
    </row>
    <row r="1917" spans="1:7" x14ac:dyDescent="0.2">
      <c r="A1917" s="26">
        <v>84</v>
      </c>
      <c r="B1917" s="26">
        <v>72</v>
      </c>
      <c r="C1917" s="26">
        <v>156</v>
      </c>
      <c r="D1917" s="26" t="s">
        <v>1691</v>
      </c>
      <c r="E1917" s="26">
        <v>-37852.167000000001</v>
      </c>
      <c r="F1917" s="26">
        <v>208.458</v>
      </c>
      <c r="G1917" s="26">
        <f t="shared" si="29"/>
        <v>-37852.167000000001</v>
      </c>
    </row>
    <row r="1918" spans="1:7" x14ac:dyDescent="0.2">
      <c r="A1918" s="26">
        <v>83</v>
      </c>
      <c r="B1918" s="26">
        <v>73</v>
      </c>
      <c r="C1918" s="26">
        <v>156</v>
      </c>
      <c r="D1918" s="26" t="s">
        <v>1692</v>
      </c>
      <c r="E1918" s="26" t="s">
        <v>922</v>
      </c>
      <c r="F1918" s="26" t="s">
        <v>1723</v>
      </c>
      <c r="G1918" s="26">
        <f t="shared" si="29"/>
        <v>-25799.01</v>
      </c>
    </row>
    <row r="1919" spans="1:7" x14ac:dyDescent="0.2">
      <c r="A1919" s="26">
        <v>99</v>
      </c>
      <c r="B1919" s="26">
        <v>58</v>
      </c>
      <c r="C1919" s="26">
        <v>157</v>
      </c>
      <c r="D1919" s="26" t="s">
        <v>1677</v>
      </c>
      <c r="E1919" s="26" t="s">
        <v>1375</v>
      </c>
      <c r="F1919" s="26" t="s">
        <v>1508</v>
      </c>
      <c r="G1919" s="26">
        <f t="shared" si="29"/>
        <v>-40669.01</v>
      </c>
    </row>
    <row r="1920" spans="1:7" x14ac:dyDescent="0.2">
      <c r="A1920" s="26">
        <v>98</v>
      </c>
      <c r="B1920" s="26">
        <v>59</v>
      </c>
      <c r="C1920" s="26">
        <v>157</v>
      </c>
      <c r="D1920" s="26" t="s">
        <v>1678</v>
      </c>
      <c r="E1920" s="26" t="s">
        <v>923</v>
      </c>
      <c r="F1920" s="26" t="s">
        <v>1723</v>
      </c>
      <c r="G1920" s="26">
        <f t="shared" si="29"/>
        <v>-48969.01</v>
      </c>
    </row>
    <row r="1921" spans="1:7" x14ac:dyDescent="0.2">
      <c r="A1921" s="26">
        <v>97</v>
      </c>
      <c r="B1921" s="26">
        <v>60</v>
      </c>
      <c r="C1921" s="26">
        <v>157</v>
      </c>
      <c r="D1921" s="26" t="s">
        <v>1679</v>
      </c>
      <c r="E1921" s="26" t="s">
        <v>924</v>
      </c>
      <c r="F1921" s="26" t="s">
        <v>1480</v>
      </c>
      <c r="G1921" s="26">
        <f t="shared" si="29"/>
        <v>-56793.01</v>
      </c>
    </row>
    <row r="1922" spans="1:7" x14ac:dyDescent="0.2">
      <c r="A1922" s="26">
        <v>96</v>
      </c>
      <c r="B1922" s="26">
        <v>61</v>
      </c>
      <c r="C1922" s="26">
        <v>157</v>
      </c>
      <c r="D1922" s="26" t="s">
        <v>1680</v>
      </c>
      <c r="E1922" s="26">
        <v>-62373.425999999999</v>
      </c>
      <c r="F1922" s="26">
        <v>111.93</v>
      </c>
      <c r="G1922" s="26">
        <f t="shared" si="29"/>
        <v>-62373.425999999999</v>
      </c>
    </row>
    <row r="1923" spans="1:7" x14ac:dyDescent="0.2">
      <c r="A1923" s="26">
        <v>95</v>
      </c>
      <c r="B1923" s="26">
        <v>62</v>
      </c>
      <c r="C1923" s="26">
        <v>157</v>
      </c>
      <c r="D1923" s="26" t="s">
        <v>1681</v>
      </c>
      <c r="E1923" s="26">
        <v>-66733.426000000007</v>
      </c>
      <c r="F1923" s="26">
        <v>50.281999999999996</v>
      </c>
      <c r="G1923" s="26">
        <f t="shared" si="29"/>
        <v>-66733.426000000007</v>
      </c>
    </row>
    <row r="1924" spans="1:7" x14ac:dyDescent="0.2">
      <c r="A1924" s="26">
        <v>94</v>
      </c>
      <c r="B1924" s="26">
        <v>63</v>
      </c>
      <c r="C1924" s="26">
        <v>157</v>
      </c>
      <c r="D1924" s="26" t="s">
        <v>1682</v>
      </c>
      <c r="E1924" s="26">
        <v>-69467.426000000007</v>
      </c>
      <c r="F1924" s="26">
        <v>5.319</v>
      </c>
      <c r="G1924" s="26">
        <f t="shared" si="29"/>
        <v>-69467.426000000007</v>
      </c>
    </row>
    <row r="1925" spans="1:7" x14ac:dyDescent="0.2">
      <c r="A1925" s="26">
        <v>93</v>
      </c>
      <c r="B1925" s="26">
        <v>64</v>
      </c>
      <c r="C1925" s="26">
        <v>157</v>
      </c>
      <c r="D1925" s="26" t="s">
        <v>1683</v>
      </c>
      <c r="E1925" s="26">
        <v>-70830.678</v>
      </c>
      <c r="F1925" s="26">
        <v>2.5049999999999999</v>
      </c>
      <c r="G1925" s="26">
        <f t="shared" si="29"/>
        <v>-70830.678</v>
      </c>
    </row>
    <row r="1926" spans="1:7" x14ac:dyDescent="0.2">
      <c r="A1926" s="26">
        <v>92</v>
      </c>
      <c r="B1926" s="26">
        <v>65</v>
      </c>
      <c r="C1926" s="26">
        <v>157</v>
      </c>
      <c r="D1926" s="26" t="s">
        <v>1684</v>
      </c>
      <c r="E1926" s="26">
        <v>-70770.626000000004</v>
      </c>
      <c r="F1926" s="26">
        <v>2.5209999999999999</v>
      </c>
      <c r="G1926" s="26">
        <f t="shared" si="29"/>
        <v>-70770.626000000004</v>
      </c>
    </row>
    <row r="1927" spans="1:7" x14ac:dyDescent="0.2">
      <c r="A1927" s="26">
        <v>91</v>
      </c>
      <c r="B1927" s="26">
        <v>66</v>
      </c>
      <c r="C1927" s="26">
        <v>157</v>
      </c>
      <c r="D1927" s="26" t="s">
        <v>1685</v>
      </c>
      <c r="E1927" s="26">
        <v>-69427.885999999999</v>
      </c>
      <c r="F1927" s="26">
        <v>6.6719999999999997</v>
      </c>
      <c r="G1927" s="26">
        <f t="shared" si="29"/>
        <v>-69427.885999999999</v>
      </c>
    </row>
    <row r="1928" spans="1:7" x14ac:dyDescent="0.2">
      <c r="A1928" s="26">
        <v>90</v>
      </c>
      <c r="B1928" s="26">
        <v>67</v>
      </c>
      <c r="C1928" s="26">
        <v>157</v>
      </c>
      <c r="D1928" s="26" t="s">
        <v>1686</v>
      </c>
      <c r="E1928" s="26">
        <v>-66828.929999999993</v>
      </c>
      <c r="F1928" s="26">
        <v>24.428000000000001</v>
      </c>
      <c r="G1928" s="26">
        <f t="shared" si="29"/>
        <v>-66828.929999999993</v>
      </c>
    </row>
    <row r="1929" spans="1:7" x14ac:dyDescent="0.2">
      <c r="A1929" s="26">
        <v>89</v>
      </c>
      <c r="B1929" s="26">
        <v>68</v>
      </c>
      <c r="C1929" s="26">
        <v>157</v>
      </c>
      <c r="D1929" s="26" t="s">
        <v>1687</v>
      </c>
      <c r="E1929" s="26">
        <v>-63419.838000000003</v>
      </c>
      <c r="F1929" s="26">
        <v>27.945</v>
      </c>
      <c r="G1929" s="26">
        <f t="shared" si="29"/>
        <v>-63419.838000000003</v>
      </c>
    </row>
    <row r="1930" spans="1:7" x14ac:dyDescent="0.2">
      <c r="A1930" s="26">
        <v>88</v>
      </c>
      <c r="B1930" s="26">
        <v>69</v>
      </c>
      <c r="C1930" s="26">
        <v>157</v>
      </c>
      <c r="D1930" s="26" t="s">
        <v>1688</v>
      </c>
      <c r="E1930" s="26">
        <v>-58709.273000000001</v>
      </c>
      <c r="F1930" s="26">
        <v>27.945</v>
      </c>
      <c r="G1930" s="26">
        <f t="shared" ref="G1930:G1993" si="30">IF(ISNUMBER(E1930),E1930,VALUE(SUBSTITUTE(E1930,"#",".01")))</f>
        <v>-58709.273000000001</v>
      </c>
    </row>
    <row r="1931" spans="1:7" x14ac:dyDescent="0.2">
      <c r="A1931" s="26">
        <v>87</v>
      </c>
      <c r="B1931" s="26">
        <v>70</v>
      </c>
      <c r="C1931" s="26">
        <v>157</v>
      </c>
      <c r="D1931" s="26" t="s">
        <v>1689</v>
      </c>
      <c r="E1931" s="26">
        <v>-53441.815000000002</v>
      </c>
      <c r="F1931" s="26">
        <v>10.138</v>
      </c>
      <c r="G1931" s="26">
        <f t="shared" si="30"/>
        <v>-53441.815000000002</v>
      </c>
    </row>
    <row r="1932" spans="1:7" x14ac:dyDescent="0.2">
      <c r="A1932" s="26">
        <v>86</v>
      </c>
      <c r="B1932" s="26">
        <v>71</v>
      </c>
      <c r="C1932" s="26">
        <v>157</v>
      </c>
      <c r="D1932" s="26" t="s">
        <v>1690</v>
      </c>
      <c r="E1932" s="26">
        <v>-46483.133999999998</v>
      </c>
      <c r="F1932" s="26">
        <v>18.681999999999999</v>
      </c>
      <c r="G1932" s="26">
        <f t="shared" si="30"/>
        <v>-46483.133999999998</v>
      </c>
    </row>
    <row r="1933" spans="1:7" x14ac:dyDescent="0.2">
      <c r="A1933" s="26">
        <v>85</v>
      </c>
      <c r="B1933" s="26">
        <v>72</v>
      </c>
      <c r="C1933" s="26">
        <v>157</v>
      </c>
      <c r="D1933" s="26" t="s">
        <v>1691</v>
      </c>
      <c r="E1933" s="26" t="s">
        <v>613</v>
      </c>
      <c r="F1933" s="26" t="s">
        <v>1480</v>
      </c>
      <c r="G1933" s="26">
        <f t="shared" si="30"/>
        <v>-38754.01</v>
      </c>
    </row>
    <row r="1934" spans="1:7" x14ac:dyDescent="0.2">
      <c r="A1934" s="26">
        <v>84</v>
      </c>
      <c r="B1934" s="26">
        <v>73</v>
      </c>
      <c r="C1934" s="26">
        <v>157</v>
      </c>
      <c r="D1934" s="26" t="s">
        <v>1692</v>
      </c>
      <c r="E1934" s="26">
        <v>-29628.546999999999</v>
      </c>
      <c r="F1934" s="26">
        <v>208.684</v>
      </c>
      <c r="G1934" s="26">
        <f t="shared" si="30"/>
        <v>-29628.546999999999</v>
      </c>
    </row>
    <row r="1935" spans="1:7" x14ac:dyDescent="0.2">
      <c r="A1935" s="26">
        <v>99</v>
      </c>
      <c r="B1935" s="26">
        <v>59</v>
      </c>
      <c r="C1935" s="26">
        <v>158</v>
      </c>
      <c r="D1935" s="26" t="s">
        <v>1678</v>
      </c>
      <c r="E1935" s="26" t="s">
        <v>614</v>
      </c>
      <c r="F1935" s="26" t="s">
        <v>1505</v>
      </c>
      <c r="G1935" s="26">
        <f t="shared" si="30"/>
        <v>-44730.01</v>
      </c>
    </row>
    <row r="1936" spans="1:7" x14ac:dyDescent="0.2">
      <c r="A1936" s="26">
        <v>98</v>
      </c>
      <c r="B1936" s="26">
        <v>60</v>
      </c>
      <c r="C1936" s="26">
        <v>158</v>
      </c>
      <c r="D1936" s="26" t="s">
        <v>1679</v>
      </c>
      <c r="E1936" s="26" t="s">
        <v>1093</v>
      </c>
      <c r="F1936" s="26" t="s">
        <v>1723</v>
      </c>
      <c r="G1936" s="26">
        <f t="shared" si="30"/>
        <v>-54399.01</v>
      </c>
    </row>
    <row r="1937" spans="1:7" x14ac:dyDescent="0.2">
      <c r="A1937" s="26">
        <v>97</v>
      </c>
      <c r="B1937" s="26">
        <v>61</v>
      </c>
      <c r="C1937" s="26">
        <v>158</v>
      </c>
      <c r="D1937" s="26" t="s">
        <v>1680</v>
      </c>
      <c r="E1937" s="26">
        <v>-59092.669000000002</v>
      </c>
      <c r="F1937" s="26">
        <v>127.015</v>
      </c>
      <c r="G1937" s="26">
        <f t="shared" si="30"/>
        <v>-59092.669000000002</v>
      </c>
    </row>
    <row r="1938" spans="1:7" x14ac:dyDescent="0.2">
      <c r="A1938" s="26">
        <v>96</v>
      </c>
      <c r="B1938" s="26">
        <v>62</v>
      </c>
      <c r="C1938" s="26">
        <v>158</v>
      </c>
      <c r="D1938" s="26" t="s">
        <v>1681</v>
      </c>
      <c r="E1938" s="26">
        <v>-65212.669000000002</v>
      </c>
      <c r="F1938" s="26">
        <v>78.313000000000002</v>
      </c>
      <c r="G1938" s="26">
        <f t="shared" si="30"/>
        <v>-65212.669000000002</v>
      </c>
    </row>
    <row r="1939" spans="1:7" x14ac:dyDescent="0.2">
      <c r="A1939" s="26">
        <v>95</v>
      </c>
      <c r="B1939" s="26">
        <v>63</v>
      </c>
      <c r="C1939" s="26">
        <v>158</v>
      </c>
      <c r="D1939" s="26" t="s">
        <v>1682</v>
      </c>
      <c r="E1939" s="26">
        <v>-67211.668999999994</v>
      </c>
      <c r="F1939" s="26">
        <v>76.863</v>
      </c>
      <c r="G1939" s="26">
        <f t="shared" si="30"/>
        <v>-67211.668999999994</v>
      </c>
    </row>
    <row r="1940" spans="1:7" x14ac:dyDescent="0.2">
      <c r="A1940" s="26">
        <v>94</v>
      </c>
      <c r="B1940" s="26">
        <v>64</v>
      </c>
      <c r="C1940" s="26">
        <v>158</v>
      </c>
      <c r="D1940" s="26" t="s">
        <v>1683</v>
      </c>
      <c r="E1940" s="26">
        <v>-70696.751000000004</v>
      </c>
      <c r="F1940" s="26">
        <v>2.5049999999999999</v>
      </c>
      <c r="G1940" s="26">
        <f t="shared" si="30"/>
        <v>-70696.751000000004</v>
      </c>
    </row>
    <row r="1941" spans="1:7" x14ac:dyDescent="0.2">
      <c r="A1941" s="26">
        <v>93</v>
      </c>
      <c r="B1941" s="26">
        <v>65</v>
      </c>
      <c r="C1941" s="26">
        <v>158</v>
      </c>
      <c r="D1941" s="26" t="s">
        <v>1684</v>
      </c>
      <c r="E1941" s="26">
        <v>-69477.216</v>
      </c>
      <c r="F1941" s="26">
        <v>2.6179999999999999</v>
      </c>
      <c r="G1941" s="26">
        <f t="shared" si="30"/>
        <v>-69477.216</v>
      </c>
    </row>
    <row r="1942" spans="1:7" x14ac:dyDescent="0.2">
      <c r="A1942" s="26">
        <v>92</v>
      </c>
      <c r="B1942" s="26">
        <v>66</v>
      </c>
      <c r="C1942" s="26">
        <v>158</v>
      </c>
      <c r="D1942" s="26" t="s">
        <v>1685</v>
      </c>
      <c r="E1942" s="26">
        <v>-70412.108999999997</v>
      </c>
      <c r="F1942" s="26">
        <v>3.3969999999999998</v>
      </c>
      <c r="G1942" s="26">
        <f t="shared" si="30"/>
        <v>-70412.108999999997</v>
      </c>
    </row>
    <row r="1943" spans="1:7" x14ac:dyDescent="0.2">
      <c r="A1943" s="26">
        <v>91</v>
      </c>
      <c r="B1943" s="26">
        <v>67</v>
      </c>
      <c r="C1943" s="26">
        <v>158</v>
      </c>
      <c r="D1943" s="26" t="s">
        <v>1686</v>
      </c>
      <c r="E1943" s="26">
        <v>-66191.025999999998</v>
      </c>
      <c r="F1943" s="26">
        <v>27.218</v>
      </c>
      <c r="G1943" s="26">
        <f t="shared" si="30"/>
        <v>-66191.025999999998</v>
      </c>
    </row>
    <row r="1944" spans="1:7" x14ac:dyDescent="0.2">
      <c r="A1944" s="26">
        <v>90</v>
      </c>
      <c r="B1944" s="26">
        <v>68</v>
      </c>
      <c r="C1944" s="26">
        <v>158</v>
      </c>
      <c r="D1944" s="26" t="s">
        <v>1687</v>
      </c>
      <c r="E1944" s="26">
        <v>-65303.809000000001</v>
      </c>
      <c r="F1944" s="26">
        <v>25.219000000000001</v>
      </c>
      <c r="G1944" s="26">
        <f t="shared" si="30"/>
        <v>-65303.809000000001</v>
      </c>
    </row>
    <row r="1945" spans="1:7" x14ac:dyDescent="0.2">
      <c r="A1945" s="26">
        <v>89</v>
      </c>
      <c r="B1945" s="26">
        <v>69</v>
      </c>
      <c r="C1945" s="26">
        <v>158</v>
      </c>
      <c r="D1945" s="26" t="s">
        <v>1688</v>
      </c>
      <c r="E1945" s="26">
        <v>-58703.194000000003</v>
      </c>
      <c r="F1945" s="26">
        <v>25.219000000000001</v>
      </c>
      <c r="G1945" s="26">
        <f t="shared" si="30"/>
        <v>-58703.194000000003</v>
      </c>
    </row>
    <row r="1946" spans="1:7" x14ac:dyDescent="0.2">
      <c r="A1946" s="26">
        <v>88</v>
      </c>
      <c r="B1946" s="26">
        <v>70</v>
      </c>
      <c r="C1946" s="26">
        <v>158</v>
      </c>
      <c r="D1946" s="26" t="s">
        <v>1689</v>
      </c>
      <c r="E1946" s="26">
        <v>-56014.817000000003</v>
      </c>
      <c r="F1946" s="26">
        <v>8.2029999999999994</v>
      </c>
      <c r="G1946" s="26">
        <f t="shared" si="30"/>
        <v>-56014.817000000003</v>
      </c>
    </row>
    <row r="1947" spans="1:7" x14ac:dyDescent="0.2">
      <c r="A1947" s="26">
        <v>87</v>
      </c>
      <c r="B1947" s="26">
        <v>71</v>
      </c>
      <c r="C1947" s="26">
        <v>158</v>
      </c>
      <c r="D1947" s="26" t="s">
        <v>1690</v>
      </c>
      <c r="E1947" s="26">
        <v>-47214.373</v>
      </c>
      <c r="F1947" s="26">
        <v>15.138</v>
      </c>
      <c r="G1947" s="26">
        <f t="shared" si="30"/>
        <v>-47214.373</v>
      </c>
    </row>
    <row r="1948" spans="1:7" x14ac:dyDescent="0.2">
      <c r="A1948" s="26">
        <v>86</v>
      </c>
      <c r="B1948" s="26">
        <v>72</v>
      </c>
      <c r="C1948" s="26">
        <v>158</v>
      </c>
      <c r="D1948" s="26" t="s">
        <v>1691</v>
      </c>
      <c r="E1948" s="26">
        <v>-42104.118999999999</v>
      </c>
      <c r="F1948" s="26">
        <v>17.501000000000001</v>
      </c>
      <c r="G1948" s="26">
        <f t="shared" si="30"/>
        <v>-42104.118999999999</v>
      </c>
    </row>
    <row r="1949" spans="1:7" x14ac:dyDescent="0.2">
      <c r="A1949" s="26">
        <v>85</v>
      </c>
      <c r="B1949" s="26">
        <v>73</v>
      </c>
      <c r="C1949" s="26">
        <v>158</v>
      </c>
      <c r="D1949" s="26" t="s">
        <v>1692</v>
      </c>
      <c r="E1949" s="26" t="s">
        <v>615</v>
      </c>
      <c r="F1949" s="26" t="s">
        <v>1252</v>
      </c>
      <c r="G1949" s="26">
        <f t="shared" si="30"/>
        <v>-31019.01</v>
      </c>
    </row>
    <row r="1950" spans="1:7" x14ac:dyDescent="0.2">
      <c r="A1950" s="26">
        <v>84</v>
      </c>
      <c r="B1950" s="26">
        <v>74</v>
      </c>
      <c r="C1950" s="26">
        <v>158</v>
      </c>
      <c r="D1950" s="26" t="s">
        <v>1693</v>
      </c>
      <c r="E1950" s="26" t="s">
        <v>616</v>
      </c>
      <c r="F1950" s="26" t="s">
        <v>1728</v>
      </c>
      <c r="G1950" s="26">
        <f t="shared" si="30"/>
        <v>-23695.01</v>
      </c>
    </row>
    <row r="1951" spans="1:7" x14ac:dyDescent="0.2">
      <c r="A1951" s="26">
        <v>100</v>
      </c>
      <c r="B1951" s="26">
        <v>59</v>
      </c>
      <c r="C1951" s="26">
        <v>159</v>
      </c>
      <c r="D1951" s="26" t="s">
        <v>1678</v>
      </c>
      <c r="E1951" s="26" t="s">
        <v>1022</v>
      </c>
      <c r="F1951" s="26" t="s">
        <v>1508</v>
      </c>
      <c r="G1951" s="26">
        <f t="shared" si="30"/>
        <v>-41451.01</v>
      </c>
    </row>
    <row r="1952" spans="1:7" x14ac:dyDescent="0.2">
      <c r="A1952" s="26">
        <v>99</v>
      </c>
      <c r="B1952" s="26">
        <v>60</v>
      </c>
      <c r="C1952" s="26">
        <v>159</v>
      </c>
      <c r="D1952" s="26" t="s">
        <v>1679</v>
      </c>
      <c r="E1952" s="26" t="s">
        <v>1100</v>
      </c>
      <c r="F1952" s="26" t="s">
        <v>1728</v>
      </c>
      <c r="G1952" s="26">
        <f t="shared" si="30"/>
        <v>-50217.01</v>
      </c>
    </row>
    <row r="1953" spans="1:7" x14ac:dyDescent="0.2">
      <c r="A1953" s="26">
        <v>98</v>
      </c>
      <c r="B1953" s="26">
        <v>61</v>
      </c>
      <c r="C1953" s="26">
        <v>159</v>
      </c>
      <c r="D1953" s="26" t="s">
        <v>1680</v>
      </c>
      <c r="E1953" s="26" t="s">
        <v>617</v>
      </c>
      <c r="F1953" s="26" t="s">
        <v>1480</v>
      </c>
      <c r="G1953" s="26">
        <f t="shared" si="30"/>
        <v>-56849.01</v>
      </c>
    </row>
    <row r="1954" spans="1:7" x14ac:dyDescent="0.2">
      <c r="A1954" s="26">
        <v>97</v>
      </c>
      <c r="B1954" s="26">
        <v>62</v>
      </c>
      <c r="C1954" s="26">
        <v>159</v>
      </c>
      <c r="D1954" s="26" t="s">
        <v>1681</v>
      </c>
      <c r="E1954" s="26">
        <v>-62213.300999999999</v>
      </c>
      <c r="F1954" s="26">
        <v>100.268</v>
      </c>
      <c r="G1954" s="26">
        <f t="shared" si="30"/>
        <v>-62213.300999999999</v>
      </c>
    </row>
    <row r="1955" spans="1:7" x14ac:dyDescent="0.2">
      <c r="A1955" s="26">
        <v>96</v>
      </c>
      <c r="B1955" s="26">
        <v>63</v>
      </c>
      <c r="C1955" s="26">
        <v>159</v>
      </c>
      <c r="D1955" s="26" t="s">
        <v>1682</v>
      </c>
      <c r="E1955" s="26">
        <v>-66053.301000000007</v>
      </c>
      <c r="F1955" s="26">
        <v>7.3209999999999997</v>
      </c>
      <c r="G1955" s="26">
        <f t="shared" si="30"/>
        <v>-66053.301000000007</v>
      </c>
    </row>
    <row r="1956" spans="1:7" x14ac:dyDescent="0.2">
      <c r="A1956" s="26">
        <v>95</v>
      </c>
      <c r="B1956" s="26">
        <v>64</v>
      </c>
      <c r="C1956" s="26">
        <v>159</v>
      </c>
      <c r="D1956" s="26" t="s">
        <v>1683</v>
      </c>
      <c r="E1956" s="26">
        <v>-68568.524000000005</v>
      </c>
      <c r="F1956" s="26">
        <v>2.508</v>
      </c>
      <c r="G1956" s="26">
        <f t="shared" si="30"/>
        <v>-68568.524000000005</v>
      </c>
    </row>
    <row r="1957" spans="1:7" x14ac:dyDescent="0.2">
      <c r="A1957" s="26">
        <v>94</v>
      </c>
      <c r="B1957" s="26">
        <v>65</v>
      </c>
      <c r="C1957" s="26">
        <v>159</v>
      </c>
      <c r="D1957" s="26" t="s">
        <v>1684</v>
      </c>
      <c r="E1957" s="26">
        <v>-69539.047999999995</v>
      </c>
      <c r="F1957" s="26">
        <v>2.5510000000000002</v>
      </c>
      <c r="G1957" s="26">
        <f t="shared" si="30"/>
        <v>-69539.047999999995</v>
      </c>
    </row>
    <row r="1958" spans="1:7" x14ac:dyDescent="0.2">
      <c r="A1958" s="26">
        <v>93</v>
      </c>
      <c r="B1958" s="26">
        <v>66</v>
      </c>
      <c r="C1958" s="26">
        <v>159</v>
      </c>
      <c r="D1958" s="26" t="s">
        <v>1685</v>
      </c>
      <c r="E1958" s="26">
        <v>-69173.475999999995</v>
      </c>
      <c r="F1958" s="26">
        <v>2.7309999999999999</v>
      </c>
      <c r="G1958" s="26">
        <f t="shared" si="30"/>
        <v>-69173.475999999995</v>
      </c>
    </row>
    <row r="1959" spans="1:7" x14ac:dyDescent="0.2">
      <c r="A1959" s="26">
        <v>92</v>
      </c>
      <c r="B1959" s="26">
        <v>67</v>
      </c>
      <c r="C1959" s="26">
        <v>159</v>
      </c>
      <c r="D1959" s="26" t="s">
        <v>1686</v>
      </c>
      <c r="E1959" s="26">
        <v>-67335.876000000004</v>
      </c>
      <c r="F1959" s="26">
        <v>3.8290000000000002</v>
      </c>
      <c r="G1959" s="26">
        <f t="shared" si="30"/>
        <v>-67335.876000000004</v>
      </c>
    </row>
    <row r="1960" spans="1:7" x14ac:dyDescent="0.2">
      <c r="A1960" s="26">
        <v>91</v>
      </c>
      <c r="B1960" s="26">
        <v>68</v>
      </c>
      <c r="C1960" s="26">
        <v>159</v>
      </c>
      <c r="D1960" s="26" t="s">
        <v>1687</v>
      </c>
      <c r="E1960" s="26">
        <v>-64567.375999999997</v>
      </c>
      <c r="F1960" s="26">
        <v>4.319</v>
      </c>
      <c r="G1960" s="26">
        <f t="shared" si="30"/>
        <v>-64567.375999999997</v>
      </c>
    </row>
    <row r="1961" spans="1:7" x14ac:dyDescent="0.2">
      <c r="A1961" s="26">
        <v>90</v>
      </c>
      <c r="B1961" s="26">
        <v>69</v>
      </c>
      <c r="C1961" s="26">
        <v>159</v>
      </c>
      <c r="D1961" s="26" t="s">
        <v>1688</v>
      </c>
      <c r="E1961" s="26">
        <v>-60570.398000000001</v>
      </c>
      <c r="F1961" s="26">
        <v>27.945</v>
      </c>
      <c r="G1961" s="26">
        <f t="shared" si="30"/>
        <v>-60570.398000000001</v>
      </c>
    </row>
    <row r="1962" spans="1:7" x14ac:dyDescent="0.2">
      <c r="A1962" s="26">
        <v>89</v>
      </c>
      <c r="B1962" s="26">
        <v>70</v>
      </c>
      <c r="C1962" s="26">
        <v>159</v>
      </c>
      <c r="D1962" s="26" t="s">
        <v>1689</v>
      </c>
      <c r="E1962" s="26">
        <v>-55842.972999999998</v>
      </c>
      <c r="F1962" s="26">
        <v>18.356000000000002</v>
      </c>
      <c r="G1962" s="26">
        <f t="shared" si="30"/>
        <v>-55842.972999999998</v>
      </c>
    </row>
    <row r="1963" spans="1:7" x14ac:dyDescent="0.2">
      <c r="A1963" s="26">
        <v>88</v>
      </c>
      <c r="B1963" s="26">
        <v>71</v>
      </c>
      <c r="C1963" s="26">
        <v>159</v>
      </c>
      <c r="D1963" s="26" t="s">
        <v>1690</v>
      </c>
      <c r="E1963" s="26">
        <v>-49714.974999999999</v>
      </c>
      <c r="F1963" s="26">
        <v>37.662999999999997</v>
      </c>
      <c r="G1963" s="26">
        <f t="shared" si="30"/>
        <v>-49714.974999999999</v>
      </c>
    </row>
    <row r="1964" spans="1:7" x14ac:dyDescent="0.2">
      <c r="A1964" s="26">
        <v>87</v>
      </c>
      <c r="B1964" s="26">
        <v>72</v>
      </c>
      <c r="C1964" s="26">
        <v>159</v>
      </c>
      <c r="D1964" s="26" t="s">
        <v>1691</v>
      </c>
      <c r="E1964" s="26">
        <v>-42853.502999999997</v>
      </c>
      <c r="F1964" s="26">
        <v>16.838000000000001</v>
      </c>
      <c r="G1964" s="26">
        <f t="shared" si="30"/>
        <v>-42853.502999999997</v>
      </c>
    </row>
    <row r="1965" spans="1:7" x14ac:dyDescent="0.2">
      <c r="A1965" s="26">
        <v>86</v>
      </c>
      <c r="B1965" s="26">
        <v>73</v>
      </c>
      <c r="C1965" s="26">
        <v>159</v>
      </c>
      <c r="D1965" s="26" t="s">
        <v>1692</v>
      </c>
      <c r="E1965" s="26">
        <v>-34448.35</v>
      </c>
      <c r="F1965" s="26">
        <v>20.513999999999999</v>
      </c>
      <c r="G1965" s="26">
        <f t="shared" si="30"/>
        <v>-34448.35</v>
      </c>
    </row>
    <row r="1966" spans="1:7" x14ac:dyDescent="0.2">
      <c r="A1966" s="26">
        <v>85</v>
      </c>
      <c r="B1966" s="26">
        <v>74</v>
      </c>
      <c r="C1966" s="26">
        <v>159</v>
      </c>
      <c r="D1966" s="26" t="s">
        <v>1693</v>
      </c>
      <c r="E1966" s="26" t="s">
        <v>618</v>
      </c>
      <c r="F1966" s="26" t="s">
        <v>1723</v>
      </c>
      <c r="G1966" s="26">
        <f t="shared" si="30"/>
        <v>-25227.01</v>
      </c>
    </row>
    <row r="1967" spans="1:7" x14ac:dyDescent="0.2">
      <c r="A1967" s="26">
        <v>100</v>
      </c>
      <c r="B1967" s="26">
        <v>60</v>
      </c>
      <c r="C1967" s="26">
        <v>160</v>
      </c>
      <c r="D1967" s="26" t="s">
        <v>1679</v>
      </c>
      <c r="E1967" s="26" t="s">
        <v>619</v>
      </c>
      <c r="F1967" s="26" t="s">
        <v>1505</v>
      </c>
      <c r="G1967" s="26">
        <f t="shared" si="30"/>
        <v>-47422.01</v>
      </c>
    </row>
    <row r="1968" spans="1:7" x14ac:dyDescent="0.2">
      <c r="A1968" s="26">
        <v>99</v>
      </c>
      <c r="B1968" s="26">
        <v>61</v>
      </c>
      <c r="C1968" s="26">
        <v>160</v>
      </c>
      <c r="D1968" s="26" t="s">
        <v>1680</v>
      </c>
      <c r="E1968" s="26" t="s">
        <v>1379</v>
      </c>
      <c r="F1968" s="26" t="s">
        <v>1730</v>
      </c>
      <c r="G1968" s="26">
        <f t="shared" si="30"/>
        <v>-53104.01</v>
      </c>
    </row>
    <row r="1969" spans="1:7" x14ac:dyDescent="0.2">
      <c r="A1969" s="26">
        <v>98</v>
      </c>
      <c r="B1969" s="26">
        <v>62</v>
      </c>
      <c r="C1969" s="26">
        <v>160</v>
      </c>
      <c r="D1969" s="26" t="s">
        <v>1681</v>
      </c>
      <c r="E1969" s="26" t="s">
        <v>1380</v>
      </c>
      <c r="F1969" s="26" t="s">
        <v>1480</v>
      </c>
      <c r="G1969" s="26">
        <f t="shared" si="30"/>
        <v>-60417.01</v>
      </c>
    </row>
    <row r="1970" spans="1:7" x14ac:dyDescent="0.2">
      <c r="A1970" s="26">
        <v>97</v>
      </c>
      <c r="B1970" s="26">
        <v>63</v>
      </c>
      <c r="C1970" s="26">
        <v>160</v>
      </c>
      <c r="D1970" s="26" t="s">
        <v>1682</v>
      </c>
      <c r="E1970" s="26" t="s">
        <v>620</v>
      </c>
      <c r="F1970" s="26" t="s">
        <v>1478</v>
      </c>
      <c r="G1970" s="26">
        <f t="shared" si="30"/>
        <v>-63369.01</v>
      </c>
    </row>
    <row r="1971" spans="1:7" x14ac:dyDescent="0.2">
      <c r="A1971" s="26">
        <v>96</v>
      </c>
      <c r="B1971" s="26">
        <v>64</v>
      </c>
      <c r="C1971" s="26">
        <v>160</v>
      </c>
      <c r="D1971" s="26" t="s">
        <v>1683</v>
      </c>
      <c r="E1971" s="26">
        <v>-67948.626000000004</v>
      </c>
      <c r="F1971" s="26">
        <v>2.556</v>
      </c>
      <c r="G1971" s="26">
        <f t="shared" si="30"/>
        <v>-67948.626000000004</v>
      </c>
    </row>
    <row r="1972" spans="1:7" x14ac:dyDescent="0.2">
      <c r="A1972" s="26">
        <v>95</v>
      </c>
      <c r="B1972" s="26">
        <v>65</v>
      </c>
      <c r="C1972" s="26">
        <v>160</v>
      </c>
      <c r="D1972" s="26" t="s">
        <v>1684</v>
      </c>
      <c r="E1972" s="26">
        <v>-67842.937999999995</v>
      </c>
      <c r="F1972" s="26">
        <v>2.5550000000000002</v>
      </c>
      <c r="G1972" s="26">
        <f t="shared" si="30"/>
        <v>-67842.937999999995</v>
      </c>
    </row>
    <row r="1973" spans="1:7" x14ac:dyDescent="0.2">
      <c r="A1973" s="26">
        <v>94</v>
      </c>
      <c r="B1973" s="26">
        <v>66</v>
      </c>
      <c r="C1973" s="26">
        <v>160</v>
      </c>
      <c r="D1973" s="26" t="s">
        <v>1685</v>
      </c>
      <c r="E1973" s="26">
        <v>-69678.063999999998</v>
      </c>
      <c r="F1973" s="26">
        <v>2.536</v>
      </c>
      <c r="G1973" s="26">
        <f t="shared" si="30"/>
        <v>-69678.063999999998</v>
      </c>
    </row>
    <row r="1974" spans="1:7" x14ac:dyDescent="0.2">
      <c r="A1974" s="26">
        <v>93</v>
      </c>
      <c r="B1974" s="26">
        <v>67</v>
      </c>
      <c r="C1974" s="26">
        <v>160</v>
      </c>
      <c r="D1974" s="26" t="s">
        <v>1686</v>
      </c>
      <c r="E1974" s="26">
        <v>-66388.063999999998</v>
      </c>
      <c r="F1974" s="26">
        <v>15.212999999999999</v>
      </c>
      <c r="G1974" s="26">
        <f t="shared" si="30"/>
        <v>-66388.063999999998</v>
      </c>
    </row>
    <row r="1975" spans="1:7" x14ac:dyDescent="0.2">
      <c r="A1975" s="26">
        <v>92</v>
      </c>
      <c r="B1975" s="26">
        <v>68</v>
      </c>
      <c r="C1975" s="26">
        <v>160</v>
      </c>
      <c r="D1975" s="26" t="s">
        <v>1687</v>
      </c>
      <c r="E1975" s="26">
        <v>-66058.487999999998</v>
      </c>
      <c r="F1975" s="26">
        <v>24.428000000000001</v>
      </c>
      <c r="G1975" s="26">
        <f t="shared" si="30"/>
        <v>-66058.487999999998</v>
      </c>
    </row>
    <row r="1976" spans="1:7" x14ac:dyDescent="0.2">
      <c r="A1976" s="26">
        <v>91</v>
      </c>
      <c r="B1976" s="26">
        <v>69</v>
      </c>
      <c r="C1976" s="26">
        <v>160</v>
      </c>
      <c r="D1976" s="26" t="s">
        <v>1688</v>
      </c>
      <c r="E1976" s="26">
        <v>-60302.313000000002</v>
      </c>
      <c r="F1976" s="26">
        <v>34.274000000000001</v>
      </c>
      <c r="G1976" s="26">
        <f t="shared" si="30"/>
        <v>-60302.313000000002</v>
      </c>
    </row>
    <row r="1977" spans="1:7" x14ac:dyDescent="0.2">
      <c r="A1977" s="26">
        <v>90</v>
      </c>
      <c r="B1977" s="26">
        <v>70</v>
      </c>
      <c r="C1977" s="26">
        <v>160</v>
      </c>
      <c r="D1977" s="26" t="s">
        <v>1689</v>
      </c>
      <c r="E1977" s="26">
        <v>-58169.616999999998</v>
      </c>
      <c r="F1977" s="26">
        <v>16.507000000000001</v>
      </c>
      <c r="G1977" s="26">
        <f t="shared" si="30"/>
        <v>-58169.616999999998</v>
      </c>
    </row>
    <row r="1978" spans="1:7" x14ac:dyDescent="0.2">
      <c r="A1978" s="26">
        <v>89</v>
      </c>
      <c r="B1978" s="26">
        <v>71</v>
      </c>
      <c r="C1978" s="26">
        <v>160</v>
      </c>
      <c r="D1978" s="26" t="s">
        <v>1690</v>
      </c>
      <c r="E1978" s="26">
        <v>-50269.936999999998</v>
      </c>
      <c r="F1978" s="26">
        <v>56.820999999999998</v>
      </c>
      <c r="G1978" s="26">
        <f t="shared" si="30"/>
        <v>-50269.936999999998</v>
      </c>
    </row>
    <row r="1979" spans="1:7" x14ac:dyDescent="0.2">
      <c r="A1979" s="26">
        <v>88</v>
      </c>
      <c r="B1979" s="26">
        <v>72</v>
      </c>
      <c r="C1979" s="26">
        <v>160</v>
      </c>
      <c r="D1979" s="26" t="s">
        <v>1691</v>
      </c>
      <c r="E1979" s="26">
        <v>-45937.205000000002</v>
      </c>
      <c r="F1979" s="26">
        <v>11.583</v>
      </c>
      <c r="G1979" s="26">
        <f t="shared" si="30"/>
        <v>-45937.205000000002</v>
      </c>
    </row>
    <row r="1980" spans="1:7" x14ac:dyDescent="0.2">
      <c r="A1980" s="26">
        <v>87</v>
      </c>
      <c r="B1980" s="26">
        <v>73</v>
      </c>
      <c r="C1980" s="26">
        <v>160</v>
      </c>
      <c r="D1980" s="26" t="s">
        <v>1692</v>
      </c>
      <c r="E1980" s="26">
        <v>-35875.506999999998</v>
      </c>
      <c r="F1980" s="26">
        <v>89.025000000000006</v>
      </c>
      <c r="G1980" s="26">
        <f t="shared" si="30"/>
        <v>-35875.506999999998</v>
      </c>
    </row>
    <row r="1981" spans="1:7" x14ac:dyDescent="0.2">
      <c r="A1981" s="26">
        <v>86</v>
      </c>
      <c r="B1981" s="26">
        <v>74</v>
      </c>
      <c r="C1981" s="26">
        <v>160</v>
      </c>
      <c r="D1981" s="26" t="s">
        <v>1693</v>
      </c>
      <c r="E1981" s="26">
        <v>-29361.804</v>
      </c>
      <c r="F1981" s="26">
        <v>208.50800000000001</v>
      </c>
      <c r="G1981" s="26">
        <f t="shared" si="30"/>
        <v>-29361.804</v>
      </c>
    </row>
    <row r="1982" spans="1:7" x14ac:dyDescent="0.2">
      <c r="A1982" s="26">
        <v>85</v>
      </c>
      <c r="B1982" s="26">
        <v>75</v>
      </c>
      <c r="C1982" s="26">
        <v>160</v>
      </c>
      <c r="D1982" s="26" t="s">
        <v>1694</v>
      </c>
      <c r="E1982" s="26" t="s">
        <v>621</v>
      </c>
      <c r="F1982" s="26" t="s">
        <v>1723</v>
      </c>
      <c r="G1982" s="26">
        <f t="shared" si="30"/>
        <v>-16660.009999999998</v>
      </c>
    </row>
    <row r="1983" spans="1:7" x14ac:dyDescent="0.2">
      <c r="A1983" s="26">
        <v>101</v>
      </c>
      <c r="B1983" s="26">
        <v>60</v>
      </c>
      <c r="C1983" s="26">
        <v>161</v>
      </c>
      <c r="D1983" s="26" t="s">
        <v>1679</v>
      </c>
      <c r="E1983" s="26" t="s">
        <v>622</v>
      </c>
      <c r="F1983" s="26" t="s">
        <v>1508</v>
      </c>
      <c r="G1983" s="26">
        <f t="shared" si="30"/>
        <v>-42961.01</v>
      </c>
    </row>
    <row r="1984" spans="1:7" x14ac:dyDescent="0.2">
      <c r="A1984" s="26">
        <v>100</v>
      </c>
      <c r="B1984" s="26">
        <v>61</v>
      </c>
      <c r="C1984" s="26">
        <v>161</v>
      </c>
      <c r="D1984" s="26" t="s">
        <v>1680</v>
      </c>
      <c r="E1984" s="26" t="s">
        <v>1077</v>
      </c>
      <c r="F1984" s="26" t="s">
        <v>1728</v>
      </c>
      <c r="G1984" s="26">
        <f t="shared" si="30"/>
        <v>-50431.01</v>
      </c>
    </row>
    <row r="1985" spans="1:7" x14ac:dyDescent="0.2">
      <c r="A1985" s="26">
        <v>99</v>
      </c>
      <c r="B1985" s="26">
        <v>62</v>
      </c>
      <c r="C1985" s="26">
        <v>161</v>
      </c>
      <c r="D1985" s="26" t="s">
        <v>1681</v>
      </c>
      <c r="E1985" s="26" t="s">
        <v>1078</v>
      </c>
      <c r="F1985" s="26" t="s">
        <v>1730</v>
      </c>
      <c r="G1985" s="26">
        <f t="shared" si="30"/>
        <v>-56979.01</v>
      </c>
    </row>
    <row r="1986" spans="1:7" x14ac:dyDescent="0.2">
      <c r="A1986" s="26">
        <v>98</v>
      </c>
      <c r="B1986" s="26">
        <v>63</v>
      </c>
      <c r="C1986" s="26">
        <v>161</v>
      </c>
      <c r="D1986" s="26" t="s">
        <v>1682</v>
      </c>
      <c r="E1986" s="26" t="s">
        <v>1079</v>
      </c>
      <c r="F1986" s="26" t="s">
        <v>1730</v>
      </c>
      <c r="G1986" s="26">
        <f t="shared" si="30"/>
        <v>-61777.01</v>
      </c>
    </row>
    <row r="1987" spans="1:7" x14ac:dyDescent="0.2">
      <c r="A1987" s="26">
        <v>97</v>
      </c>
      <c r="B1987" s="26">
        <v>64</v>
      </c>
      <c r="C1987" s="26">
        <v>161</v>
      </c>
      <c r="D1987" s="26" t="s">
        <v>1683</v>
      </c>
      <c r="E1987" s="26">
        <v>-65512.709000000003</v>
      </c>
      <c r="F1987" s="26">
        <v>2.7450000000000001</v>
      </c>
      <c r="G1987" s="26">
        <f t="shared" si="30"/>
        <v>-65512.709000000003</v>
      </c>
    </row>
    <row r="1988" spans="1:7" x14ac:dyDescent="0.2">
      <c r="A1988" s="26">
        <v>96</v>
      </c>
      <c r="B1988" s="26">
        <v>65</v>
      </c>
      <c r="C1988" s="26">
        <v>161</v>
      </c>
      <c r="D1988" s="26" t="s">
        <v>1684</v>
      </c>
      <c r="E1988" s="26">
        <v>-67468.186000000002</v>
      </c>
      <c r="F1988" s="26">
        <v>2.6040000000000001</v>
      </c>
      <c r="G1988" s="26">
        <f t="shared" si="30"/>
        <v>-67468.186000000002</v>
      </c>
    </row>
    <row r="1989" spans="1:7" x14ac:dyDescent="0.2">
      <c r="A1989" s="26">
        <v>95</v>
      </c>
      <c r="B1989" s="26">
        <v>66</v>
      </c>
      <c r="C1989" s="26">
        <v>161</v>
      </c>
      <c r="D1989" s="26" t="s">
        <v>1685</v>
      </c>
      <c r="E1989" s="26">
        <v>-68061.133000000002</v>
      </c>
      <c r="F1989" s="26">
        <v>2.5350000000000001</v>
      </c>
      <c r="G1989" s="26">
        <f t="shared" si="30"/>
        <v>-68061.133000000002</v>
      </c>
    </row>
    <row r="1990" spans="1:7" x14ac:dyDescent="0.2">
      <c r="A1990" s="26">
        <v>94</v>
      </c>
      <c r="B1990" s="26">
        <v>67</v>
      </c>
      <c r="C1990" s="26">
        <v>161</v>
      </c>
      <c r="D1990" s="26" t="s">
        <v>1686</v>
      </c>
      <c r="E1990" s="26">
        <v>-67202.842999999993</v>
      </c>
      <c r="F1990" s="26">
        <v>3.222</v>
      </c>
      <c r="G1990" s="26">
        <f t="shared" si="30"/>
        <v>-67202.842999999993</v>
      </c>
    </row>
    <row r="1991" spans="1:7" x14ac:dyDescent="0.2">
      <c r="A1991" s="26">
        <v>93</v>
      </c>
      <c r="B1991" s="26">
        <v>68</v>
      </c>
      <c r="C1991" s="26">
        <v>161</v>
      </c>
      <c r="D1991" s="26" t="s">
        <v>1687</v>
      </c>
      <c r="E1991" s="26">
        <v>-65208.95</v>
      </c>
      <c r="F1991" s="26">
        <v>9.4039999999999999</v>
      </c>
      <c r="G1991" s="26">
        <f t="shared" si="30"/>
        <v>-65208.95</v>
      </c>
    </row>
    <row r="1992" spans="1:7" x14ac:dyDescent="0.2">
      <c r="A1992" s="26">
        <v>92</v>
      </c>
      <c r="B1992" s="26">
        <v>69</v>
      </c>
      <c r="C1992" s="26">
        <v>161</v>
      </c>
      <c r="D1992" s="26" t="s">
        <v>1688</v>
      </c>
      <c r="E1992" s="26">
        <v>-61898.707999999999</v>
      </c>
      <c r="F1992" s="26">
        <v>27.945</v>
      </c>
      <c r="G1992" s="26">
        <f t="shared" si="30"/>
        <v>-61898.707999999999</v>
      </c>
    </row>
    <row r="1993" spans="1:7" x14ac:dyDescent="0.2">
      <c r="A1993" s="26">
        <v>91</v>
      </c>
      <c r="B1993" s="26">
        <v>70</v>
      </c>
      <c r="C1993" s="26">
        <v>161</v>
      </c>
      <c r="D1993" s="26" t="s">
        <v>1689</v>
      </c>
      <c r="E1993" s="26">
        <v>-57844.214</v>
      </c>
      <c r="F1993" s="26">
        <v>15.993</v>
      </c>
      <c r="G1993" s="26">
        <f t="shared" si="30"/>
        <v>-57844.214</v>
      </c>
    </row>
    <row r="1994" spans="1:7" x14ac:dyDescent="0.2">
      <c r="A1994" s="26">
        <v>90</v>
      </c>
      <c r="B1994" s="26">
        <v>71</v>
      </c>
      <c r="C1994" s="26">
        <v>161</v>
      </c>
      <c r="D1994" s="26" t="s">
        <v>1690</v>
      </c>
      <c r="E1994" s="26">
        <v>-52562.343999999997</v>
      </c>
      <c r="F1994" s="26">
        <v>27.945</v>
      </c>
      <c r="G1994" s="26">
        <f t="shared" ref="G1994:G2057" si="31">IF(ISNUMBER(E1994),E1994,VALUE(SUBSTITUTE(E1994,"#",".01")))</f>
        <v>-52562.343999999997</v>
      </c>
    </row>
    <row r="1995" spans="1:7" x14ac:dyDescent="0.2">
      <c r="A1995" s="26">
        <v>89</v>
      </c>
      <c r="B1995" s="26">
        <v>72</v>
      </c>
      <c r="C1995" s="26">
        <v>161</v>
      </c>
      <c r="D1995" s="26" t="s">
        <v>1691</v>
      </c>
      <c r="E1995" s="26">
        <v>-46318.684999999998</v>
      </c>
      <c r="F1995" s="26">
        <v>22.536000000000001</v>
      </c>
      <c r="G1995" s="26">
        <f t="shared" si="31"/>
        <v>-46318.684999999998</v>
      </c>
    </row>
    <row r="1996" spans="1:7" x14ac:dyDescent="0.2">
      <c r="A1996" s="26">
        <v>88</v>
      </c>
      <c r="B1996" s="26">
        <v>73</v>
      </c>
      <c r="C1996" s="26">
        <v>161</v>
      </c>
      <c r="D1996" s="26" t="s">
        <v>1692</v>
      </c>
      <c r="E1996" s="26" t="s">
        <v>623</v>
      </c>
      <c r="F1996" s="26" t="s">
        <v>624</v>
      </c>
      <c r="G1996" s="26">
        <f t="shared" si="31"/>
        <v>-38734.01</v>
      </c>
    </row>
    <row r="1997" spans="1:7" x14ac:dyDescent="0.2">
      <c r="A1997" s="26">
        <v>87</v>
      </c>
      <c r="B1997" s="26">
        <v>74</v>
      </c>
      <c r="C1997" s="26">
        <v>161</v>
      </c>
      <c r="D1997" s="26" t="s">
        <v>1693</v>
      </c>
      <c r="E1997" s="26" t="s">
        <v>625</v>
      </c>
      <c r="F1997" s="26" t="s">
        <v>1480</v>
      </c>
      <c r="G1997" s="26">
        <f t="shared" si="31"/>
        <v>-30407.01</v>
      </c>
    </row>
    <row r="1998" spans="1:7" x14ac:dyDescent="0.2">
      <c r="A1998" s="26">
        <v>86</v>
      </c>
      <c r="B1998" s="26">
        <v>75</v>
      </c>
      <c r="C1998" s="26">
        <v>161</v>
      </c>
      <c r="D1998" s="26" t="s">
        <v>1694</v>
      </c>
      <c r="E1998" s="26">
        <v>-20875.600999999999</v>
      </c>
      <c r="F1998" s="26">
        <v>208.57599999999999</v>
      </c>
      <c r="G1998" s="26">
        <f t="shared" si="31"/>
        <v>-20875.600999999999</v>
      </c>
    </row>
    <row r="1999" spans="1:7" x14ac:dyDescent="0.2">
      <c r="A1999" s="26">
        <v>101</v>
      </c>
      <c r="B1999" s="26">
        <v>61</v>
      </c>
      <c r="C1999" s="26">
        <v>162</v>
      </c>
      <c r="D1999" s="26" t="s">
        <v>1680</v>
      </c>
      <c r="E1999" s="26" t="s">
        <v>1080</v>
      </c>
      <c r="F1999" s="26" t="s">
        <v>1508</v>
      </c>
      <c r="G1999" s="26">
        <f t="shared" si="31"/>
        <v>-46305.01</v>
      </c>
    </row>
    <row r="2000" spans="1:7" x14ac:dyDescent="0.2">
      <c r="A2000" s="26">
        <v>100</v>
      </c>
      <c r="B2000" s="26">
        <v>62</v>
      </c>
      <c r="C2000" s="26">
        <v>162</v>
      </c>
      <c r="D2000" s="26" t="s">
        <v>1681</v>
      </c>
      <c r="E2000" s="26" t="s">
        <v>1081</v>
      </c>
      <c r="F2000" s="26" t="s">
        <v>1728</v>
      </c>
      <c r="G2000" s="26">
        <f t="shared" si="31"/>
        <v>-54753.01</v>
      </c>
    </row>
    <row r="2001" spans="1:7" x14ac:dyDescent="0.2">
      <c r="A2001" s="26">
        <v>99</v>
      </c>
      <c r="B2001" s="26">
        <v>63</v>
      </c>
      <c r="C2001" s="26">
        <v>162</v>
      </c>
      <c r="D2001" s="26" t="s">
        <v>1682</v>
      </c>
      <c r="E2001" s="26" t="s">
        <v>1082</v>
      </c>
      <c r="F2001" s="26" t="s">
        <v>1730</v>
      </c>
      <c r="G2001" s="26">
        <f t="shared" si="31"/>
        <v>-58647.01</v>
      </c>
    </row>
    <row r="2002" spans="1:7" x14ac:dyDescent="0.2">
      <c r="A2002" s="26">
        <v>98</v>
      </c>
      <c r="B2002" s="26">
        <v>64</v>
      </c>
      <c r="C2002" s="26">
        <v>162</v>
      </c>
      <c r="D2002" s="26" t="s">
        <v>1683</v>
      </c>
      <c r="E2002" s="26">
        <v>-64287.29</v>
      </c>
      <c r="F2002" s="26">
        <v>4.58</v>
      </c>
      <c r="G2002" s="26">
        <f t="shared" si="31"/>
        <v>-64287.29</v>
      </c>
    </row>
    <row r="2003" spans="1:7" x14ac:dyDescent="0.2">
      <c r="A2003" s="26">
        <v>97</v>
      </c>
      <c r="B2003" s="26">
        <v>65</v>
      </c>
      <c r="C2003" s="26">
        <v>162</v>
      </c>
      <c r="D2003" s="26" t="s">
        <v>1684</v>
      </c>
      <c r="E2003" s="26">
        <v>-65681.286999999997</v>
      </c>
      <c r="F2003" s="26">
        <v>36.451999999999998</v>
      </c>
      <c r="G2003" s="26">
        <f t="shared" si="31"/>
        <v>-65681.286999999997</v>
      </c>
    </row>
    <row r="2004" spans="1:7" x14ac:dyDescent="0.2">
      <c r="A2004" s="26">
        <v>96</v>
      </c>
      <c r="B2004" s="26">
        <v>66</v>
      </c>
      <c r="C2004" s="26">
        <v>162</v>
      </c>
      <c r="D2004" s="26" t="s">
        <v>1685</v>
      </c>
      <c r="E2004" s="26">
        <v>-68186.808000000005</v>
      </c>
      <c r="F2004" s="26">
        <v>2.5350000000000001</v>
      </c>
      <c r="G2004" s="26">
        <f t="shared" si="31"/>
        <v>-68186.808000000005</v>
      </c>
    </row>
    <row r="2005" spans="1:7" x14ac:dyDescent="0.2">
      <c r="A2005" s="26">
        <v>95</v>
      </c>
      <c r="B2005" s="26">
        <v>67</v>
      </c>
      <c r="C2005" s="26">
        <v>162</v>
      </c>
      <c r="D2005" s="26" t="s">
        <v>1686</v>
      </c>
      <c r="E2005" s="26">
        <v>-66047.111999999994</v>
      </c>
      <c r="F2005" s="26">
        <v>3.9209999999999998</v>
      </c>
      <c r="G2005" s="26">
        <f t="shared" si="31"/>
        <v>-66047.111999999994</v>
      </c>
    </row>
    <row r="2006" spans="1:7" x14ac:dyDescent="0.2">
      <c r="A2006" s="26">
        <v>94</v>
      </c>
      <c r="B2006" s="26">
        <v>68</v>
      </c>
      <c r="C2006" s="26">
        <v>162</v>
      </c>
      <c r="D2006" s="26" t="s">
        <v>1687</v>
      </c>
      <c r="E2006" s="26">
        <v>-66342.62</v>
      </c>
      <c r="F2006" s="26">
        <v>3.4670000000000001</v>
      </c>
      <c r="G2006" s="26">
        <f t="shared" si="31"/>
        <v>-66342.62</v>
      </c>
    </row>
    <row r="2007" spans="1:7" x14ac:dyDescent="0.2">
      <c r="A2007" s="26">
        <v>93</v>
      </c>
      <c r="B2007" s="26">
        <v>69</v>
      </c>
      <c r="C2007" s="26">
        <v>162</v>
      </c>
      <c r="D2007" s="26" t="s">
        <v>1688</v>
      </c>
      <c r="E2007" s="26">
        <v>-61483.557999999997</v>
      </c>
      <c r="F2007" s="26">
        <v>26.277000000000001</v>
      </c>
      <c r="G2007" s="26">
        <f t="shared" si="31"/>
        <v>-61483.557999999997</v>
      </c>
    </row>
    <row r="2008" spans="1:7" x14ac:dyDescent="0.2">
      <c r="A2008" s="26">
        <v>92</v>
      </c>
      <c r="B2008" s="26">
        <v>70</v>
      </c>
      <c r="C2008" s="26">
        <v>162</v>
      </c>
      <c r="D2008" s="26" t="s">
        <v>1689</v>
      </c>
      <c r="E2008" s="26">
        <v>-59831.527000000002</v>
      </c>
      <c r="F2008" s="26">
        <v>15.993</v>
      </c>
      <c r="G2008" s="26">
        <f t="shared" si="31"/>
        <v>-59831.527000000002</v>
      </c>
    </row>
    <row r="2009" spans="1:7" x14ac:dyDescent="0.2">
      <c r="A2009" s="26">
        <v>91</v>
      </c>
      <c r="B2009" s="26">
        <v>71</v>
      </c>
      <c r="C2009" s="26">
        <v>162</v>
      </c>
      <c r="D2009" s="26" t="s">
        <v>1690</v>
      </c>
      <c r="E2009" s="26">
        <v>-52836.866000000002</v>
      </c>
      <c r="F2009" s="26">
        <v>75.036000000000001</v>
      </c>
      <c r="G2009" s="26">
        <f t="shared" si="31"/>
        <v>-52836.866000000002</v>
      </c>
    </row>
    <row r="2010" spans="1:7" x14ac:dyDescent="0.2">
      <c r="A2010" s="26">
        <v>90</v>
      </c>
      <c r="B2010" s="26">
        <v>72</v>
      </c>
      <c r="C2010" s="26">
        <v>162</v>
      </c>
      <c r="D2010" s="26" t="s">
        <v>1691</v>
      </c>
      <c r="E2010" s="26">
        <v>-49173.105000000003</v>
      </c>
      <c r="F2010" s="26">
        <v>9.5980000000000008</v>
      </c>
      <c r="G2010" s="26">
        <f t="shared" si="31"/>
        <v>-49173.105000000003</v>
      </c>
    </row>
    <row r="2011" spans="1:7" x14ac:dyDescent="0.2">
      <c r="A2011" s="26">
        <v>89</v>
      </c>
      <c r="B2011" s="26">
        <v>73</v>
      </c>
      <c r="C2011" s="26">
        <v>162</v>
      </c>
      <c r="D2011" s="26" t="s">
        <v>1692</v>
      </c>
      <c r="E2011" s="26">
        <v>-39782.377</v>
      </c>
      <c r="F2011" s="26">
        <v>52.241</v>
      </c>
      <c r="G2011" s="26">
        <f t="shared" si="31"/>
        <v>-39782.377</v>
      </c>
    </row>
    <row r="2012" spans="1:7" x14ac:dyDescent="0.2">
      <c r="A2012" s="26">
        <v>88</v>
      </c>
      <c r="B2012" s="26">
        <v>74</v>
      </c>
      <c r="C2012" s="26">
        <v>162</v>
      </c>
      <c r="D2012" s="26" t="s">
        <v>1693</v>
      </c>
      <c r="E2012" s="26">
        <v>-34001.936999999998</v>
      </c>
      <c r="F2012" s="26">
        <v>17.71</v>
      </c>
      <c r="G2012" s="26">
        <f t="shared" si="31"/>
        <v>-34001.936999999998</v>
      </c>
    </row>
    <row r="2013" spans="1:7" x14ac:dyDescent="0.2">
      <c r="A2013" s="26">
        <v>87</v>
      </c>
      <c r="B2013" s="26">
        <v>75</v>
      </c>
      <c r="C2013" s="26">
        <v>162</v>
      </c>
      <c r="D2013" s="26" t="s">
        <v>1694</v>
      </c>
      <c r="E2013" s="26" t="s">
        <v>626</v>
      </c>
      <c r="F2013" s="26" t="s">
        <v>1252</v>
      </c>
      <c r="G2013" s="26">
        <f t="shared" si="31"/>
        <v>-22354.01</v>
      </c>
    </row>
    <row r="2014" spans="1:7" x14ac:dyDescent="0.2">
      <c r="A2014" s="26">
        <v>86</v>
      </c>
      <c r="B2014" s="26">
        <v>76</v>
      </c>
      <c r="C2014" s="26">
        <v>162</v>
      </c>
      <c r="D2014" s="26" t="s">
        <v>1695</v>
      </c>
      <c r="E2014" s="26" t="s">
        <v>930</v>
      </c>
      <c r="F2014" s="26" t="s">
        <v>1728</v>
      </c>
      <c r="G2014" s="26">
        <f t="shared" si="31"/>
        <v>-14503.01</v>
      </c>
    </row>
    <row r="2015" spans="1:7" x14ac:dyDescent="0.2">
      <c r="A2015" s="26">
        <v>102</v>
      </c>
      <c r="B2015" s="26">
        <v>61</v>
      </c>
      <c r="C2015" s="26">
        <v>163</v>
      </c>
      <c r="D2015" s="26" t="s">
        <v>1680</v>
      </c>
      <c r="E2015" s="26" t="s">
        <v>627</v>
      </c>
      <c r="F2015" s="26" t="s">
        <v>1725</v>
      </c>
      <c r="G2015" s="26">
        <f t="shared" si="31"/>
        <v>-43147.01</v>
      </c>
    </row>
    <row r="2016" spans="1:7" x14ac:dyDescent="0.2">
      <c r="A2016" s="26">
        <v>101</v>
      </c>
      <c r="B2016" s="26">
        <v>62</v>
      </c>
      <c r="C2016" s="26">
        <v>163</v>
      </c>
      <c r="D2016" s="26" t="s">
        <v>1681</v>
      </c>
      <c r="E2016" s="26" t="s">
        <v>1083</v>
      </c>
      <c r="F2016" s="26" t="s">
        <v>1508</v>
      </c>
      <c r="G2016" s="26">
        <f t="shared" si="31"/>
        <v>-50897.01</v>
      </c>
    </row>
    <row r="2017" spans="1:7" x14ac:dyDescent="0.2">
      <c r="A2017" s="26">
        <v>100</v>
      </c>
      <c r="B2017" s="26">
        <v>63</v>
      </c>
      <c r="C2017" s="26">
        <v>163</v>
      </c>
      <c r="D2017" s="26" t="s">
        <v>1682</v>
      </c>
      <c r="E2017" s="26" t="s">
        <v>1084</v>
      </c>
      <c r="F2017" s="26" t="s">
        <v>1728</v>
      </c>
      <c r="G2017" s="26">
        <f t="shared" si="31"/>
        <v>-56626.01</v>
      </c>
    </row>
    <row r="2018" spans="1:7" x14ac:dyDescent="0.2">
      <c r="A2018" s="26">
        <v>99</v>
      </c>
      <c r="B2018" s="26">
        <v>64</v>
      </c>
      <c r="C2018" s="26">
        <v>163</v>
      </c>
      <c r="D2018" s="26" t="s">
        <v>1683</v>
      </c>
      <c r="E2018" s="26" t="s">
        <v>1085</v>
      </c>
      <c r="F2018" s="26" t="s">
        <v>1730</v>
      </c>
      <c r="G2018" s="26">
        <f t="shared" si="31"/>
        <v>-61488.01</v>
      </c>
    </row>
    <row r="2019" spans="1:7" x14ac:dyDescent="0.2">
      <c r="A2019" s="26">
        <v>98</v>
      </c>
      <c r="B2019" s="26">
        <v>65</v>
      </c>
      <c r="C2019" s="26">
        <v>163</v>
      </c>
      <c r="D2019" s="26" t="s">
        <v>1684</v>
      </c>
      <c r="E2019" s="26">
        <v>-64601.404000000002</v>
      </c>
      <c r="F2019" s="26">
        <v>4.7350000000000003</v>
      </c>
      <c r="G2019" s="26">
        <f t="shared" si="31"/>
        <v>-64601.404000000002</v>
      </c>
    </row>
    <row r="2020" spans="1:7" x14ac:dyDescent="0.2">
      <c r="A2020" s="26">
        <v>97</v>
      </c>
      <c r="B2020" s="26">
        <v>66</v>
      </c>
      <c r="C2020" s="26">
        <v>163</v>
      </c>
      <c r="D2020" s="26" t="s">
        <v>1685</v>
      </c>
      <c r="E2020" s="26">
        <v>-66386.498000000007</v>
      </c>
      <c r="F2020" s="26">
        <v>2.5350000000000001</v>
      </c>
      <c r="G2020" s="26">
        <f t="shared" si="31"/>
        <v>-66386.498000000007</v>
      </c>
    </row>
    <row r="2021" spans="1:7" x14ac:dyDescent="0.2">
      <c r="A2021" s="26">
        <v>96</v>
      </c>
      <c r="B2021" s="26">
        <v>67</v>
      </c>
      <c r="C2021" s="26">
        <v>163</v>
      </c>
      <c r="D2021" s="26" t="s">
        <v>1686</v>
      </c>
      <c r="E2021" s="26">
        <v>-66383.941999999995</v>
      </c>
      <c r="F2021" s="26">
        <v>2.5350000000000001</v>
      </c>
      <c r="G2021" s="26">
        <f t="shared" si="31"/>
        <v>-66383.941999999995</v>
      </c>
    </row>
    <row r="2022" spans="1:7" x14ac:dyDescent="0.2">
      <c r="A2022" s="26">
        <v>95</v>
      </c>
      <c r="B2022" s="26">
        <v>68</v>
      </c>
      <c r="C2022" s="26">
        <v>163</v>
      </c>
      <c r="D2022" s="26" t="s">
        <v>1687</v>
      </c>
      <c r="E2022" s="26">
        <v>-65174.074000000001</v>
      </c>
      <c r="F2022" s="26">
        <v>5.2430000000000003</v>
      </c>
      <c r="G2022" s="26">
        <f t="shared" si="31"/>
        <v>-65174.074000000001</v>
      </c>
    </row>
    <row r="2023" spans="1:7" x14ac:dyDescent="0.2">
      <c r="A2023" s="26">
        <v>94</v>
      </c>
      <c r="B2023" s="26">
        <v>69</v>
      </c>
      <c r="C2023" s="26">
        <v>163</v>
      </c>
      <c r="D2023" s="26" t="s">
        <v>1688</v>
      </c>
      <c r="E2023" s="26">
        <v>-62735.074000000001</v>
      </c>
      <c r="F2023" s="26">
        <v>6.04</v>
      </c>
      <c r="G2023" s="26">
        <f t="shared" si="31"/>
        <v>-62735.074000000001</v>
      </c>
    </row>
    <row r="2024" spans="1:7" x14ac:dyDescent="0.2">
      <c r="A2024" s="26">
        <v>93</v>
      </c>
      <c r="B2024" s="26">
        <v>70</v>
      </c>
      <c r="C2024" s="26">
        <v>163</v>
      </c>
      <c r="D2024" s="26" t="s">
        <v>1689</v>
      </c>
      <c r="E2024" s="26">
        <v>-59304.213000000003</v>
      </c>
      <c r="F2024" s="26">
        <v>15.993</v>
      </c>
      <c r="G2024" s="26">
        <f t="shared" si="31"/>
        <v>-59304.213000000003</v>
      </c>
    </row>
    <row r="2025" spans="1:7" x14ac:dyDescent="0.2">
      <c r="A2025" s="26">
        <v>92</v>
      </c>
      <c r="B2025" s="26">
        <v>71</v>
      </c>
      <c r="C2025" s="26">
        <v>163</v>
      </c>
      <c r="D2025" s="26" t="s">
        <v>1690</v>
      </c>
      <c r="E2025" s="26">
        <v>-54791.409</v>
      </c>
      <c r="F2025" s="26">
        <v>27.945</v>
      </c>
      <c r="G2025" s="26">
        <f t="shared" si="31"/>
        <v>-54791.409</v>
      </c>
    </row>
    <row r="2026" spans="1:7" x14ac:dyDescent="0.2">
      <c r="A2026" s="26">
        <v>91</v>
      </c>
      <c r="B2026" s="26">
        <v>72</v>
      </c>
      <c r="C2026" s="26">
        <v>163</v>
      </c>
      <c r="D2026" s="26" t="s">
        <v>1691</v>
      </c>
      <c r="E2026" s="26">
        <v>-49286.28</v>
      </c>
      <c r="F2026" s="26">
        <v>27.945</v>
      </c>
      <c r="G2026" s="26">
        <f t="shared" si="31"/>
        <v>-49286.28</v>
      </c>
    </row>
    <row r="2027" spans="1:7" x14ac:dyDescent="0.2">
      <c r="A2027" s="26">
        <v>90</v>
      </c>
      <c r="B2027" s="26">
        <v>73</v>
      </c>
      <c r="C2027" s="26">
        <v>163</v>
      </c>
      <c r="D2027" s="26" t="s">
        <v>1692</v>
      </c>
      <c r="E2027" s="26">
        <v>-42541.078000000001</v>
      </c>
      <c r="F2027" s="26">
        <v>38.061</v>
      </c>
      <c r="G2027" s="26">
        <f t="shared" si="31"/>
        <v>-42541.078000000001</v>
      </c>
    </row>
    <row r="2028" spans="1:7" x14ac:dyDescent="0.2">
      <c r="A2028" s="26">
        <v>89</v>
      </c>
      <c r="B2028" s="26">
        <v>74</v>
      </c>
      <c r="C2028" s="26">
        <v>163</v>
      </c>
      <c r="D2028" s="26" t="s">
        <v>1693</v>
      </c>
      <c r="E2028" s="26">
        <v>-34909.095000000001</v>
      </c>
      <c r="F2028" s="26">
        <v>52.759</v>
      </c>
      <c r="G2028" s="26">
        <f t="shared" si="31"/>
        <v>-34909.095000000001</v>
      </c>
    </row>
    <row r="2029" spans="1:7" x14ac:dyDescent="0.2">
      <c r="A2029" s="26">
        <v>88</v>
      </c>
      <c r="B2029" s="26">
        <v>75</v>
      </c>
      <c r="C2029" s="26">
        <v>163</v>
      </c>
      <c r="D2029" s="26" t="s">
        <v>1694</v>
      </c>
      <c r="E2029" s="26">
        <v>-26006.813999999998</v>
      </c>
      <c r="F2029" s="26">
        <v>19.946999999999999</v>
      </c>
      <c r="G2029" s="26">
        <f t="shared" si="31"/>
        <v>-26006.813999999998</v>
      </c>
    </row>
    <row r="2030" spans="1:7" x14ac:dyDescent="0.2">
      <c r="A2030" s="26">
        <v>87</v>
      </c>
      <c r="B2030" s="26">
        <v>76</v>
      </c>
      <c r="C2030" s="26">
        <v>163</v>
      </c>
      <c r="D2030" s="26" t="s">
        <v>1695</v>
      </c>
      <c r="E2030" s="26" t="s">
        <v>628</v>
      </c>
      <c r="F2030" s="26" t="s">
        <v>629</v>
      </c>
      <c r="G2030" s="26">
        <f t="shared" si="31"/>
        <v>-16124.01</v>
      </c>
    </row>
    <row r="2031" spans="1:7" x14ac:dyDescent="0.2">
      <c r="A2031" s="26">
        <v>102</v>
      </c>
      <c r="B2031" s="26">
        <v>62</v>
      </c>
      <c r="C2031" s="26">
        <v>164</v>
      </c>
      <c r="D2031" s="26" t="s">
        <v>1681</v>
      </c>
      <c r="E2031" s="26" t="s">
        <v>1086</v>
      </c>
      <c r="F2031" s="26" t="s">
        <v>1725</v>
      </c>
      <c r="G2031" s="26">
        <f t="shared" si="31"/>
        <v>-48177.01</v>
      </c>
    </row>
    <row r="2032" spans="1:7" x14ac:dyDescent="0.2">
      <c r="A2032" s="26">
        <v>101</v>
      </c>
      <c r="B2032" s="26">
        <v>63</v>
      </c>
      <c r="C2032" s="26">
        <v>164</v>
      </c>
      <c r="D2032" s="26" t="s">
        <v>1682</v>
      </c>
      <c r="E2032" s="26" t="s">
        <v>1379</v>
      </c>
      <c r="F2032" s="26" t="s">
        <v>1505</v>
      </c>
      <c r="G2032" s="26">
        <f t="shared" si="31"/>
        <v>-53104.01</v>
      </c>
    </row>
    <row r="2033" spans="1:7" x14ac:dyDescent="0.2">
      <c r="A2033" s="26">
        <v>100</v>
      </c>
      <c r="B2033" s="26">
        <v>64</v>
      </c>
      <c r="C2033" s="26">
        <v>164</v>
      </c>
      <c r="D2033" s="26" t="s">
        <v>1683</v>
      </c>
      <c r="E2033" s="26" t="s">
        <v>1087</v>
      </c>
      <c r="F2033" s="26" t="s">
        <v>1723</v>
      </c>
      <c r="G2033" s="26">
        <f t="shared" si="31"/>
        <v>-59746.01</v>
      </c>
    </row>
    <row r="2034" spans="1:7" x14ac:dyDescent="0.2">
      <c r="A2034" s="26">
        <v>99</v>
      </c>
      <c r="B2034" s="26">
        <v>65</v>
      </c>
      <c r="C2034" s="26">
        <v>164</v>
      </c>
      <c r="D2034" s="26" t="s">
        <v>1684</v>
      </c>
      <c r="E2034" s="26">
        <v>-62083.294000000002</v>
      </c>
      <c r="F2034" s="26">
        <v>100.032</v>
      </c>
      <c r="G2034" s="26">
        <f t="shared" si="31"/>
        <v>-62083.294000000002</v>
      </c>
    </row>
    <row r="2035" spans="1:7" x14ac:dyDescent="0.2">
      <c r="A2035" s="26">
        <v>98</v>
      </c>
      <c r="B2035" s="26">
        <v>66</v>
      </c>
      <c r="C2035" s="26">
        <v>164</v>
      </c>
      <c r="D2035" s="26" t="s">
        <v>1685</v>
      </c>
      <c r="E2035" s="26">
        <v>-65973.293999999994</v>
      </c>
      <c r="F2035" s="26">
        <v>2.5339999999999998</v>
      </c>
      <c r="G2035" s="26">
        <f t="shared" si="31"/>
        <v>-65973.293999999994</v>
      </c>
    </row>
    <row r="2036" spans="1:7" x14ac:dyDescent="0.2">
      <c r="A2036" s="26">
        <v>97</v>
      </c>
      <c r="B2036" s="26">
        <v>67</v>
      </c>
      <c r="C2036" s="26">
        <v>164</v>
      </c>
      <c r="D2036" s="26" t="s">
        <v>1686</v>
      </c>
      <c r="E2036" s="26">
        <v>-64987.069000000003</v>
      </c>
      <c r="F2036" s="26">
        <v>2.7730000000000001</v>
      </c>
      <c r="G2036" s="26">
        <f t="shared" si="31"/>
        <v>-64987.069000000003</v>
      </c>
    </row>
    <row r="2037" spans="1:7" x14ac:dyDescent="0.2">
      <c r="A2037" s="26">
        <v>96</v>
      </c>
      <c r="B2037" s="26">
        <v>68</v>
      </c>
      <c r="C2037" s="26">
        <v>164</v>
      </c>
      <c r="D2037" s="26" t="s">
        <v>1687</v>
      </c>
      <c r="E2037" s="26">
        <v>-65949.562000000005</v>
      </c>
      <c r="F2037" s="26">
        <v>3.07</v>
      </c>
      <c r="G2037" s="26">
        <f t="shared" si="31"/>
        <v>-65949.562000000005</v>
      </c>
    </row>
    <row r="2038" spans="1:7" x14ac:dyDescent="0.2">
      <c r="A2038" s="26">
        <v>95</v>
      </c>
      <c r="B2038" s="26">
        <v>69</v>
      </c>
      <c r="C2038" s="26">
        <v>164</v>
      </c>
      <c r="D2038" s="26" t="s">
        <v>1688</v>
      </c>
      <c r="E2038" s="26">
        <v>-61888.462</v>
      </c>
      <c r="F2038" s="26">
        <v>27.945</v>
      </c>
      <c r="G2038" s="26">
        <f t="shared" si="31"/>
        <v>-61888.462</v>
      </c>
    </row>
    <row r="2039" spans="1:7" x14ac:dyDescent="0.2">
      <c r="A2039" s="26">
        <v>94</v>
      </c>
      <c r="B2039" s="26">
        <v>70</v>
      </c>
      <c r="C2039" s="26">
        <v>164</v>
      </c>
      <c r="D2039" s="26" t="s">
        <v>1689</v>
      </c>
      <c r="E2039" s="26">
        <v>-61022.716</v>
      </c>
      <c r="F2039" s="26">
        <v>15.993</v>
      </c>
      <c r="G2039" s="26">
        <f t="shared" si="31"/>
        <v>-61022.716</v>
      </c>
    </row>
    <row r="2040" spans="1:7" x14ac:dyDescent="0.2">
      <c r="A2040" s="26">
        <v>93</v>
      </c>
      <c r="B2040" s="26">
        <v>71</v>
      </c>
      <c r="C2040" s="26">
        <v>164</v>
      </c>
      <c r="D2040" s="26" t="s">
        <v>1690</v>
      </c>
      <c r="E2040" s="26">
        <v>-54642.37</v>
      </c>
      <c r="F2040" s="26">
        <v>27.945</v>
      </c>
      <c r="G2040" s="26">
        <f t="shared" si="31"/>
        <v>-54642.37</v>
      </c>
    </row>
    <row r="2041" spans="1:7" x14ac:dyDescent="0.2">
      <c r="A2041" s="26">
        <v>92</v>
      </c>
      <c r="B2041" s="26">
        <v>72</v>
      </c>
      <c r="C2041" s="26">
        <v>164</v>
      </c>
      <c r="D2041" s="26" t="s">
        <v>1691</v>
      </c>
      <c r="E2041" s="26">
        <v>-51821.540999999997</v>
      </c>
      <c r="F2041" s="26">
        <v>20.402999999999999</v>
      </c>
      <c r="G2041" s="26">
        <f t="shared" si="31"/>
        <v>-51821.540999999997</v>
      </c>
    </row>
    <row r="2042" spans="1:7" x14ac:dyDescent="0.2">
      <c r="A2042" s="26">
        <v>91</v>
      </c>
      <c r="B2042" s="26">
        <v>73</v>
      </c>
      <c r="C2042" s="26">
        <v>164</v>
      </c>
      <c r="D2042" s="26" t="s">
        <v>1692</v>
      </c>
      <c r="E2042" s="26">
        <v>-43282.800999999999</v>
      </c>
      <c r="F2042" s="26">
        <v>27.945</v>
      </c>
      <c r="G2042" s="26">
        <f t="shared" si="31"/>
        <v>-43282.800999999999</v>
      </c>
    </row>
    <row r="2043" spans="1:7" x14ac:dyDescent="0.2">
      <c r="A2043" s="26">
        <v>90</v>
      </c>
      <c r="B2043" s="26">
        <v>74</v>
      </c>
      <c r="C2043" s="26">
        <v>164</v>
      </c>
      <c r="D2043" s="26" t="s">
        <v>1693</v>
      </c>
      <c r="E2043" s="26">
        <v>-38233.747000000003</v>
      </c>
      <c r="F2043" s="26">
        <v>11.756</v>
      </c>
      <c r="G2043" s="26">
        <f t="shared" si="31"/>
        <v>-38233.747000000003</v>
      </c>
    </row>
    <row r="2044" spans="1:7" x14ac:dyDescent="0.2">
      <c r="A2044" s="26">
        <v>89</v>
      </c>
      <c r="B2044" s="26">
        <v>75</v>
      </c>
      <c r="C2044" s="26">
        <v>164</v>
      </c>
      <c r="D2044" s="26" t="s">
        <v>1694</v>
      </c>
      <c r="E2044" s="26" t="s">
        <v>630</v>
      </c>
      <c r="F2044" s="26" t="s">
        <v>631</v>
      </c>
      <c r="G2044" s="26">
        <f t="shared" si="31"/>
        <v>-27644.01</v>
      </c>
    </row>
    <row r="2045" spans="1:7" x14ac:dyDescent="0.2">
      <c r="A2045" s="26">
        <v>88</v>
      </c>
      <c r="B2045" s="26">
        <v>76</v>
      </c>
      <c r="C2045" s="26">
        <v>164</v>
      </c>
      <c r="D2045" s="26" t="s">
        <v>1695</v>
      </c>
      <c r="E2045" s="26">
        <v>-20459.661</v>
      </c>
      <c r="F2045" s="26">
        <v>208.59100000000001</v>
      </c>
      <c r="G2045" s="26">
        <f t="shared" si="31"/>
        <v>-20459.661</v>
      </c>
    </row>
    <row r="2046" spans="1:7" x14ac:dyDescent="0.2">
      <c r="A2046" s="26">
        <v>87</v>
      </c>
      <c r="B2046" s="26">
        <v>77</v>
      </c>
      <c r="C2046" s="26">
        <v>164</v>
      </c>
      <c r="D2046" s="26" t="s">
        <v>1696</v>
      </c>
      <c r="E2046" s="26" t="s">
        <v>632</v>
      </c>
      <c r="F2046" s="26" t="s">
        <v>633</v>
      </c>
      <c r="G2046" s="26">
        <f t="shared" si="31"/>
        <v>-7265.01</v>
      </c>
    </row>
    <row r="2047" spans="1:7" x14ac:dyDescent="0.2">
      <c r="A2047" s="26">
        <v>103</v>
      </c>
      <c r="B2047" s="26">
        <v>62</v>
      </c>
      <c r="C2047" s="26">
        <v>165</v>
      </c>
      <c r="D2047" s="26" t="s">
        <v>1681</v>
      </c>
      <c r="E2047" s="26" t="s">
        <v>1088</v>
      </c>
      <c r="F2047" s="26" t="s">
        <v>1731</v>
      </c>
      <c r="G2047" s="26">
        <f t="shared" si="31"/>
        <v>-43799.01</v>
      </c>
    </row>
    <row r="2048" spans="1:7" x14ac:dyDescent="0.2">
      <c r="A2048" s="26">
        <v>102</v>
      </c>
      <c r="B2048" s="26">
        <v>63</v>
      </c>
      <c r="C2048" s="26">
        <v>165</v>
      </c>
      <c r="D2048" s="26" t="s">
        <v>1682</v>
      </c>
      <c r="E2048" s="26" t="s">
        <v>1089</v>
      </c>
      <c r="F2048" s="26" t="s">
        <v>1508</v>
      </c>
      <c r="G2048" s="26">
        <f t="shared" si="31"/>
        <v>-50561.01</v>
      </c>
    </row>
    <row r="2049" spans="1:7" x14ac:dyDescent="0.2">
      <c r="A2049" s="26">
        <v>101</v>
      </c>
      <c r="B2049" s="26">
        <v>64</v>
      </c>
      <c r="C2049" s="26">
        <v>165</v>
      </c>
      <c r="D2049" s="26" t="s">
        <v>1683</v>
      </c>
      <c r="E2049" s="26" t="s">
        <v>1090</v>
      </c>
      <c r="F2049" s="26" t="s">
        <v>1728</v>
      </c>
      <c r="G2049" s="26">
        <f t="shared" si="31"/>
        <v>-56467.01</v>
      </c>
    </row>
    <row r="2050" spans="1:7" x14ac:dyDescent="0.2">
      <c r="A2050" s="26">
        <v>100</v>
      </c>
      <c r="B2050" s="26">
        <v>65</v>
      </c>
      <c r="C2050" s="26">
        <v>165</v>
      </c>
      <c r="D2050" s="26" t="s">
        <v>1684</v>
      </c>
      <c r="E2050" s="26" t="s">
        <v>1091</v>
      </c>
      <c r="F2050" s="26" t="s">
        <v>1480</v>
      </c>
      <c r="G2050" s="26">
        <f t="shared" si="31"/>
        <v>-60659.01</v>
      </c>
    </row>
    <row r="2051" spans="1:7" x14ac:dyDescent="0.2">
      <c r="A2051" s="26">
        <v>99</v>
      </c>
      <c r="B2051" s="26">
        <v>66</v>
      </c>
      <c r="C2051" s="26">
        <v>165</v>
      </c>
      <c r="D2051" s="26" t="s">
        <v>1685</v>
      </c>
      <c r="E2051" s="26">
        <v>-63617.934999999998</v>
      </c>
      <c r="F2051" s="26">
        <v>2.5350000000000001</v>
      </c>
      <c r="G2051" s="26">
        <f t="shared" si="31"/>
        <v>-63617.934999999998</v>
      </c>
    </row>
    <row r="2052" spans="1:7" x14ac:dyDescent="0.2">
      <c r="A2052" s="26">
        <v>98</v>
      </c>
      <c r="B2052" s="26">
        <v>67</v>
      </c>
      <c r="C2052" s="26">
        <v>165</v>
      </c>
      <c r="D2052" s="26" t="s">
        <v>1686</v>
      </c>
      <c r="E2052" s="26">
        <v>-64904.574000000001</v>
      </c>
      <c r="F2052" s="26">
        <v>2.5249999999999999</v>
      </c>
      <c r="G2052" s="26">
        <f t="shared" si="31"/>
        <v>-64904.574000000001</v>
      </c>
    </row>
    <row r="2053" spans="1:7" x14ac:dyDescent="0.2">
      <c r="A2053" s="26">
        <v>97</v>
      </c>
      <c r="B2053" s="26">
        <v>68</v>
      </c>
      <c r="C2053" s="26">
        <v>165</v>
      </c>
      <c r="D2053" s="26" t="s">
        <v>1687</v>
      </c>
      <c r="E2053" s="26">
        <v>-64528.311999999998</v>
      </c>
      <c r="F2053" s="26">
        <v>3.081</v>
      </c>
      <c r="G2053" s="26">
        <f t="shared" si="31"/>
        <v>-64528.311999999998</v>
      </c>
    </row>
    <row r="2054" spans="1:7" x14ac:dyDescent="0.2">
      <c r="A2054" s="26">
        <v>96</v>
      </c>
      <c r="B2054" s="26">
        <v>69</v>
      </c>
      <c r="C2054" s="26">
        <v>165</v>
      </c>
      <c r="D2054" s="26" t="s">
        <v>1688</v>
      </c>
      <c r="E2054" s="26">
        <v>-62935.934000000001</v>
      </c>
      <c r="F2054" s="26">
        <v>3.319</v>
      </c>
      <c r="G2054" s="26">
        <f t="shared" si="31"/>
        <v>-62935.934000000001</v>
      </c>
    </row>
    <row r="2055" spans="1:7" x14ac:dyDescent="0.2">
      <c r="A2055" s="26">
        <v>95</v>
      </c>
      <c r="B2055" s="26">
        <v>70</v>
      </c>
      <c r="C2055" s="26">
        <v>165</v>
      </c>
      <c r="D2055" s="26" t="s">
        <v>1689</v>
      </c>
      <c r="E2055" s="26">
        <v>-60287.224000000002</v>
      </c>
      <c r="F2055" s="26">
        <v>27.945</v>
      </c>
      <c r="G2055" s="26">
        <f t="shared" si="31"/>
        <v>-60287.224000000002</v>
      </c>
    </row>
    <row r="2056" spans="1:7" x14ac:dyDescent="0.2">
      <c r="A2056" s="26">
        <v>94</v>
      </c>
      <c r="B2056" s="26">
        <v>71</v>
      </c>
      <c r="C2056" s="26">
        <v>165</v>
      </c>
      <c r="D2056" s="26" t="s">
        <v>1690</v>
      </c>
      <c r="E2056" s="26">
        <v>-56442.273000000001</v>
      </c>
      <c r="F2056" s="26">
        <v>26.54</v>
      </c>
      <c r="G2056" s="26">
        <f t="shared" si="31"/>
        <v>-56442.273000000001</v>
      </c>
    </row>
    <row r="2057" spans="1:7" x14ac:dyDescent="0.2">
      <c r="A2057" s="26">
        <v>93</v>
      </c>
      <c r="B2057" s="26">
        <v>72</v>
      </c>
      <c r="C2057" s="26">
        <v>165</v>
      </c>
      <c r="D2057" s="26" t="s">
        <v>1691</v>
      </c>
      <c r="E2057" s="26">
        <v>-51635.506999999998</v>
      </c>
      <c r="F2057" s="26">
        <v>27.945</v>
      </c>
      <c r="G2057" s="26">
        <f t="shared" si="31"/>
        <v>-51635.506999999998</v>
      </c>
    </row>
    <row r="2058" spans="1:7" x14ac:dyDescent="0.2">
      <c r="A2058" s="26">
        <v>92</v>
      </c>
      <c r="B2058" s="26">
        <v>73</v>
      </c>
      <c r="C2058" s="26">
        <v>165</v>
      </c>
      <c r="D2058" s="26" t="s">
        <v>1692</v>
      </c>
      <c r="E2058" s="26">
        <v>-45855.107000000004</v>
      </c>
      <c r="F2058" s="26">
        <v>17.370999999999999</v>
      </c>
      <c r="G2058" s="26">
        <f t="shared" ref="G2058:G2121" si="32">IF(ISNUMBER(E2058),E2058,VALUE(SUBSTITUTE(E2058,"#",".01")))</f>
        <v>-45855.107000000004</v>
      </c>
    </row>
    <row r="2059" spans="1:7" x14ac:dyDescent="0.2">
      <c r="A2059" s="26">
        <v>91</v>
      </c>
      <c r="B2059" s="26">
        <v>74</v>
      </c>
      <c r="C2059" s="26">
        <v>165</v>
      </c>
      <c r="D2059" s="26" t="s">
        <v>1693</v>
      </c>
      <c r="E2059" s="26">
        <v>-38861.976999999999</v>
      </c>
      <c r="F2059" s="26">
        <v>24.975999999999999</v>
      </c>
      <c r="G2059" s="26">
        <f t="shared" si="32"/>
        <v>-38861.976999999999</v>
      </c>
    </row>
    <row r="2060" spans="1:7" x14ac:dyDescent="0.2">
      <c r="A2060" s="26">
        <v>90</v>
      </c>
      <c r="B2060" s="26">
        <v>75</v>
      </c>
      <c r="C2060" s="26">
        <v>165</v>
      </c>
      <c r="D2060" s="26" t="s">
        <v>1694</v>
      </c>
      <c r="E2060" s="26">
        <v>-30656.812000000002</v>
      </c>
      <c r="F2060" s="26">
        <v>27.704999999999998</v>
      </c>
      <c r="G2060" s="26">
        <f t="shared" si="32"/>
        <v>-30656.812000000002</v>
      </c>
    </row>
    <row r="2061" spans="1:7" x14ac:dyDescent="0.2">
      <c r="A2061" s="26">
        <v>89</v>
      </c>
      <c r="B2061" s="26">
        <v>76</v>
      </c>
      <c r="C2061" s="26">
        <v>165</v>
      </c>
      <c r="D2061" s="26" t="s">
        <v>1695</v>
      </c>
      <c r="E2061" s="26" t="s">
        <v>634</v>
      </c>
      <c r="F2061" s="26" t="s">
        <v>1252</v>
      </c>
      <c r="G2061" s="26">
        <f t="shared" si="32"/>
        <v>-21646.01</v>
      </c>
    </row>
    <row r="2062" spans="1:7" x14ac:dyDescent="0.2">
      <c r="A2062" s="26">
        <v>88</v>
      </c>
      <c r="B2062" s="26">
        <v>77</v>
      </c>
      <c r="C2062" s="26">
        <v>165</v>
      </c>
      <c r="D2062" s="26" t="s">
        <v>1696</v>
      </c>
      <c r="E2062" s="26" t="s">
        <v>635</v>
      </c>
      <c r="F2062" s="26" t="s">
        <v>636</v>
      </c>
      <c r="G2062" s="26">
        <f t="shared" si="32"/>
        <v>-11625.01</v>
      </c>
    </row>
    <row r="2063" spans="1:7" x14ac:dyDescent="0.2">
      <c r="A2063" s="26">
        <v>103</v>
      </c>
      <c r="B2063" s="26">
        <v>63</v>
      </c>
      <c r="C2063" s="26">
        <v>166</v>
      </c>
      <c r="D2063" s="26" t="s">
        <v>1682</v>
      </c>
      <c r="E2063" s="26" t="s">
        <v>1092</v>
      </c>
      <c r="F2063" s="26" t="s">
        <v>1725</v>
      </c>
      <c r="G2063" s="26">
        <f t="shared" si="32"/>
        <v>-46603.01</v>
      </c>
    </row>
    <row r="2064" spans="1:7" x14ac:dyDescent="0.2">
      <c r="A2064" s="26">
        <v>102</v>
      </c>
      <c r="B2064" s="26">
        <v>64</v>
      </c>
      <c r="C2064" s="26">
        <v>166</v>
      </c>
      <c r="D2064" s="26" t="s">
        <v>1683</v>
      </c>
      <c r="E2064" s="26" t="s">
        <v>1093</v>
      </c>
      <c r="F2064" s="26" t="s">
        <v>1505</v>
      </c>
      <c r="G2064" s="26">
        <f t="shared" si="32"/>
        <v>-54399.01</v>
      </c>
    </row>
    <row r="2065" spans="1:7" x14ac:dyDescent="0.2">
      <c r="A2065" s="26">
        <v>101</v>
      </c>
      <c r="B2065" s="26">
        <v>65</v>
      </c>
      <c r="C2065" s="26">
        <v>166</v>
      </c>
      <c r="D2065" s="26" t="s">
        <v>1684</v>
      </c>
      <c r="E2065" s="26">
        <v>-57760.118000000002</v>
      </c>
      <c r="F2065" s="26">
        <v>100.033</v>
      </c>
      <c r="G2065" s="26">
        <f t="shared" si="32"/>
        <v>-57760.118000000002</v>
      </c>
    </row>
    <row r="2066" spans="1:7" x14ac:dyDescent="0.2">
      <c r="A2066" s="26">
        <v>100</v>
      </c>
      <c r="B2066" s="26">
        <v>66</v>
      </c>
      <c r="C2066" s="26">
        <v>166</v>
      </c>
      <c r="D2066" s="26" t="s">
        <v>1685</v>
      </c>
      <c r="E2066" s="26">
        <v>-62590.118000000002</v>
      </c>
      <c r="F2066" s="26">
        <v>2.5659999999999998</v>
      </c>
      <c r="G2066" s="26">
        <f t="shared" si="32"/>
        <v>-62590.118000000002</v>
      </c>
    </row>
    <row r="2067" spans="1:7" x14ac:dyDescent="0.2">
      <c r="A2067" s="26">
        <v>99</v>
      </c>
      <c r="B2067" s="26">
        <v>67</v>
      </c>
      <c r="C2067" s="26">
        <v>166</v>
      </c>
      <c r="D2067" s="26" t="s">
        <v>1686</v>
      </c>
      <c r="E2067" s="26">
        <v>-63076.896999999997</v>
      </c>
      <c r="F2067" s="26">
        <v>2.5249999999999999</v>
      </c>
      <c r="G2067" s="26">
        <f t="shared" si="32"/>
        <v>-63076.896999999997</v>
      </c>
    </row>
    <row r="2068" spans="1:7" x14ac:dyDescent="0.2">
      <c r="A2068" s="26">
        <v>98</v>
      </c>
      <c r="B2068" s="26">
        <v>68</v>
      </c>
      <c r="C2068" s="26">
        <v>166</v>
      </c>
      <c r="D2068" s="26" t="s">
        <v>1687</v>
      </c>
      <c r="E2068" s="26">
        <v>-64931.595000000001</v>
      </c>
      <c r="F2068" s="26">
        <v>2.5139999999999998</v>
      </c>
      <c r="G2068" s="26">
        <f t="shared" si="32"/>
        <v>-64931.595000000001</v>
      </c>
    </row>
    <row r="2069" spans="1:7" x14ac:dyDescent="0.2">
      <c r="A2069" s="26">
        <v>97</v>
      </c>
      <c r="B2069" s="26">
        <v>69</v>
      </c>
      <c r="C2069" s="26">
        <v>166</v>
      </c>
      <c r="D2069" s="26" t="s">
        <v>1688</v>
      </c>
      <c r="E2069" s="26">
        <v>-61893.928999999996</v>
      </c>
      <c r="F2069" s="26">
        <v>11.817</v>
      </c>
      <c r="G2069" s="26">
        <f t="shared" si="32"/>
        <v>-61893.928999999996</v>
      </c>
    </row>
    <row r="2070" spans="1:7" x14ac:dyDescent="0.2">
      <c r="A2070" s="26">
        <v>96</v>
      </c>
      <c r="B2070" s="26">
        <v>70</v>
      </c>
      <c r="C2070" s="26">
        <v>166</v>
      </c>
      <c r="D2070" s="26" t="s">
        <v>1689</v>
      </c>
      <c r="E2070" s="26">
        <v>-61588.481</v>
      </c>
      <c r="F2070" s="26">
        <v>8.2629999999999999</v>
      </c>
      <c r="G2070" s="26">
        <f t="shared" si="32"/>
        <v>-61588.481</v>
      </c>
    </row>
    <row r="2071" spans="1:7" x14ac:dyDescent="0.2">
      <c r="A2071" s="26">
        <v>95</v>
      </c>
      <c r="B2071" s="26">
        <v>71</v>
      </c>
      <c r="C2071" s="26">
        <v>166</v>
      </c>
      <c r="D2071" s="26" t="s">
        <v>1690</v>
      </c>
      <c r="E2071" s="26">
        <v>-56020.981</v>
      </c>
      <c r="F2071" s="26">
        <v>29.808</v>
      </c>
      <c r="G2071" s="26">
        <f t="shared" si="32"/>
        <v>-56020.981</v>
      </c>
    </row>
    <row r="2072" spans="1:7" x14ac:dyDescent="0.2">
      <c r="A2072" s="26">
        <v>94</v>
      </c>
      <c r="B2072" s="26">
        <v>72</v>
      </c>
      <c r="C2072" s="26">
        <v>166</v>
      </c>
      <c r="D2072" s="26" t="s">
        <v>1691</v>
      </c>
      <c r="E2072" s="26">
        <v>-53858.983999999997</v>
      </c>
      <c r="F2072" s="26">
        <v>27.945</v>
      </c>
      <c r="G2072" s="26">
        <f t="shared" si="32"/>
        <v>-53858.983999999997</v>
      </c>
    </row>
    <row r="2073" spans="1:7" x14ac:dyDescent="0.2">
      <c r="A2073" s="26">
        <v>93</v>
      </c>
      <c r="B2073" s="26">
        <v>73</v>
      </c>
      <c r="C2073" s="26">
        <v>166</v>
      </c>
      <c r="D2073" s="26" t="s">
        <v>1692</v>
      </c>
      <c r="E2073" s="26">
        <v>-46097.775999999998</v>
      </c>
      <c r="F2073" s="26">
        <v>27.945</v>
      </c>
      <c r="G2073" s="26">
        <f t="shared" si="32"/>
        <v>-46097.775999999998</v>
      </c>
    </row>
    <row r="2074" spans="1:7" x14ac:dyDescent="0.2">
      <c r="A2074" s="26">
        <v>92</v>
      </c>
      <c r="B2074" s="26">
        <v>74</v>
      </c>
      <c r="C2074" s="26">
        <v>166</v>
      </c>
      <c r="D2074" s="26" t="s">
        <v>1693</v>
      </c>
      <c r="E2074" s="26">
        <v>-41891.843999999997</v>
      </c>
      <c r="F2074" s="26">
        <v>10.398</v>
      </c>
      <c r="G2074" s="26">
        <f t="shared" si="32"/>
        <v>-41891.843999999997</v>
      </c>
    </row>
    <row r="2075" spans="1:7" x14ac:dyDescent="0.2">
      <c r="A2075" s="26">
        <v>91</v>
      </c>
      <c r="B2075" s="26">
        <v>75</v>
      </c>
      <c r="C2075" s="26">
        <v>166</v>
      </c>
      <c r="D2075" s="26" t="s">
        <v>1694</v>
      </c>
      <c r="E2075" s="26" t="s">
        <v>637</v>
      </c>
      <c r="F2075" s="26" t="s">
        <v>638</v>
      </c>
      <c r="G2075" s="26">
        <f t="shared" si="32"/>
        <v>-31850.01</v>
      </c>
    </row>
    <row r="2076" spans="1:7" x14ac:dyDescent="0.2">
      <c r="A2076" s="26">
        <v>90</v>
      </c>
      <c r="B2076" s="26">
        <v>76</v>
      </c>
      <c r="C2076" s="26">
        <v>166</v>
      </c>
      <c r="D2076" s="26" t="s">
        <v>1695</v>
      </c>
      <c r="E2076" s="26">
        <v>-25438.400000000001</v>
      </c>
      <c r="F2076" s="26">
        <v>18.236000000000001</v>
      </c>
      <c r="G2076" s="26">
        <f t="shared" si="32"/>
        <v>-25438.400000000001</v>
      </c>
    </row>
    <row r="2077" spans="1:7" x14ac:dyDescent="0.2">
      <c r="A2077" s="26">
        <v>89</v>
      </c>
      <c r="B2077" s="26">
        <v>77</v>
      </c>
      <c r="C2077" s="26">
        <v>166</v>
      </c>
      <c r="D2077" s="26" t="s">
        <v>1696</v>
      </c>
      <c r="E2077" s="26" t="s">
        <v>639</v>
      </c>
      <c r="F2077" s="26" t="s">
        <v>1252</v>
      </c>
      <c r="G2077" s="26">
        <f t="shared" si="32"/>
        <v>-13205.01</v>
      </c>
    </row>
    <row r="2078" spans="1:7" x14ac:dyDescent="0.2">
      <c r="A2078" s="26">
        <v>88</v>
      </c>
      <c r="B2078" s="26">
        <v>78</v>
      </c>
      <c r="C2078" s="26">
        <v>166</v>
      </c>
      <c r="D2078" s="26" t="s">
        <v>1697</v>
      </c>
      <c r="E2078" s="26" t="s">
        <v>640</v>
      </c>
      <c r="F2078" s="26" t="s">
        <v>1728</v>
      </c>
      <c r="G2078" s="26">
        <f t="shared" si="32"/>
        <v>-4792.01</v>
      </c>
    </row>
    <row r="2079" spans="1:7" x14ac:dyDescent="0.2">
      <c r="A2079" s="26">
        <v>104</v>
      </c>
      <c r="B2079" s="26">
        <v>63</v>
      </c>
      <c r="C2079" s="26">
        <v>167</v>
      </c>
      <c r="D2079" s="26" t="s">
        <v>1682</v>
      </c>
      <c r="E2079" s="26" t="s">
        <v>641</v>
      </c>
      <c r="F2079" s="26" t="s">
        <v>1725</v>
      </c>
      <c r="G2079" s="26">
        <f t="shared" si="32"/>
        <v>-43585.01</v>
      </c>
    </row>
    <row r="2080" spans="1:7" x14ac:dyDescent="0.2">
      <c r="A2080" s="26">
        <v>103</v>
      </c>
      <c r="B2080" s="26">
        <v>64</v>
      </c>
      <c r="C2080" s="26">
        <v>167</v>
      </c>
      <c r="D2080" s="26" t="s">
        <v>1683</v>
      </c>
      <c r="E2080" s="26" t="s">
        <v>1094</v>
      </c>
      <c r="F2080" s="26" t="s">
        <v>1505</v>
      </c>
      <c r="G2080" s="26">
        <f t="shared" si="32"/>
        <v>-50701.01</v>
      </c>
    </row>
    <row r="2081" spans="1:7" x14ac:dyDescent="0.2">
      <c r="A2081" s="26">
        <v>102</v>
      </c>
      <c r="B2081" s="26">
        <v>65</v>
      </c>
      <c r="C2081" s="26">
        <v>167</v>
      </c>
      <c r="D2081" s="26" t="s">
        <v>1684</v>
      </c>
      <c r="E2081" s="26" t="s">
        <v>1095</v>
      </c>
      <c r="F2081" s="26" t="s">
        <v>1723</v>
      </c>
      <c r="G2081" s="26">
        <f t="shared" si="32"/>
        <v>-55843.01</v>
      </c>
    </row>
    <row r="2082" spans="1:7" x14ac:dyDescent="0.2">
      <c r="A2082" s="26">
        <v>101</v>
      </c>
      <c r="B2082" s="26">
        <v>66</v>
      </c>
      <c r="C2082" s="26">
        <v>167</v>
      </c>
      <c r="D2082" s="26" t="s">
        <v>1685</v>
      </c>
      <c r="E2082" s="26">
        <v>-59936.550999999999</v>
      </c>
      <c r="F2082" s="26">
        <v>60.271000000000001</v>
      </c>
      <c r="G2082" s="26">
        <f t="shared" si="32"/>
        <v>-59936.550999999999</v>
      </c>
    </row>
    <row r="2083" spans="1:7" x14ac:dyDescent="0.2">
      <c r="A2083" s="26">
        <v>100</v>
      </c>
      <c r="B2083" s="26">
        <v>67</v>
      </c>
      <c r="C2083" s="26">
        <v>167</v>
      </c>
      <c r="D2083" s="26" t="s">
        <v>1686</v>
      </c>
      <c r="E2083" s="26">
        <v>-62286.550999999999</v>
      </c>
      <c r="F2083" s="26">
        <v>5.7089999999999996</v>
      </c>
      <c r="G2083" s="26">
        <f t="shared" si="32"/>
        <v>-62286.550999999999</v>
      </c>
    </row>
    <row r="2084" spans="1:7" x14ac:dyDescent="0.2">
      <c r="A2084" s="26">
        <v>99</v>
      </c>
      <c r="B2084" s="26">
        <v>68</v>
      </c>
      <c r="C2084" s="26">
        <v>167</v>
      </c>
      <c r="D2084" s="26" t="s">
        <v>1687</v>
      </c>
      <c r="E2084" s="26">
        <v>-63296.733</v>
      </c>
      <c r="F2084" s="26">
        <v>2.512</v>
      </c>
      <c r="G2084" s="26">
        <f t="shared" si="32"/>
        <v>-63296.733</v>
      </c>
    </row>
    <row r="2085" spans="1:7" x14ac:dyDescent="0.2">
      <c r="A2085" s="26">
        <v>98</v>
      </c>
      <c r="B2085" s="26">
        <v>69</v>
      </c>
      <c r="C2085" s="26">
        <v>167</v>
      </c>
      <c r="D2085" s="26" t="s">
        <v>1688</v>
      </c>
      <c r="E2085" s="26">
        <v>-62548.311000000002</v>
      </c>
      <c r="F2085" s="26">
        <v>2.6739999999999999</v>
      </c>
      <c r="G2085" s="26">
        <f t="shared" si="32"/>
        <v>-62548.311000000002</v>
      </c>
    </row>
    <row r="2086" spans="1:7" x14ac:dyDescent="0.2">
      <c r="A2086" s="26">
        <v>97</v>
      </c>
      <c r="B2086" s="26">
        <v>70</v>
      </c>
      <c r="C2086" s="26">
        <v>167</v>
      </c>
      <c r="D2086" s="26" t="s">
        <v>1689</v>
      </c>
      <c r="E2086" s="26">
        <v>-60594.053</v>
      </c>
      <c r="F2086" s="26">
        <v>4.6280000000000001</v>
      </c>
      <c r="G2086" s="26">
        <f t="shared" si="32"/>
        <v>-60594.053</v>
      </c>
    </row>
    <row r="2087" spans="1:7" x14ac:dyDescent="0.2">
      <c r="A2087" s="26">
        <v>96</v>
      </c>
      <c r="B2087" s="26">
        <v>71</v>
      </c>
      <c r="C2087" s="26">
        <v>167</v>
      </c>
      <c r="D2087" s="26" t="s">
        <v>1690</v>
      </c>
      <c r="E2087" s="26">
        <v>-57501.125</v>
      </c>
      <c r="F2087" s="26">
        <v>31.670999999999999</v>
      </c>
      <c r="G2087" s="26">
        <f t="shared" si="32"/>
        <v>-57501.125</v>
      </c>
    </row>
    <row r="2088" spans="1:7" x14ac:dyDescent="0.2">
      <c r="A2088" s="26">
        <v>95</v>
      </c>
      <c r="B2088" s="26">
        <v>72</v>
      </c>
      <c r="C2088" s="26">
        <v>167</v>
      </c>
      <c r="D2088" s="26" t="s">
        <v>1691</v>
      </c>
      <c r="E2088" s="26">
        <v>-53467.756000000001</v>
      </c>
      <c r="F2088" s="26">
        <v>27.945</v>
      </c>
      <c r="G2088" s="26">
        <f t="shared" si="32"/>
        <v>-53467.756000000001</v>
      </c>
    </row>
    <row r="2089" spans="1:7" x14ac:dyDescent="0.2">
      <c r="A2089" s="26">
        <v>94</v>
      </c>
      <c r="B2089" s="26">
        <v>73</v>
      </c>
      <c r="C2089" s="26">
        <v>167</v>
      </c>
      <c r="D2089" s="26" t="s">
        <v>1692</v>
      </c>
      <c r="E2089" s="26">
        <v>-48351.06</v>
      </c>
      <c r="F2089" s="26">
        <v>27.945</v>
      </c>
      <c r="G2089" s="26">
        <f t="shared" si="32"/>
        <v>-48351.06</v>
      </c>
    </row>
    <row r="2090" spans="1:7" x14ac:dyDescent="0.2">
      <c r="A2090" s="26">
        <v>93</v>
      </c>
      <c r="B2090" s="26">
        <v>74</v>
      </c>
      <c r="C2090" s="26">
        <v>167</v>
      </c>
      <c r="D2090" s="26" t="s">
        <v>1693</v>
      </c>
      <c r="E2090" s="26">
        <v>-42088.612000000001</v>
      </c>
      <c r="F2090" s="26">
        <v>19.263999999999999</v>
      </c>
      <c r="G2090" s="26">
        <f t="shared" si="32"/>
        <v>-42088.612000000001</v>
      </c>
    </row>
    <row r="2091" spans="1:7" x14ac:dyDescent="0.2">
      <c r="A2091" s="26">
        <v>92</v>
      </c>
      <c r="B2091" s="26">
        <v>75</v>
      </c>
      <c r="C2091" s="26">
        <v>167</v>
      </c>
      <c r="D2091" s="26" t="s">
        <v>1694</v>
      </c>
      <c r="E2091" s="26" t="s">
        <v>642</v>
      </c>
      <c r="F2091" s="26" t="s">
        <v>955</v>
      </c>
      <c r="G2091" s="26">
        <f t="shared" si="32"/>
        <v>-34837.01</v>
      </c>
    </row>
    <row r="2092" spans="1:7" x14ac:dyDescent="0.2">
      <c r="A2092" s="26">
        <v>91</v>
      </c>
      <c r="B2092" s="26">
        <v>76</v>
      </c>
      <c r="C2092" s="26">
        <v>167</v>
      </c>
      <c r="D2092" s="26" t="s">
        <v>1695</v>
      </c>
      <c r="E2092" s="26">
        <v>-26502.896000000001</v>
      </c>
      <c r="F2092" s="26">
        <v>72.688000000000002</v>
      </c>
      <c r="G2092" s="26">
        <f t="shared" si="32"/>
        <v>-26502.896000000001</v>
      </c>
    </row>
    <row r="2093" spans="1:7" x14ac:dyDescent="0.2">
      <c r="A2093" s="26">
        <v>90</v>
      </c>
      <c r="B2093" s="26">
        <v>77</v>
      </c>
      <c r="C2093" s="26">
        <v>167</v>
      </c>
      <c r="D2093" s="26" t="s">
        <v>1696</v>
      </c>
      <c r="E2093" s="26">
        <v>-17078.796999999999</v>
      </c>
      <c r="F2093" s="26">
        <v>18.948</v>
      </c>
      <c r="G2093" s="26">
        <f t="shared" si="32"/>
        <v>-17078.796999999999</v>
      </c>
    </row>
    <row r="2094" spans="1:7" x14ac:dyDescent="0.2">
      <c r="A2094" s="26">
        <v>89</v>
      </c>
      <c r="B2094" s="26">
        <v>78</v>
      </c>
      <c r="C2094" s="26">
        <v>167</v>
      </c>
      <c r="D2094" s="26" t="s">
        <v>1697</v>
      </c>
      <c r="E2094" s="26" t="s">
        <v>956</v>
      </c>
      <c r="F2094" s="26" t="s">
        <v>957</v>
      </c>
      <c r="G2094" s="26">
        <f t="shared" si="32"/>
        <v>-6540.01</v>
      </c>
    </row>
    <row r="2095" spans="1:7" x14ac:dyDescent="0.2">
      <c r="A2095" s="26">
        <v>104</v>
      </c>
      <c r="B2095" s="26">
        <v>64</v>
      </c>
      <c r="C2095" s="26">
        <v>168</v>
      </c>
      <c r="D2095" s="26" t="s">
        <v>1683</v>
      </c>
      <c r="E2095" s="26" t="s">
        <v>1096</v>
      </c>
      <c r="F2095" s="26" t="s">
        <v>1508</v>
      </c>
      <c r="G2095" s="26">
        <f t="shared" si="32"/>
        <v>-48102.01</v>
      </c>
    </row>
    <row r="2096" spans="1:7" x14ac:dyDescent="0.2">
      <c r="A2096" s="26">
        <v>103</v>
      </c>
      <c r="B2096" s="26">
        <v>65</v>
      </c>
      <c r="C2096" s="26">
        <v>168</v>
      </c>
      <c r="D2096" s="26" t="s">
        <v>1684</v>
      </c>
      <c r="E2096" s="26" t="s">
        <v>1097</v>
      </c>
      <c r="F2096" s="26" t="s">
        <v>1728</v>
      </c>
      <c r="G2096" s="26">
        <f t="shared" si="32"/>
        <v>-52499.01</v>
      </c>
    </row>
    <row r="2097" spans="1:7" x14ac:dyDescent="0.2">
      <c r="A2097" s="26">
        <v>102</v>
      </c>
      <c r="B2097" s="26">
        <v>66</v>
      </c>
      <c r="C2097" s="26">
        <v>168</v>
      </c>
      <c r="D2097" s="26" t="s">
        <v>1685</v>
      </c>
      <c r="E2097" s="26">
        <v>-58564.175000000003</v>
      </c>
      <c r="F2097" s="26">
        <v>140.02699999999999</v>
      </c>
      <c r="G2097" s="26">
        <f t="shared" si="32"/>
        <v>-58564.175000000003</v>
      </c>
    </row>
    <row r="2098" spans="1:7" x14ac:dyDescent="0.2">
      <c r="A2098" s="26">
        <v>101</v>
      </c>
      <c r="B2098" s="26">
        <v>67</v>
      </c>
      <c r="C2098" s="26">
        <v>168</v>
      </c>
      <c r="D2098" s="26" t="s">
        <v>1686</v>
      </c>
      <c r="E2098" s="26">
        <v>-60066.731</v>
      </c>
      <c r="F2098" s="26">
        <v>30.105</v>
      </c>
      <c r="G2098" s="26">
        <f t="shared" si="32"/>
        <v>-60066.731</v>
      </c>
    </row>
    <row r="2099" spans="1:7" x14ac:dyDescent="0.2">
      <c r="A2099" s="26">
        <v>100</v>
      </c>
      <c r="B2099" s="26">
        <v>68</v>
      </c>
      <c r="C2099" s="26">
        <v>168</v>
      </c>
      <c r="D2099" s="26" t="s">
        <v>1687</v>
      </c>
      <c r="E2099" s="26">
        <v>-62996.731</v>
      </c>
      <c r="F2099" s="26">
        <v>2.512</v>
      </c>
      <c r="G2099" s="26">
        <f t="shared" si="32"/>
        <v>-62996.731</v>
      </c>
    </row>
    <row r="2100" spans="1:7" x14ac:dyDescent="0.2">
      <c r="A2100" s="26">
        <v>99</v>
      </c>
      <c r="B2100" s="26">
        <v>69</v>
      </c>
      <c r="C2100" s="26">
        <v>168</v>
      </c>
      <c r="D2100" s="26" t="s">
        <v>1688</v>
      </c>
      <c r="E2100" s="26">
        <v>-61317.663999999997</v>
      </c>
      <c r="F2100" s="26">
        <v>2.8969999999999998</v>
      </c>
      <c r="G2100" s="26">
        <f t="shared" si="32"/>
        <v>-61317.663999999997</v>
      </c>
    </row>
    <row r="2101" spans="1:7" x14ac:dyDescent="0.2">
      <c r="A2101" s="26">
        <v>98</v>
      </c>
      <c r="B2101" s="26">
        <v>70</v>
      </c>
      <c r="C2101" s="26">
        <v>168</v>
      </c>
      <c r="D2101" s="26" t="s">
        <v>1689</v>
      </c>
      <c r="E2101" s="26">
        <v>-61574.646000000001</v>
      </c>
      <c r="F2101" s="26">
        <v>4.391</v>
      </c>
      <c r="G2101" s="26">
        <f t="shared" si="32"/>
        <v>-61574.646000000001</v>
      </c>
    </row>
    <row r="2102" spans="1:7" x14ac:dyDescent="0.2">
      <c r="A2102" s="26">
        <v>97</v>
      </c>
      <c r="B2102" s="26">
        <v>71</v>
      </c>
      <c r="C2102" s="26">
        <v>168</v>
      </c>
      <c r="D2102" s="26" t="s">
        <v>1690</v>
      </c>
      <c r="E2102" s="26">
        <v>-57064.150999999998</v>
      </c>
      <c r="F2102" s="26">
        <v>46.95</v>
      </c>
      <c r="G2102" s="26">
        <f t="shared" si="32"/>
        <v>-57064.150999999998</v>
      </c>
    </row>
    <row r="2103" spans="1:7" x14ac:dyDescent="0.2">
      <c r="A2103" s="26">
        <v>96</v>
      </c>
      <c r="B2103" s="26">
        <v>72</v>
      </c>
      <c r="C2103" s="26">
        <v>168</v>
      </c>
      <c r="D2103" s="26" t="s">
        <v>1691</v>
      </c>
      <c r="E2103" s="26">
        <v>-55360.552000000003</v>
      </c>
      <c r="F2103" s="26">
        <v>27.945</v>
      </c>
      <c r="G2103" s="26">
        <f t="shared" si="32"/>
        <v>-55360.552000000003</v>
      </c>
    </row>
    <row r="2104" spans="1:7" x14ac:dyDescent="0.2">
      <c r="A2104" s="26">
        <v>95</v>
      </c>
      <c r="B2104" s="26">
        <v>73</v>
      </c>
      <c r="C2104" s="26">
        <v>168</v>
      </c>
      <c r="D2104" s="26" t="s">
        <v>1692</v>
      </c>
      <c r="E2104" s="26">
        <v>-48393.908000000003</v>
      </c>
      <c r="F2104" s="26">
        <v>27.945</v>
      </c>
      <c r="G2104" s="26">
        <f t="shared" si="32"/>
        <v>-48393.908000000003</v>
      </c>
    </row>
    <row r="2105" spans="1:7" x14ac:dyDescent="0.2">
      <c r="A2105" s="26">
        <v>94</v>
      </c>
      <c r="B2105" s="26">
        <v>74</v>
      </c>
      <c r="C2105" s="26">
        <v>168</v>
      </c>
      <c r="D2105" s="26" t="s">
        <v>1693</v>
      </c>
      <c r="E2105" s="26">
        <v>-44890.192000000003</v>
      </c>
      <c r="F2105" s="26">
        <v>16.283000000000001</v>
      </c>
      <c r="G2105" s="26">
        <f t="shared" si="32"/>
        <v>-44890.192000000003</v>
      </c>
    </row>
    <row r="2106" spans="1:7" x14ac:dyDescent="0.2">
      <c r="A2106" s="26">
        <v>93</v>
      </c>
      <c r="B2106" s="26">
        <v>75</v>
      </c>
      <c r="C2106" s="26">
        <v>168</v>
      </c>
      <c r="D2106" s="26" t="s">
        <v>1694</v>
      </c>
      <c r="E2106" s="26">
        <v>-35794.885000000002</v>
      </c>
      <c r="F2106" s="26">
        <v>30.821000000000002</v>
      </c>
      <c r="G2106" s="26">
        <f t="shared" si="32"/>
        <v>-35794.885000000002</v>
      </c>
    </row>
    <row r="2107" spans="1:7" x14ac:dyDescent="0.2">
      <c r="A2107" s="26">
        <v>92</v>
      </c>
      <c r="B2107" s="26">
        <v>76</v>
      </c>
      <c r="C2107" s="26">
        <v>168</v>
      </c>
      <c r="D2107" s="26" t="s">
        <v>1695</v>
      </c>
      <c r="E2107" s="26">
        <v>-29990.68</v>
      </c>
      <c r="F2107" s="26">
        <v>12.103</v>
      </c>
      <c r="G2107" s="26">
        <f t="shared" si="32"/>
        <v>-29990.68</v>
      </c>
    </row>
    <row r="2108" spans="1:7" x14ac:dyDescent="0.2">
      <c r="A2108" s="26">
        <v>91</v>
      </c>
      <c r="B2108" s="26">
        <v>77</v>
      </c>
      <c r="C2108" s="26">
        <v>168</v>
      </c>
      <c r="D2108" s="26" t="s">
        <v>1696</v>
      </c>
      <c r="E2108" s="26" t="s">
        <v>958</v>
      </c>
      <c r="F2108" s="26" t="s">
        <v>959</v>
      </c>
      <c r="G2108" s="26">
        <f t="shared" si="32"/>
        <v>-18741.009999999998</v>
      </c>
    </row>
    <row r="2109" spans="1:7" x14ac:dyDescent="0.2">
      <c r="A2109" s="26">
        <v>90</v>
      </c>
      <c r="B2109" s="26">
        <v>78</v>
      </c>
      <c r="C2109" s="26">
        <v>168</v>
      </c>
      <c r="D2109" s="26" t="s">
        <v>1697</v>
      </c>
      <c r="E2109" s="26">
        <v>-11037.512000000001</v>
      </c>
      <c r="F2109" s="26">
        <v>208.792</v>
      </c>
      <c r="G2109" s="26">
        <f t="shared" si="32"/>
        <v>-11037.512000000001</v>
      </c>
    </row>
    <row r="2110" spans="1:7" x14ac:dyDescent="0.2">
      <c r="A2110" s="26">
        <v>105</v>
      </c>
      <c r="B2110" s="26">
        <v>64</v>
      </c>
      <c r="C2110" s="26">
        <v>169</v>
      </c>
      <c r="D2110" s="26" t="s">
        <v>1683</v>
      </c>
      <c r="E2110" s="26" t="s">
        <v>1651</v>
      </c>
      <c r="F2110" s="26" t="s">
        <v>1725</v>
      </c>
      <c r="G2110" s="26">
        <f t="shared" si="32"/>
        <v>-43901.01</v>
      </c>
    </row>
    <row r="2111" spans="1:7" x14ac:dyDescent="0.2">
      <c r="A2111" s="26">
        <v>104</v>
      </c>
      <c r="B2111" s="26">
        <v>65</v>
      </c>
      <c r="C2111" s="26">
        <v>169</v>
      </c>
      <c r="D2111" s="26" t="s">
        <v>1684</v>
      </c>
      <c r="E2111" s="26" t="s">
        <v>1098</v>
      </c>
      <c r="F2111" s="26" t="s">
        <v>1505</v>
      </c>
      <c r="G2111" s="26">
        <f t="shared" si="32"/>
        <v>-50096.01</v>
      </c>
    </row>
    <row r="2112" spans="1:7" x14ac:dyDescent="0.2">
      <c r="A2112" s="26">
        <v>103</v>
      </c>
      <c r="B2112" s="26">
        <v>66</v>
      </c>
      <c r="C2112" s="26">
        <v>169</v>
      </c>
      <c r="D2112" s="26" t="s">
        <v>1685</v>
      </c>
      <c r="E2112" s="26">
        <v>-55603.099000000002</v>
      </c>
      <c r="F2112" s="26">
        <v>300.67899999999997</v>
      </c>
      <c r="G2112" s="26">
        <f t="shared" si="32"/>
        <v>-55603.099000000002</v>
      </c>
    </row>
    <row r="2113" spans="1:7" x14ac:dyDescent="0.2">
      <c r="A2113" s="26">
        <v>102</v>
      </c>
      <c r="B2113" s="26">
        <v>67</v>
      </c>
      <c r="C2113" s="26">
        <v>169</v>
      </c>
      <c r="D2113" s="26" t="s">
        <v>1686</v>
      </c>
      <c r="E2113" s="26">
        <v>-58803.099000000002</v>
      </c>
      <c r="F2113" s="26">
        <v>20.189</v>
      </c>
      <c r="G2113" s="26">
        <f t="shared" si="32"/>
        <v>-58803.099000000002</v>
      </c>
    </row>
    <row r="2114" spans="1:7" x14ac:dyDescent="0.2">
      <c r="A2114" s="26">
        <v>101</v>
      </c>
      <c r="B2114" s="26">
        <v>68</v>
      </c>
      <c r="C2114" s="26">
        <v>169</v>
      </c>
      <c r="D2114" s="26" t="s">
        <v>1687</v>
      </c>
      <c r="E2114" s="26">
        <v>-60928.684000000001</v>
      </c>
      <c r="F2114" s="26">
        <v>2.516</v>
      </c>
      <c r="G2114" s="26">
        <f t="shared" si="32"/>
        <v>-60928.684000000001</v>
      </c>
    </row>
    <row r="2115" spans="1:7" x14ac:dyDescent="0.2">
      <c r="A2115" s="26">
        <v>100</v>
      </c>
      <c r="B2115" s="26">
        <v>69</v>
      </c>
      <c r="C2115" s="26">
        <v>169</v>
      </c>
      <c r="D2115" s="26" t="s">
        <v>1688</v>
      </c>
      <c r="E2115" s="26">
        <v>-61279.963000000003</v>
      </c>
      <c r="F2115" s="26">
        <v>2.476</v>
      </c>
      <c r="G2115" s="26">
        <f t="shared" si="32"/>
        <v>-61279.963000000003</v>
      </c>
    </row>
    <row r="2116" spans="1:7" x14ac:dyDescent="0.2">
      <c r="A2116" s="26">
        <v>99</v>
      </c>
      <c r="B2116" s="26">
        <v>70</v>
      </c>
      <c r="C2116" s="26">
        <v>169</v>
      </c>
      <c r="D2116" s="26" t="s">
        <v>1689</v>
      </c>
      <c r="E2116" s="26">
        <v>-60370.311000000002</v>
      </c>
      <c r="F2116" s="26">
        <v>4.391</v>
      </c>
      <c r="G2116" s="26">
        <f t="shared" si="32"/>
        <v>-60370.311000000002</v>
      </c>
    </row>
    <row r="2117" spans="1:7" x14ac:dyDescent="0.2">
      <c r="A2117" s="26">
        <v>98</v>
      </c>
      <c r="B2117" s="26">
        <v>71</v>
      </c>
      <c r="C2117" s="26">
        <v>169</v>
      </c>
      <c r="D2117" s="26" t="s">
        <v>1690</v>
      </c>
      <c r="E2117" s="26">
        <v>-58077.311000000002</v>
      </c>
      <c r="F2117" s="26">
        <v>5.3179999999999996</v>
      </c>
      <c r="G2117" s="26">
        <f t="shared" si="32"/>
        <v>-58077.311000000002</v>
      </c>
    </row>
    <row r="2118" spans="1:7" x14ac:dyDescent="0.2">
      <c r="A2118" s="26">
        <v>97</v>
      </c>
      <c r="B2118" s="26">
        <v>72</v>
      </c>
      <c r="C2118" s="26">
        <v>169</v>
      </c>
      <c r="D2118" s="26" t="s">
        <v>1691</v>
      </c>
      <c r="E2118" s="26">
        <v>-54716.89</v>
      </c>
      <c r="F2118" s="26">
        <v>27.945</v>
      </c>
      <c r="G2118" s="26">
        <f t="shared" si="32"/>
        <v>-54716.89</v>
      </c>
    </row>
    <row r="2119" spans="1:7" x14ac:dyDescent="0.2">
      <c r="A2119" s="26">
        <v>96</v>
      </c>
      <c r="B2119" s="26">
        <v>73</v>
      </c>
      <c r="C2119" s="26">
        <v>169</v>
      </c>
      <c r="D2119" s="26" t="s">
        <v>1692</v>
      </c>
      <c r="E2119" s="26">
        <v>-50290.43</v>
      </c>
      <c r="F2119" s="26">
        <v>27.945</v>
      </c>
      <c r="G2119" s="26">
        <f t="shared" si="32"/>
        <v>-50290.43</v>
      </c>
    </row>
    <row r="2120" spans="1:7" x14ac:dyDescent="0.2">
      <c r="A2120" s="26">
        <v>95</v>
      </c>
      <c r="B2120" s="26">
        <v>74</v>
      </c>
      <c r="C2120" s="26">
        <v>169</v>
      </c>
      <c r="D2120" s="26" t="s">
        <v>1693</v>
      </c>
      <c r="E2120" s="26">
        <v>-44917.767999999996</v>
      </c>
      <c r="F2120" s="26">
        <v>15.436</v>
      </c>
      <c r="G2120" s="26">
        <f t="shared" si="32"/>
        <v>-44917.767999999996</v>
      </c>
    </row>
    <row r="2121" spans="1:7" x14ac:dyDescent="0.2">
      <c r="A2121" s="26">
        <v>94</v>
      </c>
      <c r="B2121" s="26">
        <v>75</v>
      </c>
      <c r="C2121" s="26">
        <v>169</v>
      </c>
      <c r="D2121" s="26" t="s">
        <v>1694</v>
      </c>
      <c r="E2121" s="26">
        <v>-38385.847000000002</v>
      </c>
      <c r="F2121" s="26">
        <v>28.102</v>
      </c>
      <c r="G2121" s="26">
        <f t="shared" si="32"/>
        <v>-38385.847000000002</v>
      </c>
    </row>
    <row r="2122" spans="1:7" x14ac:dyDescent="0.2">
      <c r="A2122" s="26">
        <v>93</v>
      </c>
      <c r="B2122" s="26">
        <v>76</v>
      </c>
      <c r="C2122" s="26">
        <v>169</v>
      </c>
      <c r="D2122" s="26" t="s">
        <v>1695</v>
      </c>
      <c r="E2122" s="26">
        <v>-30721.351999999999</v>
      </c>
      <c r="F2122" s="26">
        <v>25.196999999999999</v>
      </c>
      <c r="G2122" s="26">
        <f t="shared" ref="G2122:G2185" si="33">IF(ISNUMBER(E2122),E2122,VALUE(SUBSTITUTE(E2122,"#",".01")))</f>
        <v>-30721.351999999999</v>
      </c>
    </row>
    <row r="2123" spans="1:7" x14ac:dyDescent="0.2">
      <c r="A2123" s="26">
        <v>92</v>
      </c>
      <c r="B2123" s="26">
        <v>77</v>
      </c>
      <c r="C2123" s="26">
        <v>169</v>
      </c>
      <c r="D2123" s="26" t="s">
        <v>1696</v>
      </c>
      <c r="E2123" s="26">
        <v>-22081.118999999999</v>
      </c>
      <c r="F2123" s="26">
        <v>26.465</v>
      </c>
      <c r="G2123" s="26">
        <f t="shared" si="33"/>
        <v>-22081.118999999999</v>
      </c>
    </row>
    <row r="2124" spans="1:7" x14ac:dyDescent="0.2">
      <c r="A2124" s="26">
        <v>91</v>
      </c>
      <c r="B2124" s="26">
        <v>78</v>
      </c>
      <c r="C2124" s="26">
        <v>169</v>
      </c>
      <c r="D2124" s="26" t="s">
        <v>1697</v>
      </c>
      <c r="E2124" s="26" t="s">
        <v>960</v>
      </c>
      <c r="F2124" s="26" t="s">
        <v>1252</v>
      </c>
      <c r="G2124" s="26">
        <f t="shared" si="33"/>
        <v>-12375.01</v>
      </c>
    </row>
    <row r="2125" spans="1:7" x14ac:dyDescent="0.2">
      <c r="A2125" s="26">
        <v>90</v>
      </c>
      <c r="B2125" s="26">
        <v>79</v>
      </c>
      <c r="C2125" s="26">
        <v>169</v>
      </c>
      <c r="D2125" s="26" t="s">
        <v>1698</v>
      </c>
      <c r="E2125" s="26" t="s">
        <v>961</v>
      </c>
      <c r="F2125" s="26" t="s">
        <v>1730</v>
      </c>
      <c r="G2125" s="26">
        <f t="shared" si="33"/>
        <v>-1788.01</v>
      </c>
    </row>
    <row r="2126" spans="1:7" x14ac:dyDescent="0.2">
      <c r="A2126" s="26">
        <v>105</v>
      </c>
      <c r="B2126" s="26">
        <v>65</v>
      </c>
      <c r="C2126" s="26">
        <v>170</v>
      </c>
      <c r="D2126" s="26" t="s">
        <v>1684</v>
      </c>
      <c r="E2126" s="26" t="s">
        <v>1099</v>
      </c>
      <c r="F2126" s="26" t="s">
        <v>1508</v>
      </c>
      <c r="G2126" s="26">
        <f t="shared" si="33"/>
        <v>-46342.01</v>
      </c>
    </row>
    <row r="2127" spans="1:7" x14ac:dyDescent="0.2">
      <c r="A2127" s="26">
        <v>104</v>
      </c>
      <c r="B2127" s="26">
        <v>66</v>
      </c>
      <c r="C2127" s="26">
        <v>170</v>
      </c>
      <c r="D2127" s="26" t="s">
        <v>1685</v>
      </c>
      <c r="E2127" s="26" t="s">
        <v>962</v>
      </c>
      <c r="F2127" s="26" t="s">
        <v>1480</v>
      </c>
      <c r="G2127" s="26">
        <f t="shared" si="33"/>
        <v>-53663.01</v>
      </c>
    </row>
    <row r="2128" spans="1:7" x14ac:dyDescent="0.2">
      <c r="A2128" s="26">
        <v>103</v>
      </c>
      <c r="B2128" s="26">
        <v>67</v>
      </c>
      <c r="C2128" s="26">
        <v>170</v>
      </c>
      <c r="D2128" s="26" t="s">
        <v>1686</v>
      </c>
      <c r="E2128" s="26">
        <v>-56244.606</v>
      </c>
      <c r="F2128" s="26">
        <v>50.076000000000001</v>
      </c>
      <c r="G2128" s="26">
        <f t="shared" si="33"/>
        <v>-56244.606</v>
      </c>
    </row>
    <row r="2129" spans="1:7" x14ac:dyDescent="0.2">
      <c r="A2129" s="26">
        <v>102</v>
      </c>
      <c r="B2129" s="26">
        <v>68</v>
      </c>
      <c r="C2129" s="26">
        <v>170</v>
      </c>
      <c r="D2129" s="26" t="s">
        <v>1687</v>
      </c>
      <c r="E2129" s="26">
        <v>-60114.606</v>
      </c>
      <c r="F2129" s="26">
        <v>2.754</v>
      </c>
      <c r="G2129" s="26">
        <f t="shared" si="33"/>
        <v>-60114.606</v>
      </c>
    </row>
    <row r="2130" spans="1:7" x14ac:dyDescent="0.2">
      <c r="A2130" s="26">
        <v>101</v>
      </c>
      <c r="B2130" s="26">
        <v>69</v>
      </c>
      <c r="C2130" s="26">
        <v>170</v>
      </c>
      <c r="D2130" s="26" t="s">
        <v>1688</v>
      </c>
      <c r="E2130" s="26">
        <v>-59800.614000000001</v>
      </c>
      <c r="F2130" s="26">
        <v>2.476</v>
      </c>
      <c r="G2130" s="26">
        <f t="shared" si="33"/>
        <v>-59800.614000000001</v>
      </c>
    </row>
    <row r="2131" spans="1:7" x14ac:dyDescent="0.2">
      <c r="A2131" s="26">
        <v>100</v>
      </c>
      <c r="B2131" s="26">
        <v>70</v>
      </c>
      <c r="C2131" s="26">
        <v>170</v>
      </c>
      <c r="D2131" s="26" t="s">
        <v>1689</v>
      </c>
      <c r="E2131" s="26">
        <v>-60768.957000000002</v>
      </c>
      <c r="F2131" s="26">
        <v>2.4489999999999998</v>
      </c>
      <c r="G2131" s="26">
        <f t="shared" si="33"/>
        <v>-60768.957000000002</v>
      </c>
    </row>
    <row r="2132" spans="1:7" x14ac:dyDescent="0.2">
      <c r="A2132" s="26">
        <v>99</v>
      </c>
      <c r="B2132" s="26">
        <v>71</v>
      </c>
      <c r="C2132" s="26">
        <v>170</v>
      </c>
      <c r="D2132" s="26" t="s">
        <v>1690</v>
      </c>
      <c r="E2132" s="26">
        <v>-57310.199000000001</v>
      </c>
      <c r="F2132" s="26">
        <v>17.02</v>
      </c>
      <c r="G2132" s="26">
        <f t="shared" si="33"/>
        <v>-57310.199000000001</v>
      </c>
    </row>
    <row r="2133" spans="1:7" x14ac:dyDescent="0.2">
      <c r="A2133" s="26">
        <v>98</v>
      </c>
      <c r="B2133" s="26">
        <v>72</v>
      </c>
      <c r="C2133" s="26">
        <v>170</v>
      </c>
      <c r="D2133" s="26" t="s">
        <v>1691</v>
      </c>
      <c r="E2133" s="26">
        <v>-56253.855000000003</v>
      </c>
      <c r="F2133" s="26">
        <v>27.945</v>
      </c>
      <c r="G2133" s="26">
        <f t="shared" si="33"/>
        <v>-56253.855000000003</v>
      </c>
    </row>
    <row r="2134" spans="1:7" x14ac:dyDescent="0.2">
      <c r="A2134" s="26">
        <v>97</v>
      </c>
      <c r="B2134" s="26">
        <v>73</v>
      </c>
      <c r="C2134" s="26">
        <v>170</v>
      </c>
      <c r="D2134" s="26" t="s">
        <v>1692</v>
      </c>
      <c r="E2134" s="26">
        <v>-50137.665000000001</v>
      </c>
      <c r="F2134" s="26">
        <v>27.945</v>
      </c>
      <c r="G2134" s="26">
        <f t="shared" si="33"/>
        <v>-50137.665000000001</v>
      </c>
    </row>
    <row r="2135" spans="1:7" x14ac:dyDescent="0.2">
      <c r="A2135" s="26">
        <v>96</v>
      </c>
      <c r="B2135" s="26">
        <v>74</v>
      </c>
      <c r="C2135" s="26">
        <v>170</v>
      </c>
      <c r="D2135" s="26" t="s">
        <v>1693</v>
      </c>
      <c r="E2135" s="26">
        <v>-47293.364000000001</v>
      </c>
      <c r="F2135" s="26">
        <v>15.127000000000001</v>
      </c>
      <c r="G2135" s="26">
        <f t="shared" si="33"/>
        <v>-47293.364000000001</v>
      </c>
    </row>
    <row r="2136" spans="1:7" x14ac:dyDescent="0.2">
      <c r="A2136" s="26">
        <v>95</v>
      </c>
      <c r="B2136" s="26">
        <v>75</v>
      </c>
      <c r="C2136" s="26">
        <v>170</v>
      </c>
      <c r="D2136" s="26" t="s">
        <v>1694</v>
      </c>
      <c r="E2136" s="26">
        <v>-38917.754000000001</v>
      </c>
      <c r="F2136" s="26">
        <v>25.795000000000002</v>
      </c>
      <c r="G2136" s="26">
        <f t="shared" si="33"/>
        <v>-38917.754000000001</v>
      </c>
    </row>
    <row r="2137" spans="1:7" x14ac:dyDescent="0.2">
      <c r="A2137" s="26">
        <v>94</v>
      </c>
      <c r="B2137" s="26">
        <v>76</v>
      </c>
      <c r="C2137" s="26">
        <v>170</v>
      </c>
      <c r="D2137" s="26" t="s">
        <v>1695</v>
      </c>
      <c r="E2137" s="26">
        <v>-33927.78</v>
      </c>
      <c r="F2137" s="26">
        <v>10.9</v>
      </c>
      <c r="G2137" s="26">
        <f t="shared" si="33"/>
        <v>-33927.78</v>
      </c>
    </row>
    <row r="2138" spans="1:7" x14ac:dyDescent="0.2">
      <c r="A2138" s="26">
        <v>93</v>
      </c>
      <c r="B2138" s="26">
        <v>77</v>
      </c>
      <c r="C2138" s="26">
        <v>170</v>
      </c>
      <c r="D2138" s="26" t="s">
        <v>1696</v>
      </c>
      <c r="E2138" s="26" t="s">
        <v>963</v>
      </c>
      <c r="F2138" s="26" t="s">
        <v>1516</v>
      </c>
      <c r="G2138" s="26">
        <f t="shared" si="33"/>
        <v>-23320.01</v>
      </c>
    </row>
    <row r="2139" spans="1:7" x14ac:dyDescent="0.2">
      <c r="A2139" s="26">
        <v>92</v>
      </c>
      <c r="B2139" s="26">
        <v>78</v>
      </c>
      <c r="C2139" s="26">
        <v>170</v>
      </c>
      <c r="D2139" s="26" t="s">
        <v>1697</v>
      </c>
      <c r="E2139" s="26">
        <v>-16305.532999999999</v>
      </c>
      <c r="F2139" s="26">
        <v>18.661999999999999</v>
      </c>
      <c r="G2139" s="26">
        <f t="shared" si="33"/>
        <v>-16305.532999999999</v>
      </c>
    </row>
    <row r="2140" spans="1:7" x14ac:dyDescent="0.2">
      <c r="A2140" s="26">
        <v>91</v>
      </c>
      <c r="B2140" s="26">
        <v>79</v>
      </c>
      <c r="C2140" s="26">
        <v>170</v>
      </c>
      <c r="D2140" s="26" t="s">
        <v>1698</v>
      </c>
      <c r="E2140" s="26" t="s">
        <v>964</v>
      </c>
      <c r="F2140" s="26" t="s">
        <v>1485</v>
      </c>
      <c r="G2140" s="26">
        <f t="shared" si="33"/>
        <v>-3612.01</v>
      </c>
    </row>
    <row r="2141" spans="1:7" x14ac:dyDescent="0.2">
      <c r="A2141" s="26">
        <v>106</v>
      </c>
      <c r="B2141" s="26">
        <v>65</v>
      </c>
      <c r="C2141" s="26">
        <v>171</v>
      </c>
      <c r="D2141" s="26" t="s">
        <v>1684</v>
      </c>
      <c r="E2141" s="26" t="s">
        <v>1101</v>
      </c>
      <c r="F2141" s="26" t="s">
        <v>1725</v>
      </c>
      <c r="G2141" s="26">
        <f t="shared" si="33"/>
        <v>-43501.01</v>
      </c>
    </row>
    <row r="2142" spans="1:7" x14ac:dyDescent="0.2">
      <c r="A2142" s="26">
        <v>105</v>
      </c>
      <c r="B2142" s="26">
        <v>66</v>
      </c>
      <c r="C2142" s="26">
        <v>171</v>
      </c>
      <c r="D2142" s="26" t="s">
        <v>1685</v>
      </c>
      <c r="E2142" s="26" t="s">
        <v>965</v>
      </c>
      <c r="F2142" s="26" t="s">
        <v>1730</v>
      </c>
      <c r="G2142" s="26">
        <f t="shared" si="33"/>
        <v>-50114.01</v>
      </c>
    </row>
    <row r="2143" spans="1:7" x14ac:dyDescent="0.2">
      <c r="A2143" s="26">
        <v>104</v>
      </c>
      <c r="B2143" s="26">
        <v>67</v>
      </c>
      <c r="C2143" s="26">
        <v>171</v>
      </c>
      <c r="D2143" s="26" t="s">
        <v>1686</v>
      </c>
      <c r="E2143" s="26">
        <v>-54524.862000000001</v>
      </c>
      <c r="F2143" s="26">
        <v>600.00599999999997</v>
      </c>
      <c r="G2143" s="26">
        <f t="shared" si="33"/>
        <v>-54524.862000000001</v>
      </c>
    </row>
    <row r="2144" spans="1:7" x14ac:dyDescent="0.2">
      <c r="A2144" s="26">
        <v>103</v>
      </c>
      <c r="B2144" s="26">
        <v>68</v>
      </c>
      <c r="C2144" s="26">
        <v>171</v>
      </c>
      <c r="D2144" s="26" t="s">
        <v>1687</v>
      </c>
      <c r="E2144" s="26">
        <v>-57724.862000000001</v>
      </c>
      <c r="F2144" s="26">
        <v>2.7629999999999999</v>
      </c>
      <c r="G2144" s="26">
        <f t="shared" si="33"/>
        <v>-57724.862000000001</v>
      </c>
    </row>
    <row r="2145" spans="1:7" x14ac:dyDescent="0.2">
      <c r="A2145" s="26">
        <v>102</v>
      </c>
      <c r="B2145" s="26">
        <v>69</v>
      </c>
      <c r="C2145" s="26">
        <v>171</v>
      </c>
      <c r="D2145" s="26" t="s">
        <v>1688</v>
      </c>
      <c r="E2145" s="26">
        <v>-59215.595000000001</v>
      </c>
      <c r="F2145" s="26">
        <v>2.5840000000000001</v>
      </c>
      <c r="G2145" s="26">
        <f t="shared" si="33"/>
        <v>-59215.595000000001</v>
      </c>
    </row>
    <row r="2146" spans="1:7" x14ac:dyDescent="0.2">
      <c r="A2146" s="26">
        <v>101</v>
      </c>
      <c r="B2146" s="26">
        <v>70</v>
      </c>
      <c r="C2146" s="26">
        <v>171</v>
      </c>
      <c r="D2146" s="26" t="s">
        <v>1689</v>
      </c>
      <c r="E2146" s="26">
        <v>-59312.137000000002</v>
      </c>
      <c r="F2146" s="26">
        <v>2.4</v>
      </c>
      <c r="G2146" s="26">
        <f t="shared" si="33"/>
        <v>-59312.137000000002</v>
      </c>
    </row>
    <row r="2147" spans="1:7" x14ac:dyDescent="0.2">
      <c r="A2147" s="26">
        <v>100</v>
      </c>
      <c r="B2147" s="26">
        <v>71</v>
      </c>
      <c r="C2147" s="26">
        <v>171</v>
      </c>
      <c r="D2147" s="26" t="s">
        <v>1690</v>
      </c>
      <c r="E2147" s="26">
        <v>-57833.542000000001</v>
      </c>
      <c r="F2147" s="26">
        <v>2.7669999999999999</v>
      </c>
      <c r="G2147" s="26">
        <f t="shared" si="33"/>
        <v>-57833.542000000001</v>
      </c>
    </row>
    <row r="2148" spans="1:7" x14ac:dyDescent="0.2">
      <c r="A2148" s="26">
        <v>99</v>
      </c>
      <c r="B2148" s="26">
        <v>72</v>
      </c>
      <c r="C2148" s="26">
        <v>171</v>
      </c>
      <c r="D2148" s="26" t="s">
        <v>1691</v>
      </c>
      <c r="E2148" s="26">
        <v>-55431.345000000001</v>
      </c>
      <c r="F2148" s="26">
        <v>28.876000000000001</v>
      </c>
      <c r="G2148" s="26">
        <f t="shared" si="33"/>
        <v>-55431.345000000001</v>
      </c>
    </row>
    <row r="2149" spans="1:7" x14ac:dyDescent="0.2">
      <c r="A2149" s="26">
        <v>98</v>
      </c>
      <c r="B2149" s="26">
        <v>73</v>
      </c>
      <c r="C2149" s="26">
        <v>171</v>
      </c>
      <c r="D2149" s="26" t="s">
        <v>1692</v>
      </c>
      <c r="E2149" s="26">
        <v>-51720.273000000001</v>
      </c>
      <c r="F2149" s="26">
        <v>27.945</v>
      </c>
      <c r="G2149" s="26">
        <f t="shared" si="33"/>
        <v>-51720.273000000001</v>
      </c>
    </row>
    <row r="2150" spans="1:7" x14ac:dyDescent="0.2">
      <c r="A2150" s="26">
        <v>97</v>
      </c>
      <c r="B2150" s="26">
        <v>74</v>
      </c>
      <c r="C2150" s="26">
        <v>171</v>
      </c>
      <c r="D2150" s="26" t="s">
        <v>1693</v>
      </c>
      <c r="E2150" s="26">
        <v>-47086.091</v>
      </c>
      <c r="F2150" s="26">
        <v>27.945</v>
      </c>
      <c r="G2150" s="26">
        <f t="shared" si="33"/>
        <v>-47086.091</v>
      </c>
    </row>
    <row r="2151" spans="1:7" x14ac:dyDescent="0.2">
      <c r="A2151" s="26">
        <v>96</v>
      </c>
      <c r="B2151" s="26">
        <v>75</v>
      </c>
      <c r="C2151" s="26">
        <v>171</v>
      </c>
      <c r="D2151" s="26" t="s">
        <v>1694</v>
      </c>
      <c r="E2151" s="26">
        <v>-41250.281000000003</v>
      </c>
      <c r="F2151" s="26">
        <v>27.945</v>
      </c>
      <c r="G2151" s="26">
        <f t="shared" si="33"/>
        <v>-41250.281000000003</v>
      </c>
    </row>
    <row r="2152" spans="1:7" x14ac:dyDescent="0.2">
      <c r="A2152" s="26">
        <v>95</v>
      </c>
      <c r="B2152" s="26">
        <v>76</v>
      </c>
      <c r="C2152" s="26">
        <v>171</v>
      </c>
      <c r="D2152" s="26" t="s">
        <v>1695</v>
      </c>
      <c r="E2152" s="26">
        <v>-34293.120000000003</v>
      </c>
      <c r="F2152" s="26">
        <v>18.745000000000001</v>
      </c>
      <c r="G2152" s="26">
        <f t="shared" si="33"/>
        <v>-34293.120000000003</v>
      </c>
    </row>
    <row r="2153" spans="1:7" x14ac:dyDescent="0.2">
      <c r="A2153" s="26">
        <v>94</v>
      </c>
      <c r="B2153" s="26">
        <v>77</v>
      </c>
      <c r="C2153" s="26">
        <v>171</v>
      </c>
      <c r="D2153" s="26" t="s">
        <v>1696</v>
      </c>
      <c r="E2153" s="26">
        <v>-26430.171999999999</v>
      </c>
      <c r="F2153" s="26">
        <v>39.518999999999998</v>
      </c>
      <c r="G2153" s="26">
        <f t="shared" si="33"/>
        <v>-26430.171999999999</v>
      </c>
    </row>
    <row r="2154" spans="1:7" x14ac:dyDescent="0.2">
      <c r="A2154" s="26">
        <v>93</v>
      </c>
      <c r="B2154" s="26">
        <v>78</v>
      </c>
      <c r="C2154" s="26">
        <v>171</v>
      </c>
      <c r="D2154" s="26" t="s">
        <v>1697</v>
      </c>
      <c r="E2154" s="26">
        <v>-17470.596000000001</v>
      </c>
      <c r="F2154" s="26">
        <v>88.224000000000004</v>
      </c>
      <c r="G2154" s="26">
        <f t="shared" si="33"/>
        <v>-17470.596000000001</v>
      </c>
    </row>
    <row r="2155" spans="1:7" x14ac:dyDescent="0.2">
      <c r="A2155" s="26">
        <v>92</v>
      </c>
      <c r="B2155" s="26">
        <v>79</v>
      </c>
      <c r="C2155" s="26">
        <v>171</v>
      </c>
      <c r="D2155" s="26" t="s">
        <v>1698</v>
      </c>
      <c r="E2155" s="26">
        <v>-7564.7730000000001</v>
      </c>
      <c r="F2155" s="26">
        <v>25.643999999999998</v>
      </c>
      <c r="G2155" s="26">
        <f t="shared" si="33"/>
        <v>-7564.7730000000001</v>
      </c>
    </row>
    <row r="2156" spans="1:7" x14ac:dyDescent="0.2">
      <c r="A2156" s="26">
        <v>91</v>
      </c>
      <c r="B2156" s="26">
        <v>80</v>
      </c>
      <c r="C2156" s="26">
        <v>171</v>
      </c>
      <c r="D2156" s="26" t="s">
        <v>1699</v>
      </c>
      <c r="E2156" s="26" t="s">
        <v>966</v>
      </c>
      <c r="F2156" s="26" t="s">
        <v>1730</v>
      </c>
      <c r="G2156" s="26">
        <f t="shared" si="33"/>
        <v>3502.01</v>
      </c>
    </row>
    <row r="2157" spans="1:7" x14ac:dyDescent="0.2">
      <c r="A2157" s="26">
        <v>106</v>
      </c>
      <c r="B2157" s="26">
        <v>66</v>
      </c>
      <c r="C2157" s="26">
        <v>172</v>
      </c>
      <c r="D2157" s="26" t="s">
        <v>1685</v>
      </c>
      <c r="E2157" s="26" t="s">
        <v>967</v>
      </c>
      <c r="F2157" s="26" t="s">
        <v>1723</v>
      </c>
      <c r="G2157" s="26">
        <f t="shared" si="33"/>
        <v>-47730.01</v>
      </c>
    </row>
    <row r="2158" spans="1:7" x14ac:dyDescent="0.2">
      <c r="A2158" s="26">
        <v>105</v>
      </c>
      <c r="B2158" s="26">
        <v>67</v>
      </c>
      <c r="C2158" s="26">
        <v>172</v>
      </c>
      <c r="D2158" s="26" t="s">
        <v>1686</v>
      </c>
      <c r="E2158" s="26" t="s">
        <v>1103</v>
      </c>
      <c r="F2158" s="26" t="s">
        <v>1723</v>
      </c>
      <c r="G2158" s="26">
        <f t="shared" si="33"/>
        <v>-51400.01</v>
      </c>
    </row>
    <row r="2159" spans="1:7" x14ac:dyDescent="0.2">
      <c r="A2159" s="26">
        <v>104</v>
      </c>
      <c r="B2159" s="26">
        <v>68</v>
      </c>
      <c r="C2159" s="26">
        <v>172</v>
      </c>
      <c r="D2159" s="26" t="s">
        <v>1687</v>
      </c>
      <c r="E2159" s="26">
        <v>-56489.417000000001</v>
      </c>
      <c r="F2159" s="26">
        <v>4.6180000000000003</v>
      </c>
      <c r="G2159" s="26">
        <f t="shared" si="33"/>
        <v>-56489.417000000001</v>
      </c>
    </row>
    <row r="2160" spans="1:7" x14ac:dyDescent="0.2">
      <c r="A2160" s="26">
        <v>103</v>
      </c>
      <c r="B2160" s="26">
        <v>69</v>
      </c>
      <c r="C2160" s="26">
        <v>172</v>
      </c>
      <c r="D2160" s="26" t="s">
        <v>1688</v>
      </c>
      <c r="E2160" s="26">
        <v>-57379.99</v>
      </c>
      <c r="F2160" s="26">
        <v>5.97</v>
      </c>
      <c r="G2160" s="26">
        <f t="shared" si="33"/>
        <v>-57379.99</v>
      </c>
    </row>
    <row r="2161" spans="1:7" x14ac:dyDescent="0.2">
      <c r="A2161" s="26">
        <v>102</v>
      </c>
      <c r="B2161" s="26">
        <v>70</v>
      </c>
      <c r="C2161" s="26">
        <v>172</v>
      </c>
      <c r="D2161" s="26" t="s">
        <v>1689</v>
      </c>
      <c r="E2161" s="26">
        <v>-59260.28</v>
      </c>
      <c r="F2161" s="26">
        <v>2.3980000000000001</v>
      </c>
      <c r="G2161" s="26">
        <f t="shared" si="33"/>
        <v>-59260.28</v>
      </c>
    </row>
    <row r="2162" spans="1:7" x14ac:dyDescent="0.2">
      <c r="A2162" s="26">
        <v>101</v>
      </c>
      <c r="B2162" s="26">
        <v>71</v>
      </c>
      <c r="C2162" s="26">
        <v>172</v>
      </c>
      <c r="D2162" s="26" t="s">
        <v>1690</v>
      </c>
      <c r="E2162" s="26">
        <v>-56741.334000000003</v>
      </c>
      <c r="F2162" s="26">
        <v>2.9780000000000002</v>
      </c>
      <c r="G2162" s="26">
        <f t="shared" si="33"/>
        <v>-56741.334000000003</v>
      </c>
    </row>
    <row r="2163" spans="1:7" x14ac:dyDescent="0.2">
      <c r="A2163" s="26">
        <v>100</v>
      </c>
      <c r="B2163" s="26">
        <v>72</v>
      </c>
      <c r="C2163" s="26">
        <v>172</v>
      </c>
      <c r="D2163" s="26" t="s">
        <v>1691</v>
      </c>
      <c r="E2163" s="26">
        <v>-56403.544000000002</v>
      </c>
      <c r="F2163" s="26">
        <v>24.428000000000001</v>
      </c>
      <c r="G2163" s="26">
        <f t="shared" si="33"/>
        <v>-56403.544000000002</v>
      </c>
    </row>
    <row r="2164" spans="1:7" x14ac:dyDescent="0.2">
      <c r="A2164" s="26">
        <v>99</v>
      </c>
      <c r="B2164" s="26">
        <v>73</v>
      </c>
      <c r="C2164" s="26">
        <v>172</v>
      </c>
      <c r="D2164" s="26" t="s">
        <v>1692</v>
      </c>
      <c r="E2164" s="26">
        <v>-51329.976999999999</v>
      </c>
      <c r="F2164" s="26">
        <v>27.945</v>
      </c>
      <c r="G2164" s="26">
        <f t="shared" si="33"/>
        <v>-51329.976999999999</v>
      </c>
    </row>
    <row r="2165" spans="1:7" x14ac:dyDescent="0.2">
      <c r="A2165" s="26">
        <v>98</v>
      </c>
      <c r="B2165" s="26">
        <v>74</v>
      </c>
      <c r="C2165" s="26">
        <v>172</v>
      </c>
      <c r="D2165" s="26" t="s">
        <v>1693</v>
      </c>
      <c r="E2165" s="26">
        <v>-49097.186000000002</v>
      </c>
      <c r="F2165" s="26">
        <v>27.945</v>
      </c>
      <c r="G2165" s="26">
        <f t="shared" si="33"/>
        <v>-49097.186000000002</v>
      </c>
    </row>
    <row r="2166" spans="1:7" x14ac:dyDescent="0.2">
      <c r="A2166" s="26">
        <v>97</v>
      </c>
      <c r="B2166" s="26">
        <v>75</v>
      </c>
      <c r="C2166" s="26">
        <v>172</v>
      </c>
      <c r="D2166" s="26" t="s">
        <v>1694</v>
      </c>
      <c r="E2166" s="26">
        <v>-41523.243999999999</v>
      </c>
      <c r="F2166" s="26">
        <v>53.978999999999999</v>
      </c>
      <c r="G2166" s="26">
        <f t="shared" si="33"/>
        <v>-41523.243999999999</v>
      </c>
    </row>
    <row r="2167" spans="1:7" x14ac:dyDescent="0.2">
      <c r="A2167" s="26">
        <v>96</v>
      </c>
      <c r="B2167" s="26">
        <v>76</v>
      </c>
      <c r="C2167" s="26">
        <v>172</v>
      </c>
      <c r="D2167" s="26" t="s">
        <v>1695</v>
      </c>
      <c r="E2167" s="26">
        <v>-37238.053</v>
      </c>
      <c r="F2167" s="26">
        <v>14.586</v>
      </c>
      <c r="G2167" s="26">
        <f t="shared" si="33"/>
        <v>-37238.053</v>
      </c>
    </row>
    <row r="2168" spans="1:7" x14ac:dyDescent="0.2">
      <c r="A2168" s="26">
        <v>95</v>
      </c>
      <c r="B2168" s="26">
        <v>77</v>
      </c>
      <c r="C2168" s="26">
        <v>172</v>
      </c>
      <c r="D2168" s="26" t="s">
        <v>1696</v>
      </c>
      <c r="E2168" s="26" t="s">
        <v>968</v>
      </c>
      <c r="F2168" s="26" t="s">
        <v>1273</v>
      </c>
      <c r="G2168" s="26">
        <f t="shared" si="33"/>
        <v>-27520.01</v>
      </c>
    </row>
    <row r="2169" spans="1:7" x14ac:dyDescent="0.2">
      <c r="A2169" s="26">
        <v>94</v>
      </c>
      <c r="B2169" s="26">
        <v>78</v>
      </c>
      <c r="C2169" s="26">
        <v>172</v>
      </c>
      <c r="D2169" s="26" t="s">
        <v>1697</v>
      </c>
      <c r="E2169" s="26">
        <v>-21101.013999999999</v>
      </c>
      <c r="F2169" s="26">
        <v>12.778</v>
      </c>
      <c r="G2169" s="26">
        <f t="shared" si="33"/>
        <v>-21101.013999999999</v>
      </c>
    </row>
    <row r="2170" spans="1:7" x14ac:dyDescent="0.2">
      <c r="A2170" s="26">
        <v>93</v>
      </c>
      <c r="B2170" s="26">
        <v>79</v>
      </c>
      <c r="C2170" s="26">
        <v>172</v>
      </c>
      <c r="D2170" s="26" t="s">
        <v>1698</v>
      </c>
      <c r="E2170" s="26" t="s">
        <v>969</v>
      </c>
      <c r="F2170" s="26" t="s">
        <v>631</v>
      </c>
      <c r="G2170" s="26">
        <f t="shared" si="33"/>
        <v>-9282.01</v>
      </c>
    </row>
    <row r="2171" spans="1:7" x14ac:dyDescent="0.2">
      <c r="A2171" s="26">
        <v>92</v>
      </c>
      <c r="B2171" s="26">
        <v>80</v>
      </c>
      <c r="C2171" s="26">
        <v>172</v>
      </c>
      <c r="D2171" s="26" t="s">
        <v>1699</v>
      </c>
      <c r="E2171" s="26">
        <v>-1087.345</v>
      </c>
      <c r="F2171" s="26">
        <v>209.154</v>
      </c>
      <c r="G2171" s="26">
        <f t="shared" si="33"/>
        <v>-1087.345</v>
      </c>
    </row>
    <row r="2172" spans="1:7" x14ac:dyDescent="0.2">
      <c r="A2172" s="26">
        <v>107</v>
      </c>
      <c r="B2172" s="26">
        <v>66</v>
      </c>
      <c r="C2172" s="26">
        <v>173</v>
      </c>
      <c r="D2172" s="26" t="s">
        <v>1685</v>
      </c>
      <c r="E2172" s="26" t="s">
        <v>970</v>
      </c>
      <c r="F2172" s="26" t="s">
        <v>1728</v>
      </c>
      <c r="G2172" s="26">
        <f t="shared" si="33"/>
        <v>-43780.01</v>
      </c>
    </row>
    <row r="2173" spans="1:7" x14ac:dyDescent="0.2">
      <c r="A2173" s="26">
        <v>106</v>
      </c>
      <c r="B2173" s="26">
        <v>67</v>
      </c>
      <c r="C2173" s="26">
        <v>173</v>
      </c>
      <c r="D2173" s="26" t="s">
        <v>1686</v>
      </c>
      <c r="E2173" s="26" t="s">
        <v>1104</v>
      </c>
      <c r="F2173" s="26" t="s">
        <v>1723</v>
      </c>
      <c r="G2173" s="26">
        <f t="shared" si="33"/>
        <v>-49099.01</v>
      </c>
    </row>
    <row r="2174" spans="1:7" x14ac:dyDescent="0.2">
      <c r="A2174" s="26">
        <v>105</v>
      </c>
      <c r="B2174" s="26">
        <v>68</v>
      </c>
      <c r="C2174" s="26">
        <v>173</v>
      </c>
      <c r="D2174" s="26" t="s">
        <v>1687</v>
      </c>
      <c r="E2174" s="26" t="s">
        <v>1105</v>
      </c>
      <c r="F2174" s="26" t="s">
        <v>1480</v>
      </c>
      <c r="G2174" s="26">
        <f t="shared" si="33"/>
        <v>-53654.01</v>
      </c>
    </row>
    <row r="2175" spans="1:7" x14ac:dyDescent="0.2">
      <c r="A2175" s="26">
        <v>104</v>
      </c>
      <c r="B2175" s="26">
        <v>69</v>
      </c>
      <c r="C2175" s="26">
        <v>173</v>
      </c>
      <c r="D2175" s="26" t="s">
        <v>1688</v>
      </c>
      <c r="E2175" s="26">
        <v>-56258.877999999997</v>
      </c>
      <c r="F2175" s="26">
        <v>5.0960000000000001</v>
      </c>
      <c r="G2175" s="26">
        <f t="shared" si="33"/>
        <v>-56258.877999999997</v>
      </c>
    </row>
    <row r="2176" spans="1:7" x14ac:dyDescent="0.2">
      <c r="A2176" s="26">
        <v>103</v>
      </c>
      <c r="B2176" s="26">
        <v>70</v>
      </c>
      <c r="C2176" s="26">
        <v>173</v>
      </c>
      <c r="D2176" s="26" t="s">
        <v>1689</v>
      </c>
      <c r="E2176" s="26">
        <v>-57556.281999999999</v>
      </c>
      <c r="F2176" s="26">
        <v>2.3879999999999999</v>
      </c>
      <c r="G2176" s="26">
        <f t="shared" si="33"/>
        <v>-57556.281999999999</v>
      </c>
    </row>
    <row r="2177" spans="1:7" x14ac:dyDescent="0.2">
      <c r="A2177" s="26">
        <v>102</v>
      </c>
      <c r="B2177" s="26">
        <v>71</v>
      </c>
      <c r="C2177" s="26">
        <v>173</v>
      </c>
      <c r="D2177" s="26" t="s">
        <v>1690</v>
      </c>
      <c r="E2177" s="26">
        <v>-56885.777999999998</v>
      </c>
      <c r="F2177" s="26">
        <v>2.42</v>
      </c>
      <c r="G2177" s="26">
        <f t="shared" si="33"/>
        <v>-56885.777999999998</v>
      </c>
    </row>
    <row r="2178" spans="1:7" x14ac:dyDescent="0.2">
      <c r="A2178" s="26">
        <v>101</v>
      </c>
      <c r="B2178" s="26">
        <v>72</v>
      </c>
      <c r="C2178" s="26">
        <v>173</v>
      </c>
      <c r="D2178" s="26" t="s">
        <v>1691</v>
      </c>
      <c r="E2178" s="26">
        <v>-55411.784</v>
      </c>
      <c r="F2178" s="26">
        <v>27.945</v>
      </c>
      <c r="G2178" s="26">
        <f t="shared" si="33"/>
        <v>-55411.784</v>
      </c>
    </row>
    <row r="2179" spans="1:7" x14ac:dyDescent="0.2">
      <c r="A2179" s="26">
        <v>100</v>
      </c>
      <c r="B2179" s="26">
        <v>73</v>
      </c>
      <c r="C2179" s="26">
        <v>173</v>
      </c>
      <c r="D2179" s="26" t="s">
        <v>1692</v>
      </c>
      <c r="E2179" s="26">
        <v>-52396.538</v>
      </c>
      <c r="F2179" s="26">
        <v>27.945</v>
      </c>
      <c r="G2179" s="26">
        <f t="shared" si="33"/>
        <v>-52396.538</v>
      </c>
    </row>
    <row r="2180" spans="1:7" x14ac:dyDescent="0.2">
      <c r="A2180" s="26">
        <v>99</v>
      </c>
      <c r="B2180" s="26">
        <v>74</v>
      </c>
      <c r="C2180" s="26">
        <v>173</v>
      </c>
      <c r="D2180" s="26" t="s">
        <v>1693</v>
      </c>
      <c r="E2180" s="26">
        <v>-48727.383000000002</v>
      </c>
      <c r="F2180" s="26">
        <v>27.945</v>
      </c>
      <c r="G2180" s="26">
        <f t="shared" si="33"/>
        <v>-48727.383000000002</v>
      </c>
    </row>
    <row r="2181" spans="1:7" x14ac:dyDescent="0.2">
      <c r="A2181" s="26">
        <v>98</v>
      </c>
      <c r="B2181" s="26">
        <v>75</v>
      </c>
      <c r="C2181" s="26">
        <v>173</v>
      </c>
      <c r="D2181" s="26" t="s">
        <v>1694</v>
      </c>
      <c r="E2181" s="26">
        <v>-43553.864999999998</v>
      </c>
      <c r="F2181" s="26">
        <v>27.945</v>
      </c>
      <c r="G2181" s="26">
        <f t="shared" si="33"/>
        <v>-43553.864999999998</v>
      </c>
    </row>
    <row r="2182" spans="1:7" x14ac:dyDescent="0.2">
      <c r="A2182" s="26">
        <v>97</v>
      </c>
      <c r="B2182" s="26">
        <v>76</v>
      </c>
      <c r="C2182" s="26">
        <v>173</v>
      </c>
      <c r="D2182" s="26" t="s">
        <v>1695</v>
      </c>
      <c r="E2182" s="26">
        <v>-37438.224999999999</v>
      </c>
      <c r="F2182" s="26">
        <v>14.959</v>
      </c>
      <c r="G2182" s="26">
        <f t="shared" si="33"/>
        <v>-37438.224999999999</v>
      </c>
    </row>
    <row r="2183" spans="1:7" x14ac:dyDescent="0.2">
      <c r="A2183" s="26">
        <v>96</v>
      </c>
      <c r="B2183" s="26">
        <v>77</v>
      </c>
      <c r="C2183" s="26">
        <v>173</v>
      </c>
      <c r="D2183" s="26" t="s">
        <v>1696</v>
      </c>
      <c r="E2183" s="26">
        <v>-30271.935000000001</v>
      </c>
      <c r="F2183" s="26">
        <v>13.693</v>
      </c>
      <c r="G2183" s="26">
        <f t="shared" si="33"/>
        <v>-30271.935000000001</v>
      </c>
    </row>
    <row r="2184" spans="1:7" x14ac:dyDescent="0.2">
      <c r="A2184" s="26">
        <v>95</v>
      </c>
      <c r="B2184" s="26">
        <v>78</v>
      </c>
      <c r="C2184" s="26">
        <v>173</v>
      </c>
      <c r="D2184" s="26" t="s">
        <v>1697</v>
      </c>
      <c r="E2184" s="26">
        <v>-21941.57</v>
      </c>
      <c r="F2184" s="26">
        <v>55.99</v>
      </c>
      <c r="G2184" s="26">
        <f t="shared" si="33"/>
        <v>-21941.57</v>
      </c>
    </row>
    <row r="2185" spans="1:7" x14ac:dyDescent="0.2">
      <c r="A2185" s="26">
        <v>94</v>
      </c>
      <c r="B2185" s="26">
        <v>79</v>
      </c>
      <c r="C2185" s="26">
        <v>173</v>
      </c>
      <c r="D2185" s="26" t="s">
        <v>1698</v>
      </c>
      <c r="E2185" s="26">
        <v>-12819.798000000001</v>
      </c>
      <c r="F2185" s="26">
        <v>26.004999999999999</v>
      </c>
      <c r="G2185" s="26">
        <f t="shared" si="33"/>
        <v>-12819.798000000001</v>
      </c>
    </row>
    <row r="2186" spans="1:7" x14ac:dyDescent="0.2">
      <c r="A2186" s="26">
        <v>93</v>
      </c>
      <c r="B2186" s="26">
        <v>80</v>
      </c>
      <c r="C2186" s="26">
        <v>173</v>
      </c>
      <c r="D2186" s="26" t="s">
        <v>1699</v>
      </c>
      <c r="E2186" s="26" t="s">
        <v>971</v>
      </c>
      <c r="F2186" s="26" t="s">
        <v>972</v>
      </c>
      <c r="G2186" s="26">
        <f t="shared" ref="G2186:G2249" si="34">IF(ISNUMBER(E2186),E2186,VALUE(SUBSTITUTE(E2186,"#",".01")))</f>
        <v>-2569.0100000000002</v>
      </c>
    </row>
    <row r="2187" spans="1:7" x14ac:dyDescent="0.2">
      <c r="A2187" s="26">
        <v>107</v>
      </c>
      <c r="B2187" s="26">
        <v>67</v>
      </c>
      <c r="C2187" s="26">
        <v>174</v>
      </c>
      <c r="D2187" s="26" t="s">
        <v>1686</v>
      </c>
      <c r="E2187" s="26" t="s">
        <v>1106</v>
      </c>
      <c r="F2187" s="26" t="s">
        <v>1728</v>
      </c>
      <c r="G2187" s="26">
        <f t="shared" si="34"/>
        <v>-45503.01</v>
      </c>
    </row>
    <row r="2188" spans="1:7" x14ac:dyDescent="0.2">
      <c r="A2188" s="26">
        <v>106</v>
      </c>
      <c r="B2188" s="26">
        <v>68</v>
      </c>
      <c r="C2188" s="26">
        <v>174</v>
      </c>
      <c r="D2188" s="26" t="s">
        <v>1687</v>
      </c>
      <c r="E2188" s="26" t="s">
        <v>973</v>
      </c>
      <c r="F2188" s="26" t="s">
        <v>1730</v>
      </c>
      <c r="G2188" s="26">
        <f t="shared" si="34"/>
        <v>-51949.01</v>
      </c>
    </row>
    <row r="2189" spans="1:7" x14ac:dyDescent="0.2">
      <c r="A2189" s="26">
        <v>105</v>
      </c>
      <c r="B2189" s="26">
        <v>69</v>
      </c>
      <c r="C2189" s="26">
        <v>174</v>
      </c>
      <c r="D2189" s="26" t="s">
        <v>1688</v>
      </c>
      <c r="E2189" s="26">
        <v>-53869.597999999998</v>
      </c>
      <c r="F2189" s="26">
        <v>44.784999999999997</v>
      </c>
      <c r="G2189" s="26">
        <f t="shared" si="34"/>
        <v>-53869.597999999998</v>
      </c>
    </row>
    <row r="2190" spans="1:7" x14ac:dyDescent="0.2">
      <c r="A2190" s="26">
        <v>104</v>
      </c>
      <c r="B2190" s="26">
        <v>70</v>
      </c>
      <c r="C2190" s="26">
        <v>174</v>
      </c>
      <c r="D2190" s="26" t="s">
        <v>1689</v>
      </c>
      <c r="E2190" s="26">
        <v>-56949.597999999998</v>
      </c>
      <c r="F2190" s="26">
        <v>2.3879999999999999</v>
      </c>
      <c r="G2190" s="26">
        <f t="shared" si="34"/>
        <v>-56949.597999999998</v>
      </c>
    </row>
    <row r="2191" spans="1:7" x14ac:dyDescent="0.2">
      <c r="A2191" s="26">
        <v>103</v>
      </c>
      <c r="B2191" s="26">
        <v>71</v>
      </c>
      <c r="C2191" s="26">
        <v>174</v>
      </c>
      <c r="D2191" s="26" t="s">
        <v>1690</v>
      </c>
      <c r="E2191" s="26">
        <v>-55575.279000000002</v>
      </c>
      <c r="F2191" s="26">
        <v>2.4049999999999998</v>
      </c>
      <c r="G2191" s="26">
        <f t="shared" si="34"/>
        <v>-55575.279000000002</v>
      </c>
    </row>
    <row r="2192" spans="1:7" x14ac:dyDescent="0.2">
      <c r="A2192" s="26">
        <v>102</v>
      </c>
      <c r="B2192" s="26">
        <v>72</v>
      </c>
      <c r="C2192" s="26">
        <v>174</v>
      </c>
      <c r="D2192" s="26" t="s">
        <v>1691</v>
      </c>
      <c r="E2192" s="26">
        <v>-55846.625999999997</v>
      </c>
      <c r="F2192" s="26">
        <v>2.806</v>
      </c>
      <c r="G2192" s="26">
        <f t="shared" si="34"/>
        <v>-55846.625999999997</v>
      </c>
    </row>
    <row r="2193" spans="1:7" x14ac:dyDescent="0.2">
      <c r="A2193" s="26">
        <v>101</v>
      </c>
      <c r="B2193" s="26">
        <v>73</v>
      </c>
      <c r="C2193" s="26">
        <v>174</v>
      </c>
      <c r="D2193" s="26" t="s">
        <v>1692</v>
      </c>
      <c r="E2193" s="26">
        <v>-51740.766000000003</v>
      </c>
      <c r="F2193" s="26">
        <v>27.945</v>
      </c>
      <c r="G2193" s="26">
        <f t="shared" si="34"/>
        <v>-51740.766000000003</v>
      </c>
    </row>
    <row r="2194" spans="1:7" x14ac:dyDescent="0.2">
      <c r="A2194" s="26">
        <v>100</v>
      </c>
      <c r="B2194" s="26">
        <v>74</v>
      </c>
      <c r="C2194" s="26">
        <v>174</v>
      </c>
      <c r="D2194" s="26" t="s">
        <v>1693</v>
      </c>
      <c r="E2194" s="26">
        <v>-50227.088000000003</v>
      </c>
      <c r="F2194" s="26">
        <v>27.945</v>
      </c>
      <c r="G2194" s="26">
        <f t="shared" si="34"/>
        <v>-50227.088000000003</v>
      </c>
    </row>
    <row r="2195" spans="1:7" x14ac:dyDescent="0.2">
      <c r="A2195" s="26">
        <v>99</v>
      </c>
      <c r="B2195" s="26">
        <v>75</v>
      </c>
      <c r="C2195" s="26">
        <v>174</v>
      </c>
      <c r="D2195" s="26" t="s">
        <v>1694</v>
      </c>
      <c r="E2195" s="26">
        <v>-43673.097000000002</v>
      </c>
      <c r="F2195" s="26">
        <v>27.945</v>
      </c>
      <c r="G2195" s="26">
        <f t="shared" si="34"/>
        <v>-43673.097000000002</v>
      </c>
    </row>
    <row r="2196" spans="1:7" x14ac:dyDescent="0.2">
      <c r="A2196" s="26">
        <v>98</v>
      </c>
      <c r="B2196" s="26">
        <v>76</v>
      </c>
      <c r="C2196" s="26">
        <v>174</v>
      </c>
      <c r="D2196" s="26" t="s">
        <v>1695</v>
      </c>
      <c r="E2196" s="26">
        <v>-39996.300999999999</v>
      </c>
      <c r="F2196" s="26">
        <v>11.138999999999999</v>
      </c>
      <c r="G2196" s="26">
        <f t="shared" si="34"/>
        <v>-39996.300999999999</v>
      </c>
    </row>
    <row r="2197" spans="1:7" x14ac:dyDescent="0.2">
      <c r="A2197" s="26">
        <v>97</v>
      </c>
      <c r="B2197" s="26">
        <v>77</v>
      </c>
      <c r="C2197" s="26">
        <v>174</v>
      </c>
      <c r="D2197" s="26" t="s">
        <v>1696</v>
      </c>
      <c r="E2197" s="26">
        <v>-30868.738000000001</v>
      </c>
      <c r="F2197" s="26">
        <v>27.666</v>
      </c>
      <c r="G2197" s="26">
        <f t="shared" si="34"/>
        <v>-30868.738000000001</v>
      </c>
    </row>
    <row r="2198" spans="1:7" x14ac:dyDescent="0.2">
      <c r="A2198" s="26">
        <v>96</v>
      </c>
      <c r="B2198" s="26">
        <v>78</v>
      </c>
      <c r="C2198" s="26">
        <v>174</v>
      </c>
      <c r="D2198" s="26" t="s">
        <v>1697</v>
      </c>
      <c r="E2198" s="26">
        <v>-25319.154999999999</v>
      </c>
      <c r="F2198" s="26">
        <v>11.821999999999999</v>
      </c>
      <c r="G2198" s="26">
        <f t="shared" si="34"/>
        <v>-25319.154999999999</v>
      </c>
    </row>
    <row r="2199" spans="1:7" x14ac:dyDescent="0.2">
      <c r="A2199" s="26">
        <v>95</v>
      </c>
      <c r="B2199" s="26">
        <v>79</v>
      </c>
      <c r="C2199" s="26">
        <v>174</v>
      </c>
      <c r="D2199" s="26" t="s">
        <v>1698</v>
      </c>
      <c r="E2199" s="26" t="s">
        <v>974</v>
      </c>
      <c r="F2199" s="26" t="s">
        <v>1516</v>
      </c>
      <c r="G2199" s="26">
        <f t="shared" si="34"/>
        <v>-14195.01</v>
      </c>
    </row>
    <row r="2200" spans="1:7" x14ac:dyDescent="0.2">
      <c r="A2200" s="26">
        <v>94</v>
      </c>
      <c r="B2200" s="26">
        <v>80</v>
      </c>
      <c r="C2200" s="26">
        <v>174</v>
      </c>
      <c r="D2200" s="26" t="s">
        <v>1699</v>
      </c>
      <c r="E2200" s="26">
        <v>-6647.4250000000002</v>
      </c>
      <c r="F2200" s="26">
        <v>19.606000000000002</v>
      </c>
      <c r="G2200" s="26">
        <f t="shared" si="34"/>
        <v>-6647.4250000000002</v>
      </c>
    </row>
    <row r="2201" spans="1:7" x14ac:dyDescent="0.2">
      <c r="A2201" s="26">
        <v>108</v>
      </c>
      <c r="B2201" s="26">
        <v>67</v>
      </c>
      <c r="C2201" s="26">
        <v>175</v>
      </c>
      <c r="D2201" s="26" t="s">
        <v>1686</v>
      </c>
      <c r="E2201" s="26" t="s">
        <v>1430</v>
      </c>
      <c r="F2201" s="26" t="s">
        <v>1505</v>
      </c>
      <c r="G2201" s="26">
        <f t="shared" si="34"/>
        <v>-42802.01</v>
      </c>
    </row>
    <row r="2202" spans="1:7" x14ac:dyDescent="0.2">
      <c r="A2202" s="26">
        <v>107</v>
      </c>
      <c r="B2202" s="26">
        <v>68</v>
      </c>
      <c r="C2202" s="26">
        <v>175</v>
      </c>
      <c r="D2202" s="26" t="s">
        <v>1687</v>
      </c>
      <c r="E2202" s="26" t="s">
        <v>975</v>
      </c>
      <c r="F2202" s="26" t="s">
        <v>1723</v>
      </c>
      <c r="G2202" s="26">
        <f t="shared" si="34"/>
        <v>-48652.01</v>
      </c>
    </row>
    <row r="2203" spans="1:7" x14ac:dyDescent="0.2">
      <c r="A2203" s="26">
        <v>106</v>
      </c>
      <c r="B2203" s="26">
        <v>69</v>
      </c>
      <c r="C2203" s="26">
        <v>175</v>
      </c>
      <c r="D2203" s="26" t="s">
        <v>1688</v>
      </c>
      <c r="E2203" s="26">
        <v>-52315.633999999998</v>
      </c>
      <c r="F2203" s="26">
        <v>50.057000000000002</v>
      </c>
      <c r="G2203" s="26">
        <f t="shared" si="34"/>
        <v>-52315.633999999998</v>
      </c>
    </row>
    <row r="2204" spans="1:7" x14ac:dyDescent="0.2">
      <c r="A2204" s="26">
        <v>105</v>
      </c>
      <c r="B2204" s="26">
        <v>70</v>
      </c>
      <c r="C2204" s="26">
        <v>175</v>
      </c>
      <c r="D2204" s="26" t="s">
        <v>1689</v>
      </c>
      <c r="E2204" s="26">
        <v>-54700.633999999998</v>
      </c>
      <c r="F2204" s="26">
        <v>2.3879999999999999</v>
      </c>
      <c r="G2204" s="26">
        <f t="shared" si="34"/>
        <v>-54700.633999999998</v>
      </c>
    </row>
    <row r="2205" spans="1:7" x14ac:dyDescent="0.2">
      <c r="A2205" s="26">
        <v>104</v>
      </c>
      <c r="B2205" s="26">
        <v>71</v>
      </c>
      <c r="C2205" s="26">
        <v>175</v>
      </c>
      <c r="D2205" s="26" t="s">
        <v>1690</v>
      </c>
      <c r="E2205" s="26">
        <v>-55170.695</v>
      </c>
      <c r="F2205" s="26">
        <v>2.1869999999999998</v>
      </c>
      <c r="G2205" s="26">
        <f t="shared" si="34"/>
        <v>-55170.695</v>
      </c>
    </row>
    <row r="2206" spans="1:7" x14ac:dyDescent="0.2">
      <c r="A2206" s="26">
        <v>103</v>
      </c>
      <c r="B2206" s="26">
        <v>72</v>
      </c>
      <c r="C2206" s="26">
        <v>175</v>
      </c>
      <c r="D2206" s="26" t="s">
        <v>1691</v>
      </c>
      <c r="E2206" s="26">
        <v>-54483.847000000002</v>
      </c>
      <c r="F2206" s="26">
        <v>2.8250000000000002</v>
      </c>
      <c r="G2206" s="26">
        <f t="shared" si="34"/>
        <v>-54483.847000000002</v>
      </c>
    </row>
    <row r="2207" spans="1:7" x14ac:dyDescent="0.2">
      <c r="A2207" s="26">
        <v>102</v>
      </c>
      <c r="B2207" s="26">
        <v>73</v>
      </c>
      <c r="C2207" s="26">
        <v>175</v>
      </c>
      <c r="D2207" s="26" t="s">
        <v>1692</v>
      </c>
      <c r="E2207" s="26">
        <v>-52408.646999999997</v>
      </c>
      <c r="F2207" s="26">
        <v>27.945</v>
      </c>
      <c r="G2207" s="26">
        <f t="shared" si="34"/>
        <v>-52408.646999999997</v>
      </c>
    </row>
    <row r="2208" spans="1:7" x14ac:dyDescent="0.2">
      <c r="A2208" s="26">
        <v>101</v>
      </c>
      <c r="B2208" s="26">
        <v>74</v>
      </c>
      <c r="C2208" s="26">
        <v>175</v>
      </c>
      <c r="D2208" s="26" t="s">
        <v>1693</v>
      </c>
      <c r="E2208" s="26">
        <v>-49632.794999999998</v>
      </c>
      <c r="F2208" s="26">
        <v>27.945</v>
      </c>
      <c r="G2208" s="26">
        <f t="shared" si="34"/>
        <v>-49632.794999999998</v>
      </c>
    </row>
    <row r="2209" spans="1:7" x14ac:dyDescent="0.2">
      <c r="A2209" s="26">
        <v>100</v>
      </c>
      <c r="B2209" s="26">
        <v>75</v>
      </c>
      <c r="C2209" s="26">
        <v>175</v>
      </c>
      <c r="D2209" s="26" t="s">
        <v>1694</v>
      </c>
      <c r="E2209" s="26">
        <v>-45288.307000000001</v>
      </c>
      <c r="F2209" s="26">
        <v>27.945</v>
      </c>
      <c r="G2209" s="26">
        <f t="shared" si="34"/>
        <v>-45288.307000000001</v>
      </c>
    </row>
    <row r="2210" spans="1:7" x14ac:dyDescent="0.2">
      <c r="A2210" s="26">
        <v>99</v>
      </c>
      <c r="B2210" s="26">
        <v>76</v>
      </c>
      <c r="C2210" s="26">
        <v>175</v>
      </c>
      <c r="D2210" s="26" t="s">
        <v>1695</v>
      </c>
      <c r="E2210" s="26">
        <v>-40104.697</v>
      </c>
      <c r="F2210" s="26">
        <v>13.515000000000001</v>
      </c>
      <c r="G2210" s="26">
        <f t="shared" si="34"/>
        <v>-40104.697</v>
      </c>
    </row>
    <row r="2211" spans="1:7" x14ac:dyDescent="0.2">
      <c r="A2211" s="26">
        <v>98</v>
      </c>
      <c r="B2211" s="26">
        <v>77</v>
      </c>
      <c r="C2211" s="26">
        <v>175</v>
      </c>
      <c r="D2211" s="26" t="s">
        <v>1696</v>
      </c>
      <c r="E2211" s="26">
        <v>-33428.622000000003</v>
      </c>
      <c r="F2211" s="26">
        <v>19.757000000000001</v>
      </c>
      <c r="G2211" s="26">
        <f t="shared" si="34"/>
        <v>-33428.622000000003</v>
      </c>
    </row>
    <row r="2212" spans="1:7" x14ac:dyDescent="0.2">
      <c r="A2212" s="26">
        <v>97</v>
      </c>
      <c r="B2212" s="26">
        <v>78</v>
      </c>
      <c r="C2212" s="26">
        <v>175</v>
      </c>
      <c r="D2212" s="26" t="s">
        <v>1697</v>
      </c>
      <c r="E2212" s="26">
        <v>-25690.09</v>
      </c>
      <c r="F2212" s="26">
        <v>18.885000000000002</v>
      </c>
      <c r="G2212" s="26">
        <f t="shared" si="34"/>
        <v>-25690.09</v>
      </c>
    </row>
    <row r="2213" spans="1:7" x14ac:dyDescent="0.2">
      <c r="A2213" s="26">
        <v>96</v>
      </c>
      <c r="B2213" s="26">
        <v>79</v>
      </c>
      <c r="C2213" s="26">
        <v>175</v>
      </c>
      <c r="D2213" s="26" t="s">
        <v>1698</v>
      </c>
      <c r="E2213" s="26">
        <v>-17443.057000000001</v>
      </c>
      <c r="F2213" s="26">
        <v>42.396000000000001</v>
      </c>
      <c r="G2213" s="26">
        <f t="shared" si="34"/>
        <v>-17443.057000000001</v>
      </c>
    </row>
    <row r="2214" spans="1:7" x14ac:dyDescent="0.2">
      <c r="A2214" s="26">
        <v>95</v>
      </c>
      <c r="B2214" s="26">
        <v>80</v>
      </c>
      <c r="C2214" s="26">
        <v>175</v>
      </c>
      <c r="D2214" s="26" t="s">
        <v>1699</v>
      </c>
      <c r="E2214" s="26">
        <v>-7989.1719999999996</v>
      </c>
      <c r="F2214" s="26">
        <v>101.408</v>
      </c>
      <c r="G2214" s="26">
        <f t="shared" si="34"/>
        <v>-7989.1719999999996</v>
      </c>
    </row>
    <row r="2215" spans="1:7" x14ac:dyDescent="0.2">
      <c r="A2215" s="26">
        <v>108</v>
      </c>
      <c r="B2215" s="26">
        <v>68</v>
      </c>
      <c r="C2215" s="26">
        <v>176</v>
      </c>
      <c r="D2215" s="26" t="s">
        <v>1687</v>
      </c>
      <c r="E2215" s="26" t="s">
        <v>976</v>
      </c>
      <c r="F2215" s="26" t="s">
        <v>1723</v>
      </c>
      <c r="G2215" s="26">
        <f t="shared" si="34"/>
        <v>-46500.01</v>
      </c>
    </row>
    <row r="2216" spans="1:7" x14ac:dyDescent="0.2">
      <c r="A2216" s="26">
        <v>107</v>
      </c>
      <c r="B2216" s="26">
        <v>69</v>
      </c>
      <c r="C2216" s="26">
        <v>176</v>
      </c>
      <c r="D2216" s="26" t="s">
        <v>1688</v>
      </c>
      <c r="E2216" s="26">
        <v>-49374.133000000002</v>
      </c>
      <c r="F2216" s="26">
        <v>100.033</v>
      </c>
      <c r="G2216" s="26">
        <f t="shared" si="34"/>
        <v>-49374.133000000002</v>
      </c>
    </row>
    <row r="2217" spans="1:7" x14ac:dyDescent="0.2">
      <c r="A2217" s="26">
        <v>106</v>
      </c>
      <c r="B2217" s="26">
        <v>70</v>
      </c>
      <c r="C2217" s="26">
        <v>176</v>
      </c>
      <c r="D2217" s="26" t="s">
        <v>1689</v>
      </c>
      <c r="E2217" s="26">
        <v>-53494.133000000002</v>
      </c>
      <c r="F2217" s="26">
        <v>2.5710000000000002</v>
      </c>
      <c r="G2217" s="26">
        <f t="shared" si="34"/>
        <v>-53494.133000000002</v>
      </c>
    </row>
    <row r="2218" spans="1:7" x14ac:dyDescent="0.2">
      <c r="A2218" s="26">
        <v>105</v>
      </c>
      <c r="B2218" s="26">
        <v>71</v>
      </c>
      <c r="C2218" s="26">
        <v>176</v>
      </c>
      <c r="D2218" s="26" t="s">
        <v>1690</v>
      </c>
      <c r="E2218" s="26">
        <v>-53387.358999999997</v>
      </c>
      <c r="F2218" s="26">
        <v>2.1840000000000002</v>
      </c>
      <c r="G2218" s="26">
        <f t="shared" si="34"/>
        <v>-53387.358999999997</v>
      </c>
    </row>
    <row r="2219" spans="1:7" x14ac:dyDescent="0.2">
      <c r="A2219" s="26">
        <v>104</v>
      </c>
      <c r="B2219" s="26">
        <v>72</v>
      </c>
      <c r="C2219" s="26">
        <v>176</v>
      </c>
      <c r="D2219" s="26" t="s">
        <v>1691</v>
      </c>
      <c r="E2219" s="26">
        <v>-54577.508999999998</v>
      </c>
      <c r="F2219" s="26">
        <v>2.2160000000000002</v>
      </c>
      <c r="G2219" s="26">
        <f t="shared" si="34"/>
        <v>-54577.508999999998</v>
      </c>
    </row>
    <row r="2220" spans="1:7" x14ac:dyDescent="0.2">
      <c r="A2220" s="26">
        <v>103</v>
      </c>
      <c r="B2220" s="26">
        <v>73</v>
      </c>
      <c r="C2220" s="26">
        <v>176</v>
      </c>
      <c r="D2220" s="26" t="s">
        <v>1692</v>
      </c>
      <c r="E2220" s="26">
        <v>-51365.374000000003</v>
      </c>
      <c r="F2220" s="26">
        <v>30.739000000000001</v>
      </c>
      <c r="G2220" s="26">
        <f t="shared" si="34"/>
        <v>-51365.374000000003</v>
      </c>
    </row>
    <row r="2221" spans="1:7" x14ac:dyDescent="0.2">
      <c r="A2221" s="26">
        <v>102</v>
      </c>
      <c r="B2221" s="26">
        <v>74</v>
      </c>
      <c r="C2221" s="26">
        <v>176</v>
      </c>
      <c r="D2221" s="26" t="s">
        <v>1693</v>
      </c>
      <c r="E2221" s="26">
        <v>-50641.603000000003</v>
      </c>
      <c r="F2221" s="26">
        <v>27.945</v>
      </c>
      <c r="G2221" s="26">
        <f t="shared" si="34"/>
        <v>-50641.603000000003</v>
      </c>
    </row>
    <row r="2222" spans="1:7" x14ac:dyDescent="0.2">
      <c r="A2222" s="26">
        <v>101</v>
      </c>
      <c r="B2222" s="26">
        <v>75</v>
      </c>
      <c r="C2222" s="26">
        <v>176</v>
      </c>
      <c r="D2222" s="26" t="s">
        <v>1694</v>
      </c>
      <c r="E2222" s="26">
        <v>-45062.885999999999</v>
      </c>
      <c r="F2222" s="26">
        <v>27.945</v>
      </c>
      <c r="G2222" s="26">
        <f t="shared" si="34"/>
        <v>-45062.885999999999</v>
      </c>
    </row>
    <row r="2223" spans="1:7" x14ac:dyDescent="0.2">
      <c r="A2223" s="26">
        <v>100</v>
      </c>
      <c r="B2223" s="26">
        <v>76</v>
      </c>
      <c r="C2223" s="26">
        <v>176</v>
      </c>
      <c r="D2223" s="26" t="s">
        <v>1695</v>
      </c>
      <c r="E2223" s="26">
        <v>-42097.94</v>
      </c>
      <c r="F2223" s="26">
        <v>27.945</v>
      </c>
      <c r="G2223" s="26">
        <f t="shared" si="34"/>
        <v>-42097.94</v>
      </c>
    </row>
    <row r="2224" spans="1:7" x14ac:dyDescent="0.2">
      <c r="A2224" s="26">
        <v>99</v>
      </c>
      <c r="B2224" s="26">
        <v>77</v>
      </c>
      <c r="C2224" s="26">
        <v>176</v>
      </c>
      <c r="D2224" s="26" t="s">
        <v>1696</v>
      </c>
      <c r="E2224" s="26">
        <v>-33861.029000000002</v>
      </c>
      <c r="F2224" s="26">
        <v>20.34</v>
      </c>
      <c r="G2224" s="26">
        <f t="shared" si="34"/>
        <v>-33861.029000000002</v>
      </c>
    </row>
    <row r="2225" spans="1:7" x14ac:dyDescent="0.2">
      <c r="A2225" s="26">
        <v>98</v>
      </c>
      <c r="B2225" s="26">
        <v>78</v>
      </c>
      <c r="C2225" s="26">
        <v>176</v>
      </c>
      <c r="D2225" s="26" t="s">
        <v>1697</v>
      </c>
      <c r="E2225" s="26">
        <v>-28927.898000000001</v>
      </c>
      <c r="F2225" s="26">
        <v>14.428000000000001</v>
      </c>
      <c r="G2225" s="26">
        <f t="shared" si="34"/>
        <v>-28927.898000000001</v>
      </c>
    </row>
    <row r="2226" spans="1:7" x14ac:dyDescent="0.2">
      <c r="A2226" s="26">
        <v>97</v>
      </c>
      <c r="B2226" s="26">
        <v>79</v>
      </c>
      <c r="C2226" s="26">
        <v>176</v>
      </c>
      <c r="D2226" s="26" t="s">
        <v>1698</v>
      </c>
      <c r="E2226" s="26" t="s">
        <v>977</v>
      </c>
      <c r="F2226" s="26" t="s">
        <v>1273</v>
      </c>
      <c r="G2226" s="26">
        <f t="shared" si="34"/>
        <v>-18537.009999999998</v>
      </c>
    </row>
    <row r="2227" spans="1:7" x14ac:dyDescent="0.2">
      <c r="A2227" s="26">
        <v>96</v>
      </c>
      <c r="B2227" s="26">
        <v>80</v>
      </c>
      <c r="C2227" s="26">
        <v>176</v>
      </c>
      <c r="D2227" s="26" t="s">
        <v>1699</v>
      </c>
      <c r="E2227" s="26">
        <v>-11779.132</v>
      </c>
      <c r="F2227" s="26">
        <v>14.176</v>
      </c>
      <c r="G2227" s="26">
        <f t="shared" si="34"/>
        <v>-11779.132</v>
      </c>
    </row>
    <row r="2228" spans="1:7" x14ac:dyDescent="0.2">
      <c r="A2228" s="26">
        <v>95</v>
      </c>
      <c r="B2228" s="26">
        <v>81</v>
      </c>
      <c r="C2228" s="26">
        <v>176</v>
      </c>
      <c r="D2228" s="26" t="s">
        <v>1700</v>
      </c>
      <c r="E2228" s="26" t="s">
        <v>978</v>
      </c>
      <c r="F2228" s="26" t="s">
        <v>1480</v>
      </c>
      <c r="G2228" s="26">
        <f t="shared" si="34"/>
        <v>550.01</v>
      </c>
    </row>
    <row r="2229" spans="1:7" x14ac:dyDescent="0.2">
      <c r="A2229" s="26">
        <v>109</v>
      </c>
      <c r="B2229" s="26">
        <v>68</v>
      </c>
      <c r="C2229" s="26">
        <v>177</v>
      </c>
      <c r="D2229" s="26" t="s">
        <v>1687</v>
      </c>
      <c r="E2229" s="26" t="s">
        <v>1430</v>
      </c>
      <c r="F2229" s="26" t="s">
        <v>1728</v>
      </c>
      <c r="G2229" s="26">
        <f t="shared" si="34"/>
        <v>-42802.01</v>
      </c>
    </row>
    <row r="2230" spans="1:7" x14ac:dyDescent="0.2">
      <c r="A2230" s="26">
        <v>108</v>
      </c>
      <c r="B2230" s="26">
        <v>69</v>
      </c>
      <c r="C2230" s="26">
        <v>177</v>
      </c>
      <c r="D2230" s="26" t="s">
        <v>1688</v>
      </c>
      <c r="E2230" s="26" t="s">
        <v>1432</v>
      </c>
      <c r="F2230" s="26" t="s">
        <v>1730</v>
      </c>
      <c r="G2230" s="26">
        <f t="shared" si="34"/>
        <v>-47469.01</v>
      </c>
    </row>
    <row r="2231" spans="1:7" x14ac:dyDescent="0.2">
      <c r="A2231" s="26">
        <v>107</v>
      </c>
      <c r="B2231" s="26">
        <v>70</v>
      </c>
      <c r="C2231" s="26">
        <v>177</v>
      </c>
      <c r="D2231" s="26" t="s">
        <v>1689</v>
      </c>
      <c r="E2231" s="26">
        <v>-50989.216</v>
      </c>
      <c r="F2231" s="26">
        <v>2.581</v>
      </c>
      <c r="G2231" s="26">
        <f t="shared" si="34"/>
        <v>-50989.216</v>
      </c>
    </row>
    <row r="2232" spans="1:7" x14ac:dyDescent="0.2">
      <c r="A2232" s="26">
        <v>106</v>
      </c>
      <c r="B2232" s="26">
        <v>71</v>
      </c>
      <c r="C2232" s="26">
        <v>177</v>
      </c>
      <c r="D2232" s="26" t="s">
        <v>1690</v>
      </c>
      <c r="E2232" s="26">
        <v>-52389.034</v>
      </c>
      <c r="F2232" s="26">
        <v>2.1850000000000001</v>
      </c>
      <c r="G2232" s="26">
        <f t="shared" si="34"/>
        <v>-52389.034</v>
      </c>
    </row>
    <row r="2233" spans="1:7" x14ac:dyDescent="0.2">
      <c r="A2233" s="26">
        <v>105</v>
      </c>
      <c r="B2233" s="26">
        <v>72</v>
      </c>
      <c r="C2233" s="26">
        <v>177</v>
      </c>
      <c r="D2233" s="26" t="s">
        <v>1691</v>
      </c>
      <c r="E2233" s="26">
        <v>-52889.623</v>
      </c>
      <c r="F2233" s="26">
        <v>2.1459999999999999</v>
      </c>
      <c r="G2233" s="26">
        <f t="shared" si="34"/>
        <v>-52889.623</v>
      </c>
    </row>
    <row r="2234" spans="1:7" x14ac:dyDescent="0.2">
      <c r="A2234" s="26">
        <v>104</v>
      </c>
      <c r="B2234" s="26">
        <v>73</v>
      </c>
      <c r="C2234" s="26">
        <v>177</v>
      </c>
      <c r="D2234" s="26" t="s">
        <v>1692</v>
      </c>
      <c r="E2234" s="26">
        <v>-51723.623</v>
      </c>
      <c r="F2234" s="26">
        <v>3.6890000000000001</v>
      </c>
      <c r="G2234" s="26">
        <f t="shared" si="34"/>
        <v>-51723.623</v>
      </c>
    </row>
    <row r="2235" spans="1:7" x14ac:dyDescent="0.2">
      <c r="A2235" s="26">
        <v>103</v>
      </c>
      <c r="B2235" s="26">
        <v>74</v>
      </c>
      <c r="C2235" s="26">
        <v>177</v>
      </c>
      <c r="D2235" s="26" t="s">
        <v>1693</v>
      </c>
      <c r="E2235" s="26">
        <v>-49701.726000000002</v>
      </c>
      <c r="F2235" s="26">
        <v>27.945</v>
      </c>
      <c r="G2235" s="26">
        <f t="shared" si="34"/>
        <v>-49701.726000000002</v>
      </c>
    </row>
    <row r="2236" spans="1:7" x14ac:dyDescent="0.2">
      <c r="A2236" s="26">
        <v>102</v>
      </c>
      <c r="B2236" s="26">
        <v>75</v>
      </c>
      <c r="C2236" s="26">
        <v>177</v>
      </c>
      <c r="D2236" s="26" t="s">
        <v>1694</v>
      </c>
      <c r="E2236" s="26">
        <v>-46269.17</v>
      </c>
      <c r="F2236" s="26">
        <v>27.945</v>
      </c>
      <c r="G2236" s="26">
        <f t="shared" si="34"/>
        <v>-46269.17</v>
      </c>
    </row>
    <row r="2237" spans="1:7" x14ac:dyDescent="0.2">
      <c r="A2237" s="26">
        <v>101</v>
      </c>
      <c r="B2237" s="26">
        <v>76</v>
      </c>
      <c r="C2237" s="26">
        <v>177</v>
      </c>
      <c r="D2237" s="26" t="s">
        <v>1695</v>
      </c>
      <c r="E2237" s="26">
        <v>-41949.53</v>
      </c>
      <c r="F2237" s="26">
        <v>15.718</v>
      </c>
      <c r="G2237" s="26">
        <f t="shared" si="34"/>
        <v>-41949.53</v>
      </c>
    </row>
    <row r="2238" spans="1:7" x14ac:dyDescent="0.2">
      <c r="A2238" s="26">
        <v>100</v>
      </c>
      <c r="B2238" s="26">
        <v>77</v>
      </c>
      <c r="C2238" s="26">
        <v>177</v>
      </c>
      <c r="D2238" s="26" t="s">
        <v>1696</v>
      </c>
      <c r="E2238" s="26">
        <v>-36047.421000000002</v>
      </c>
      <c r="F2238" s="26">
        <v>19.760000000000002</v>
      </c>
      <c r="G2238" s="26">
        <f t="shared" si="34"/>
        <v>-36047.421000000002</v>
      </c>
    </row>
    <row r="2239" spans="1:7" x14ac:dyDescent="0.2">
      <c r="A2239" s="26">
        <v>99</v>
      </c>
      <c r="B2239" s="26">
        <v>78</v>
      </c>
      <c r="C2239" s="26">
        <v>177</v>
      </c>
      <c r="D2239" s="26" t="s">
        <v>1697</v>
      </c>
      <c r="E2239" s="26">
        <v>-29370.489000000001</v>
      </c>
      <c r="F2239" s="26">
        <v>14.988</v>
      </c>
      <c r="G2239" s="26">
        <f t="shared" si="34"/>
        <v>-29370.489000000001</v>
      </c>
    </row>
    <row r="2240" spans="1:7" x14ac:dyDescent="0.2">
      <c r="A2240" s="26">
        <v>98</v>
      </c>
      <c r="B2240" s="26">
        <v>79</v>
      </c>
      <c r="C2240" s="26">
        <v>177</v>
      </c>
      <c r="D2240" s="26" t="s">
        <v>1698</v>
      </c>
      <c r="E2240" s="26">
        <v>-21550.199000000001</v>
      </c>
      <c r="F2240" s="26">
        <v>12.869</v>
      </c>
      <c r="G2240" s="26">
        <f t="shared" si="34"/>
        <v>-21550.199000000001</v>
      </c>
    </row>
    <row r="2241" spans="1:7" x14ac:dyDescent="0.2">
      <c r="A2241" s="26">
        <v>97</v>
      </c>
      <c r="B2241" s="26">
        <v>80</v>
      </c>
      <c r="C2241" s="26">
        <v>177</v>
      </c>
      <c r="D2241" s="26" t="s">
        <v>1699</v>
      </c>
      <c r="E2241" s="26">
        <v>-12780.882</v>
      </c>
      <c r="F2241" s="26">
        <v>75.066000000000003</v>
      </c>
      <c r="G2241" s="26">
        <f t="shared" si="34"/>
        <v>-12780.882</v>
      </c>
    </row>
    <row r="2242" spans="1:7" x14ac:dyDescent="0.2">
      <c r="A2242" s="26">
        <v>96</v>
      </c>
      <c r="B2242" s="26">
        <v>81</v>
      </c>
      <c r="C2242" s="26">
        <v>177</v>
      </c>
      <c r="D2242" s="26" t="s">
        <v>1700</v>
      </c>
      <c r="E2242" s="26">
        <v>-3327.962</v>
      </c>
      <c r="F2242" s="26">
        <v>24.998999999999999</v>
      </c>
      <c r="G2242" s="26">
        <f t="shared" si="34"/>
        <v>-3327.962</v>
      </c>
    </row>
    <row r="2243" spans="1:7" x14ac:dyDescent="0.2">
      <c r="A2243" s="26">
        <v>109</v>
      </c>
      <c r="B2243" s="26">
        <v>69</v>
      </c>
      <c r="C2243" s="26">
        <v>178</v>
      </c>
      <c r="D2243" s="26" t="s">
        <v>1688</v>
      </c>
      <c r="E2243" s="26" t="s">
        <v>1433</v>
      </c>
      <c r="F2243" s="26" t="s">
        <v>1723</v>
      </c>
      <c r="G2243" s="26">
        <f t="shared" si="34"/>
        <v>-44116.01</v>
      </c>
    </row>
    <row r="2244" spans="1:7" x14ac:dyDescent="0.2">
      <c r="A2244" s="26">
        <v>108</v>
      </c>
      <c r="B2244" s="26">
        <v>70</v>
      </c>
      <c r="C2244" s="26">
        <v>178</v>
      </c>
      <c r="D2244" s="26" t="s">
        <v>1689</v>
      </c>
      <c r="E2244" s="26">
        <v>-49698.296999999999</v>
      </c>
      <c r="F2244" s="26">
        <v>10.324999999999999</v>
      </c>
      <c r="G2244" s="26">
        <f t="shared" si="34"/>
        <v>-49698.296999999999</v>
      </c>
    </row>
    <row r="2245" spans="1:7" x14ac:dyDescent="0.2">
      <c r="A2245" s="26">
        <v>107</v>
      </c>
      <c r="B2245" s="26">
        <v>71</v>
      </c>
      <c r="C2245" s="26">
        <v>178</v>
      </c>
      <c r="D2245" s="26" t="s">
        <v>1690</v>
      </c>
      <c r="E2245" s="26">
        <v>-50343.004000000001</v>
      </c>
      <c r="F2245" s="26">
        <v>2.8889999999999998</v>
      </c>
      <c r="G2245" s="26">
        <f t="shared" si="34"/>
        <v>-50343.004000000001</v>
      </c>
    </row>
    <row r="2246" spans="1:7" x14ac:dyDescent="0.2">
      <c r="A2246" s="26">
        <v>106</v>
      </c>
      <c r="B2246" s="26">
        <v>72</v>
      </c>
      <c r="C2246" s="26">
        <v>178</v>
      </c>
      <c r="D2246" s="26" t="s">
        <v>1691</v>
      </c>
      <c r="E2246" s="26">
        <v>-52444.262000000002</v>
      </c>
      <c r="F2246" s="26">
        <v>2.1440000000000001</v>
      </c>
      <c r="G2246" s="26">
        <f t="shared" si="34"/>
        <v>-52444.262000000002</v>
      </c>
    </row>
    <row r="2247" spans="1:7" x14ac:dyDescent="0.2">
      <c r="A2247" s="26">
        <v>105</v>
      </c>
      <c r="B2247" s="26">
        <v>73</v>
      </c>
      <c r="C2247" s="26">
        <v>178</v>
      </c>
      <c r="D2247" s="26" t="s">
        <v>1692</v>
      </c>
      <c r="E2247" s="26">
        <v>-50507.262000000002</v>
      </c>
      <c r="F2247" s="26">
        <v>15.151999999999999</v>
      </c>
      <c r="G2247" s="26">
        <f t="shared" si="34"/>
        <v>-50507.262000000002</v>
      </c>
    </row>
    <row r="2248" spans="1:7" x14ac:dyDescent="0.2">
      <c r="A2248" s="26">
        <v>104</v>
      </c>
      <c r="B2248" s="26">
        <v>74</v>
      </c>
      <c r="C2248" s="26">
        <v>178</v>
      </c>
      <c r="D2248" s="26" t="s">
        <v>1693</v>
      </c>
      <c r="E2248" s="26">
        <v>-50415.962</v>
      </c>
      <c r="F2248" s="26">
        <v>15.284000000000001</v>
      </c>
      <c r="G2248" s="26">
        <f t="shared" si="34"/>
        <v>-50415.962</v>
      </c>
    </row>
    <row r="2249" spans="1:7" x14ac:dyDescent="0.2">
      <c r="A2249" s="26">
        <v>103</v>
      </c>
      <c r="B2249" s="26">
        <v>75</v>
      </c>
      <c r="C2249" s="26">
        <v>178</v>
      </c>
      <c r="D2249" s="26" t="s">
        <v>1694</v>
      </c>
      <c r="E2249" s="26">
        <v>-45653.453000000001</v>
      </c>
      <c r="F2249" s="26">
        <v>27.945</v>
      </c>
      <c r="G2249" s="26">
        <f t="shared" si="34"/>
        <v>-45653.453000000001</v>
      </c>
    </row>
    <row r="2250" spans="1:7" x14ac:dyDescent="0.2">
      <c r="A2250" s="26">
        <v>102</v>
      </c>
      <c r="B2250" s="26">
        <v>76</v>
      </c>
      <c r="C2250" s="26">
        <v>178</v>
      </c>
      <c r="D2250" s="26" t="s">
        <v>1695</v>
      </c>
      <c r="E2250" s="26">
        <v>-43546.188999999998</v>
      </c>
      <c r="F2250" s="26">
        <v>16.436</v>
      </c>
      <c r="G2250" s="26">
        <f t="shared" ref="G2250:G2313" si="35">IF(ISNUMBER(E2250),E2250,VALUE(SUBSTITUTE(E2250,"#",".01")))</f>
        <v>-43546.188999999998</v>
      </c>
    </row>
    <row r="2251" spans="1:7" x14ac:dyDescent="0.2">
      <c r="A2251" s="26">
        <v>101</v>
      </c>
      <c r="B2251" s="26">
        <v>77</v>
      </c>
      <c r="C2251" s="26">
        <v>178</v>
      </c>
      <c r="D2251" s="26" t="s">
        <v>1696</v>
      </c>
      <c r="E2251" s="26">
        <v>-36251.883999999998</v>
      </c>
      <c r="F2251" s="26">
        <v>19.760000000000002</v>
      </c>
      <c r="G2251" s="26">
        <f t="shared" si="35"/>
        <v>-36251.883999999998</v>
      </c>
    </row>
    <row r="2252" spans="1:7" x14ac:dyDescent="0.2">
      <c r="A2252" s="26">
        <v>100</v>
      </c>
      <c r="B2252" s="26">
        <v>78</v>
      </c>
      <c r="C2252" s="26">
        <v>178</v>
      </c>
      <c r="D2252" s="26" t="s">
        <v>1697</v>
      </c>
      <c r="E2252" s="26">
        <v>-31998.007000000001</v>
      </c>
      <c r="F2252" s="26">
        <v>10.823</v>
      </c>
      <c r="G2252" s="26">
        <f t="shared" si="35"/>
        <v>-31998.007000000001</v>
      </c>
    </row>
    <row r="2253" spans="1:7" x14ac:dyDescent="0.2">
      <c r="A2253" s="26">
        <v>99</v>
      </c>
      <c r="B2253" s="26">
        <v>79</v>
      </c>
      <c r="C2253" s="26">
        <v>178</v>
      </c>
      <c r="D2253" s="26" t="s">
        <v>1698</v>
      </c>
      <c r="E2253" s="26">
        <v>-22326.121999999999</v>
      </c>
      <c r="F2253" s="26">
        <v>57.143999999999998</v>
      </c>
      <c r="G2253" s="26">
        <f t="shared" si="35"/>
        <v>-22326.121999999999</v>
      </c>
    </row>
    <row r="2254" spans="1:7" x14ac:dyDescent="0.2">
      <c r="A2254" s="26">
        <v>98</v>
      </c>
      <c r="B2254" s="26">
        <v>80</v>
      </c>
      <c r="C2254" s="26">
        <v>178</v>
      </c>
      <c r="D2254" s="26" t="s">
        <v>1699</v>
      </c>
      <c r="E2254" s="26">
        <v>-16316.846</v>
      </c>
      <c r="F2254" s="26">
        <v>12.878</v>
      </c>
      <c r="G2254" s="26">
        <f t="shared" si="35"/>
        <v>-16316.846</v>
      </c>
    </row>
    <row r="2255" spans="1:7" x14ac:dyDescent="0.2">
      <c r="A2255" s="26">
        <v>97</v>
      </c>
      <c r="B2255" s="26">
        <v>81</v>
      </c>
      <c r="C2255" s="26">
        <v>178</v>
      </c>
      <c r="D2255" s="26" t="s">
        <v>1700</v>
      </c>
      <c r="E2255" s="26" t="s">
        <v>979</v>
      </c>
      <c r="F2255" s="26" t="s">
        <v>980</v>
      </c>
      <c r="G2255" s="26">
        <f t="shared" si="35"/>
        <v>-4754.01</v>
      </c>
    </row>
    <row r="2256" spans="1:7" x14ac:dyDescent="0.2">
      <c r="A2256" s="26">
        <v>96</v>
      </c>
      <c r="B2256" s="26">
        <v>82</v>
      </c>
      <c r="C2256" s="26">
        <v>178</v>
      </c>
      <c r="D2256" s="26" t="s">
        <v>1701</v>
      </c>
      <c r="E2256" s="26">
        <v>3567.8</v>
      </c>
      <c r="F2256" s="26">
        <v>24.28</v>
      </c>
      <c r="G2256" s="26">
        <f t="shared" si="35"/>
        <v>3567.8</v>
      </c>
    </row>
    <row r="2257" spans="1:7" x14ac:dyDescent="0.2">
      <c r="A2257" s="26">
        <v>110</v>
      </c>
      <c r="B2257" s="26">
        <v>69</v>
      </c>
      <c r="C2257" s="26">
        <v>179</v>
      </c>
      <c r="D2257" s="26" t="s">
        <v>1688</v>
      </c>
      <c r="E2257" s="26" t="s">
        <v>1434</v>
      </c>
      <c r="F2257" s="26" t="s">
        <v>1728</v>
      </c>
      <c r="G2257" s="26">
        <f t="shared" si="35"/>
        <v>-41601.01</v>
      </c>
    </row>
    <row r="2258" spans="1:7" x14ac:dyDescent="0.2">
      <c r="A2258" s="26">
        <v>109</v>
      </c>
      <c r="B2258" s="26">
        <v>70</v>
      </c>
      <c r="C2258" s="26">
        <v>179</v>
      </c>
      <c r="D2258" s="26" t="s">
        <v>1689</v>
      </c>
      <c r="E2258" s="26" t="s">
        <v>1435</v>
      </c>
      <c r="F2258" s="26" t="s">
        <v>1730</v>
      </c>
      <c r="G2258" s="26">
        <f t="shared" si="35"/>
        <v>-46416.01</v>
      </c>
    </row>
    <row r="2259" spans="1:7" x14ac:dyDescent="0.2">
      <c r="A2259" s="26">
        <v>108</v>
      </c>
      <c r="B2259" s="26">
        <v>71</v>
      </c>
      <c r="C2259" s="26">
        <v>179</v>
      </c>
      <c r="D2259" s="26" t="s">
        <v>1690</v>
      </c>
      <c r="E2259" s="26">
        <v>-49064.17</v>
      </c>
      <c r="F2259" s="26">
        <v>5.4580000000000002</v>
      </c>
      <c r="G2259" s="26">
        <f t="shared" si="35"/>
        <v>-49064.17</v>
      </c>
    </row>
    <row r="2260" spans="1:7" x14ac:dyDescent="0.2">
      <c r="A2260" s="26">
        <v>107</v>
      </c>
      <c r="B2260" s="26">
        <v>72</v>
      </c>
      <c r="C2260" s="26">
        <v>179</v>
      </c>
      <c r="D2260" s="26" t="s">
        <v>1691</v>
      </c>
      <c r="E2260" s="26">
        <v>-50471.936000000002</v>
      </c>
      <c r="F2260" s="26">
        <v>2.1429999999999998</v>
      </c>
      <c r="G2260" s="26">
        <f t="shared" si="35"/>
        <v>-50471.936000000002</v>
      </c>
    </row>
    <row r="2261" spans="1:7" x14ac:dyDescent="0.2">
      <c r="A2261" s="26">
        <v>106</v>
      </c>
      <c r="B2261" s="26">
        <v>73</v>
      </c>
      <c r="C2261" s="26">
        <v>179</v>
      </c>
      <c r="D2261" s="26" t="s">
        <v>1692</v>
      </c>
      <c r="E2261" s="26">
        <v>-50366.313999999998</v>
      </c>
      <c r="F2261" s="26">
        <v>2.173</v>
      </c>
      <c r="G2261" s="26">
        <f t="shared" si="35"/>
        <v>-50366.313999999998</v>
      </c>
    </row>
    <row r="2262" spans="1:7" x14ac:dyDescent="0.2">
      <c r="A2262" s="26">
        <v>105</v>
      </c>
      <c r="B2262" s="26">
        <v>74</v>
      </c>
      <c r="C2262" s="26">
        <v>179</v>
      </c>
      <c r="D2262" s="26" t="s">
        <v>1693</v>
      </c>
      <c r="E2262" s="26">
        <v>-49303.561000000002</v>
      </c>
      <c r="F2262" s="26">
        <v>15.506</v>
      </c>
      <c r="G2262" s="26">
        <f t="shared" si="35"/>
        <v>-49303.561000000002</v>
      </c>
    </row>
    <row r="2263" spans="1:7" x14ac:dyDescent="0.2">
      <c r="A2263" s="26">
        <v>104</v>
      </c>
      <c r="B2263" s="26">
        <v>75</v>
      </c>
      <c r="C2263" s="26">
        <v>179</v>
      </c>
      <c r="D2263" s="26" t="s">
        <v>1694</v>
      </c>
      <c r="E2263" s="26">
        <v>-46586.212</v>
      </c>
      <c r="F2263" s="26">
        <v>24.428000000000001</v>
      </c>
      <c r="G2263" s="26">
        <f t="shared" si="35"/>
        <v>-46586.212</v>
      </c>
    </row>
    <row r="2264" spans="1:7" x14ac:dyDescent="0.2">
      <c r="A2264" s="26">
        <v>103</v>
      </c>
      <c r="B2264" s="26">
        <v>76</v>
      </c>
      <c r="C2264" s="26">
        <v>179</v>
      </c>
      <c r="D2264" s="26" t="s">
        <v>1695</v>
      </c>
      <c r="E2264" s="26">
        <v>-43020.103000000003</v>
      </c>
      <c r="F2264" s="26">
        <v>18.076000000000001</v>
      </c>
      <c r="G2264" s="26">
        <f t="shared" si="35"/>
        <v>-43020.103000000003</v>
      </c>
    </row>
    <row r="2265" spans="1:7" x14ac:dyDescent="0.2">
      <c r="A2265" s="26">
        <v>102</v>
      </c>
      <c r="B2265" s="26">
        <v>77</v>
      </c>
      <c r="C2265" s="26">
        <v>179</v>
      </c>
      <c r="D2265" s="26" t="s">
        <v>1696</v>
      </c>
      <c r="E2265" s="26">
        <v>-38077.364000000001</v>
      </c>
      <c r="F2265" s="26">
        <v>10.898999999999999</v>
      </c>
      <c r="G2265" s="26">
        <f t="shared" si="35"/>
        <v>-38077.364000000001</v>
      </c>
    </row>
    <row r="2266" spans="1:7" x14ac:dyDescent="0.2">
      <c r="A2266" s="26">
        <v>101</v>
      </c>
      <c r="B2266" s="26">
        <v>78</v>
      </c>
      <c r="C2266" s="26">
        <v>179</v>
      </c>
      <c r="D2266" s="26" t="s">
        <v>1697</v>
      </c>
      <c r="E2266" s="26">
        <v>-32263.780999999999</v>
      </c>
      <c r="F2266" s="26">
        <v>9.0920000000000005</v>
      </c>
      <c r="G2266" s="26">
        <f t="shared" si="35"/>
        <v>-32263.780999999999</v>
      </c>
    </row>
    <row r="2267" spans="1:7" x14ac:dyDescent="0.2">
      <c r="A2267" s="26">
        <v>100</v>
      </c>
      <c r="B2267" s="26">
        <v>79</v>
      </c>
      <c r="C2267" s="26">
        <v>179</v>
      </c>
      <c r="D2267" s="26" t="s">
        <v>1698</v>
      </c>
      <c r="E2267" s="26">
        <v>-24952.103999999999</v>
      </c>
      <c r="F2267" s="26">
        <v>16.548999999999999</v>
      </c>
      <c r="G2267" s="26">
        <f t="shared" si="35"/>
        <v>-24952.103999999999</v>
      </c>
    </row>
    <row r="2268" spans="1:7" x14ac:dyDescent="0.2">
      <c r="A2268" s="26">
        <v>99</v>
      </c>
      <c r="B2268" s="26">
        <v>80</v>
      </c>
      <c r="C2268" s="26">
        <v>179</v>
      </c>
      <c r="D2268" s="26" t="s">
        <v>1699</v>
      </c>
      <c r="E2268" s="26">
        <v>-16921.649000000001</v>
      </c>
      <c r="F2268" s="26">
        <v>27.308</v>
      </c>
      <c r="G2268" s="26">
        <f t="shared" si="35"/>
        <v>-16921.649000000001</v>
      </c>
    </row>
    <row r="2269" spans="1:7" x14ac:dyDescent="0.2">
      <c r="A2269" s="26">
        <v>98</v>
      </c>
      <c r="B2269" s="26">
        <v>81</v>
      </c>
      <c r="C2269" s="26">
        <v>179</v>
      </c>
      <c r="D2269" s="26" t="s">
        <v>1700</v>
      </c>
      <c r="E2269" s="26">
        <v>-8300.4670000000006</v>
      </c>
      <c r="F2269" s="26">
        <v>43.18</v>
      </c>
      <c r="G2269" s="26">
        <f t="shared" si="35"/>
        <v>-8300.4670000000006</v>
      </c>
    </row>
    <row r="2270" spans="1:7" x14ac:dyDescent="0.2">
      <c r="A2270" s="26">
        <v>97</v>
      </c>
      <c r="B2270" s="26">
        <v>82</v>
      </c>
      <c r="C2270" s="26">
        <v>179</v>
      </c>
      <c r="D2270" s="26" t="s">
        <v>1701</v>
      </c>
      <c r="E2270" s="26" t="s">
        <v>981</v>
      </c>
      <c r="F2270" s="26" t="s">
        <v>1480</v>
      </c>
      <c r="G2270" s="26">
        <f t="shared" si="35"/>
        <v>2003.01</v>
      </c>
    </row>
    <row r="2271" spans="1:7" x14ac:dyDescent="0.2">
      <c r="A2271" s="26">
        <v>110</v>
      </c>
      <c r="B2271" s="26">
        <v>70</v>
      </c>
      <c r="C2271" s="26">
        <v>180</v>
      </c>
      <c r="D2271" s="26" t="s">
        <v>1689</v>
      </c>
      <c r="E2271" s="26" t="s">
        <v>1311</v>
      </c>
      <c r="F2271" s="26" t="s">
        <v>1723</v>
      </c>
      <c r="G2271" s="26">
        <f t="shared" si="35"/>
        <v>-44404.01</v>
      </c>
    </row>
    <row r="2272" spans="1:7" x14ac:dyDescent="0.2">
      <c r="A2272" s="26">
        <v>109</v>
      </c>
      <c r="B2272" s="26">
        <v>71</v>
      </c>
      <c r="C2272" s="26">
        <v>180</v>
      </c>
      <c r="D2272" s="26" t="s">
        <v>1690</v>
      </c>
      <c r="E2272" s="26">
        <v>-46685.398000000001</v>
      </c>
      <c r="F2272" s="26">
        <v>70.742999999999995</v>
      </c>
      <c r="G2272" s="26">
        <f t="shared" si="35"/>
        <v>-46685.398000000001</v>
      </c>
    </row>
    <row r="2273" spans="1:7" x14ac:dyDescent="0.2">
      <c r="A2273" s="26">
        <v>108</v>
      </c>
      <c r="B2273" s="26">
        <v>72</v>
      </c>
      <c r="C2273" s="26">
        <v>180</v>
      </c>
      <c r="D2273" s="26" t="s">
        <v>1691</v>
      </c>
      <c r="E2273" s="26">
        <v>-49788.398000000001</v>
      </c>
      <c r="F2273" s="26">
        <v>2.1469999999999998</v>
      </c>
      <c r="G2273" s="26">
        <f t="shared" si="35"/>
        <v>-49788.398000000001</v>
      </c>
    </row>
    <row r="2274" spans="1:7" x14ac:dyDescent="0.2">
      <c r="A2274" s="26">
        <v>107</v>
      </c>
      <c r="B2274" s="26">
        <v>73</v>
      </c>
      <c r="C2274" s="26">
        <v>180</v>
      </c>
      <c r="D2274" s="26" t="s">
        <v>1692</v>
      </c>
      <c r="E2274" s="26">
        <v>-48936.195</v>
      </c>
      <c r="F2274" s="26">
        <v>2.2160000000000002</v>
      </c>
      <c r="G2274" s="26">
        <f t="shared" si="35"/>
        <v>-48936.195</v>
      </c>
    </row>
    <row r="2275" spans="1:7" x14ac:dyDescent="0.2">
      <c r="A2275" s="26">
        <v>106</v>
      </c>
      <c r="B2275" s="26">
        <v>74</v>
      </c>
      <c r="C2275" s="26">
        <v>180</v>
      </c>
      <c r="D2275" s="26" t="s">
        <v>1693</v>
      </c>
      <c r="E2275" s="26">
        <v>-49644.476999999999</v>
      </c>
      <c r="F2275" s="26">
        <v>3.931</v>
      </c>
      <c r="G2275" s="26">
        <f t="shared" si="35"/>
        <v>-49644.476999999999</v>
      </c>
    </row>
    <row r="2276" spans="1:7" x14ac:dyDescent="0.2">
      <c r="A2276" s="26">
        <v>105</v>
      </c>
      <c r="B2276" s="26">
        <v>75</v>
      </c>
      <c r="C2276" s="26">
        <v>180</v>
      </c>
      <c r="D2276" s="26" t="s">
        <v>1694</v>
      </c>
      <c r="E2276" s="26">
        <v>-45839.673000000003</v>
      </c>
      <c r="F2276" s="26">
        <v>21.391999999999999</v>
      </c>
      <c r="G2276" s="26">
        <f t="shared" si="35"/>
        <v>-45839.673000000003</v>
      </c>
    </row>
    <row r="2277" spans="1:7" x14ac:dyDescent="0.2">
      <c r="A2277" s="26">
        <v>104</v>
      </c>
      <c r="B2277" s="26">
        <v>76</v>
      </c>
      <c r="C2277" s="26">
        <v>180</v>
      </c>
      <c r="D2277" s="26" t="s">
        <v>1695</v>
      </c>
      <c r="E2277" s="26">
        <v>-44358.858999999997</v>
      </c>
      <c r="F2277" s="26">
        <v>20.300999999999998</v>
      </c>
      <c r="G2277" s="26">
        <f t="shared" si="35"/>
        <v>-44358.858999999997</v>
      </c>
    </row>
    <row r="2278" spans="1:7" x14ac:dyDescent="0.2">
      <c r="A2278" s="26">
        <v>103</v>
      </c>
      <c r="B2278" s="26">
        <v>77</v>
      </c>
      <c r="C2278" s="26">
        <v>180</v>
      </c>
      <c r="D2278" s="26" t="s">
        <v>1696</v>
      </c>
      <c r="E2278" s="26">
        <v>-37977.525999999998</v>
      </c>
      <c r="F2278" s="26">
        <v>21.706</v>
      </c>
      <c r="G2278" s="26">
        <f t="shared" si="35"/>
        <v>-37977.525999999998</v>
      </c>
    </row>
    <row r="2279" spans="1:7" x14ac:dyDescent="0.2">
      <c r="A2279" s="26">
        <v>102</v>
      </c>
      <c r="B2279" s="26">
        <v>78</v>
      </c>
      <c r="C2279" s="26">
        <v>180</v>
      </c>
      <c r="D2279" s="26" t="s">
        <v>1697</v>
      </c>
      <c r="E2279" s="26">
        <v>-34435.957999999999</v>
      </c>
      <c r="F2279" s="26">
        <v>10.978</v>
      </c>
      <c r="G2279" s="26">
        <f t="shared" si="35"/>
        <v>-34435.957999999999</v>
      </c>
    </row>
    <row r="2280" spans="1:7" x14ac:dyDescent="0.2">
      <c r="A2280" s="26">
        <v>101</v>
      </c>
      <c r="B2280" s="26">
        <v>79</v>
      </c>
      <c r="C2280" s="26">
        <v>180</v>
      </c>
      <c r="D2280" s="26" t="s">
        <v>1698</v>
      </c>
      <c r="E2280" s="26">
        <v>-25596.407999999999</v>
      </c>
      <c r="F2280" s="26">
        <v>21.009</v>
      </c>
      <c r="G2280" s="26">
        <f t="shared" si="35"/>
        <v>-25596.407999999999</v>
      </c>
    </row>
    <row r="2281" spans="1:7" x14ac:dyDescent="0.2">
      <c r="A2281" s="26">
        <v>100</v>
      </c>
      <c r="B2281" s="26">
        <v>80</v>
      </c>
      <c r="C2281" s="26">
        <v>180</v>
      </c>
      <c r="D2281" s="26" t="s">
        <v>1699</v>
      </c>
      <c r="E2281" s="26">
        <v>-20244.723000000002</v>
      </c>
      <c r="F2281" s="26">
        <v>13.968</v>
      </c>
      <c r="G2281" s="26">
        <f t="shared" si="35"/>
        <v>-20244.723000000002</v>
      </c>
    </row>
    <row r="2282" spans="1:7" x14ac:dyDescent="0.2">
      <c r="A2282" s="26">
        <v>99</v>
      </c>
      <c r="B2282" s="26">
        <v>81</v>
      </c>
      <c r="C2282" s="26">
        <v>180</v>
      </c>
      <c r="D2282" s="26" t="s">
        <v>1700</v>
      </c>
      <c r="E2282" s="26" t="s">
        <v>982</v>
      </c>
      <c r="F2282" s="26" t="s">
        <v>983</v>
      </c>
      <c r="G2282" s="26">
        <f t="shared" si="35"/>
        <v>-9403.01</v>
      </c>
    </row>
    <row r="2283" spans="1:7" x14ac:dyDescent="0.2">
      <c r="A2283" s="26">
        <v>98</v>
      </c>
      <c r="B2283" s="26">
        <v>82</v>
      </c>
      <c r="C2283" s="26">
        <v>180</v>
      </c>
      <c r="D2283" s="26" t="s">
        <v>1701</v>
      </c>
      <c r="E2283" s="26">
        <v>-1939.2090000000001</v>
      </c>
      <c r="F2283" s="26">
        <v>20.888000000000002</v>
      </c>
      <c r="G2283" s="26">
        <f t="shared" si="35"/>
        <v>-1939.2090000000001</v>
      </c>
    </row>
    <row r="2284" spans="1:7" x14ac:dyDescent="0.2">
      <c r="A2284" s="26">
        <v>111</v>
      </c>
      <c r="B2284" s="26">
        <v>70</v>
      </c>
      <c r="C2284" s="26">
        <v>181</v>
      </c>
      <c r="D2284" s="26" t="s">
        <v>1689</v>
      </c>
      <c r="E2284" s="26" t="s">
        <v>1436</v>
      </c>
      <c r="F2284" s="26" t="s">
        <v>1723</v>
      </c>
      <c r="G2284" s="26">
        <f t="shared" si="35"/>
        <v>-40846.01</v>
      </c>
    </row>
    <row r="2285" spans="1:7" x14ac:dyDescent="0.2">
      <c r="A2285" s="26">
        <v>110</v>
      </c>
      <c r="B2285" s="26">
        <v>71</v>
      </c>
      <c r="C2285" s="26">
        <v>181</v>
      </c>
      <c r="D2285" s="26" t="s">
        <v>1690</v>
      </c>
      <c r="E2285" s="26" t="s">
        <v>1437</v>
      </c>
      <c r="F2285" s="26" t="s">
        <v>1730</v>
      </c>
      <c r="G2285" s="26">
        <f t="shared" si="35"/>
        <v>-44740.01</v>
      </c>
    </row>
    <row r="2286" spans="1:7" x14ac:dyDescent="0.2">
      <c r="A2286" s="26">
        <v>109</v>
      </c>
      <c r="B2286" s="26">
        <v>72</v>
      </c>
      <c r="C2286" s="26">
        <v>181</v>
      </c>
      <c r="D2286" s="26" t="s">
        <v>1691</v>
      </c>
      <c r="E2286" s="26">
        <v>-47411.883999999998</v>
      </c>
      <c r="F2286" s="26">
        <v>2.1480000000000001</v>
      </c>
      <c r="G2286" s="26">
        <f t="shared" si="35"/>
        <v>-47411.883999999998</v>
      </c>
    </row>
    <row r="2287" spans="1:7" x14ac:dyDescent="0.2">
      <c r="A2287" s="26">
        <v>108</v>
      </c>
      <c r="B2287" s="26">
        <v>73</v>
      </c>
      <c r="C2287" s="26">
        <v>181</v>
      </c>
      <c r="D2287" s="26" t="s">
        <v>1692</v>
      </c>
      <c r="E2287" s="26">
        <v>-48441.633999999998</v>
      </c>
      <c r="F2287" s="26">
        <v>1.7929999999999999</v>
      </c>
      <c r="G2287" s="26">
        <f t="shared" si="35"/>
        <v>-48441.633999999998</v>
      </c>
    </row>
    <row r="2288" spans="1:7" x14ac:dyDescent="0.2">
      <c r="A2288" s="26">
        <v>107</v>
      </c>
      <c r="B2288" s="26">
        <v>74</v>
      </c>
      <c r="C2288" s="26">
        <v>181</v>
      </c>
      <c r="D2288" s="26" t="s">
        <v>1693</v>
      </c>
      <c r="E2288" s="26">
        <v>-48253.951999999997</v>
      </c>
      <c r="F2288" s="26">
        <v>4.734</v>
      </c>
      <c r="G2288" s="26">
        <f t="shared" si="35"/>
        <v>-48253.951999999997</v>
      </c>
    </row>
    <row r="2289" spans="1:7" x14ac:dyDescent="0.2">
      <c r="A2289" s="26">
        <v>106</v>
      </c>
      <c r="B2289" s="26">
        <v>75</v>
      </c>
      <c r="C2289" s="26">
        <v>181</v>
      </c>
      <c r="D2289" s="26" t="s">
        <v>1694</v>
      </c>
      <c r="E2289" s="26">
        <v>-46511.436000000002</v>
      </c>
      <c r="F2289" s="26">
        <v>12.579000000000001</v>
      </c>
      <c r="G2289" s="26">
        <f t="shared" si="35"/>
        <v>-46511.436000000002</v>
      </c>
    </row>
    <row r="2290" spans="1:7" x14ac:dyDescent="0.2">
      <c r="A2290" s="26">
        <v>105</v>
      </c>
      <c r="B2290" s="26">
        <v>76</v>
      </c>
      <c r="C2290" s="26">
        <v>181</v>
      </c>
      <c r="D2290" s="26" t="s">
        <v>1695</v>
      </c>
      <c r="E2290" s="26">
        <v>-43552.934000000001</v>
      </c>
      <c r="F2290" s="26">
        <v>31.670999999999999</v>
      </c>
      <c r="G2290" s="26">
        <f t="shared" si="35"/>
        <v>-43552.934000000001</v>
      </c>
    </row>
    <row r="2291" spans="1:7" x14ac:dyDescent="0.2">
      <c r="A2291" s="26">
        <v>104</v>
      </c>
      <c r="B2291" s="26">
        <v>77</v>
      </c>
      <c r="C2291" s="26">
        <v>181</v>
      </c>
      <c r="D2291" s="26" t="s">
        <v>1696</v>
      </c>
      <c r="E2291" s="26">
        <v>-39471.781999999999</v>
      </c>
      <c r="F2291" s="26">
        <v>25.626999999999999</v>
      </c>
      <c r="G2291" s="26">
        <f t="shared" si="35"/>
        <v>-39471.781999999999</v>
      </c>
    </row>
    <row r="2292" spans="1:7" x14ac:dyDescent="0.2">
      <c r="A2292" s="26">
        <v>103</v>
      </c>
      <c r="B2292" s="26">
        <v>78</v>
      </c>
      <c r="C2292" s="26">
        <v>181</v>
      </c>
      <c r="D2292" s="26" t="s">
        <v>1697</v>
      </c>
      <c r="E2292" s="26">
        <v>-34374.658000000003</v>
      </c>
      <c r="F2292" s="26">
        <v>14.863</v>
      </c>
      <c r="G2292" s="26">
        <f t="shared" si="35"/>
        <v>-34374.658000000003</v>
      </c>
    </row>
    <row r="2293" spans="1:7" x14ac:dyDescent="0.2">
      <c r="A2293" s="26">
        <v>102</v>
      </c>
      <c r="B2293" s="26">
        <v>79</v>
      </c>
      <c r="C2293" s="26">
        <v>181</v>
      </c>
      <c r="D2293" s="26" t="s">
        <v>1698</v>
      </c>
      <c r="E2293" s="26">
        <v>-27871.187000000002</v>
      </c>
      <c r="F2293" s="26">
        <v>19.975999999999999</v>
      </c>
      <c r="G2293" s="26">
        <f t="shared" si="35"/>
        <v>-27871.187000000002</v>
      </c>
    </row>
    <row r="2294" spans="1:7" x14ac:dyDescent="0.2">
      <c r="A2294" s="26">
        <v>101</v>
      </c>
      <c r="B2294" s="26">
        <v>80</v>
      </c>
      <c r="C2294" s="26">
        <v>181</v>
      </c>
      <c r="D2294" s="26" t="s">
        <v>1699</v>
      </c>
      <c r="E2294" s="26">
        <v>-20661.178</v>
      </c>
      <c r="F2294" s="26">
        <v>15.382999999999999</v>
      </c>
      <c r="G2294" s="26">
        <f t="shared" si="35"/>
        <v>-20661.178</v>
      </c>
    </row>
    <row r="2295" spans="1:7" x14ac:dyDescent="0.2">
      <c r="A2295" s="26">
        <v>100</v>
      </c>
      <c r="B2295" s="26">
        <v>81</v>
      </c>
      <c r="C2295" s="26">
        <v>181</v>
      </c>
      <c r="D2295" s="26" t="s">
        <v>1700</v>
      </c>
      <c r="E2295" s="26">
        <v>-12801.105</v>
      </c>
      <c r="F2295" s="26">
        <v>9.3569999999999993</v>
      </c>
      <c r="G2295" s="26">
        <f t="shared" si="35"/>
        <v>-12801.105</v>
      </c>
    </row>
    <row r="2296" spans="1:7" x14ac:dyDescent="0.2">
      <c r="A2296" s="26">
        <v>99</v>
      </c>
      <c r="B2296" s="26">
        <v>82</v>
      </c>
      <c r="C2296" s="26">
        <v>181</v>
      </c>
      <c r="D2296" s="26" t="s">
        <v>1701</v>
      </c>
      <c r="E2296" s="26">
        <v>-3144.7620000000002</v>
      </c>
      <c r="F2296" s="26">
        <v>90.194000000000003</v>
      </c>
      <c r="G2296" s="26">
        <f t="shared" si="35"/>
        <v>-3144.7620000000002</v>
      </c>
    </row>
    <row r="2297" spans="1:7" x14ac:dyDescent="0.2">
      <c r="A2297" s="26">
        <v>111</v>
      </c>
      <c r="B2297" s="26">
        <v>71</v>
      </c>
      <c r="C2297" s="26">
        <v>182</v>
      </c>
      <c r="D2297" s="26" t="s">
        <v>1690</v>
      </c>
      <c r="E2297" s="26" t="s">
        <v>984</v>
      </c>
      <c r="F2297" s="26" t="s">
        <v>1480</v>
      </c>
      <c r="G2297" s="26">
        <f t="shared" si="35"/>
        <v>-41880.01</v>
      </c>
    </row>
    <row r="2298" spans="1:7" x14ac:dyDescent="0.2">
      <c r="A2298" s="26">
        <v>110</v>
      </c>
      <c r="B2298" s="26">
        <v>72</v>
      </c>
      <c r="C2298" s="26">
        <v>182</v>
      </c>
      <c r="D2298" s="26" t="s">
        <v>1691</v>
      </c>
      <c r="E2298" s="26">
        <v>-46058.563000000002</v>
      </c>
      <c r="F2298" s="26">
        <v>6.3730000000000002</v>
      </c>
      <c r="G2298" s="26">
        <f t="shared" si="35"/>
        <v>-46058.563000000002</v>
      </c>
    </row>
    <row r="2299" spans="1:7" x14ac:dyDescent="0.2">
      <c r="A2299" s="26">
        <v>109</v>
      </c>
      <c r="B2299" s="26">
        <v>73</v>
      </c>
      <c r="C2299" s="26">
        <v>182</v>
      </c>
      <c r="D2299" s="26" t="s">
        <v>1692</v>
      </c>
      <c r="E2299" s="26">
        <v>-46433.254000000001</v>
      </c>
      <c r="F2299" s="26">
        <v>1.794</v>
      </c>
      <c r="G2299" s="26">
        <f t="shared" si="35"/>
        <v>-46433.254000000001</v>
      </c>
    </row>
    <row r="2300" spans="1:7" x14ac:dyDescent="0.2">
      <c r="A2300" s="26">
        <v>108</v>
      </c>
      <c r="B2300" s="26">
        <v>74</v>
      </c>
      <c r="C2300" s="26">
        <v>182</v>
      </c>
      <c r="D2300" s="26" t="s">
        <v>1693</v>
      </c>
      <c r="E2300" s="26">
        <v>-48247.517999999996</v>
      </c>
      <c r="F2300" s="26">
        <v>0.82799999999999996</v>
      </c>
      <c r="G2300" s="26">
        <f t="shared" si="35"/>
        <v>-48247.517999999996</v>
      </c>
    </row>
    <row r="2301" spans="1:7" x14ac:dyDescent="0.2">
      <c r="A2301" s="26">
        <v>107</v>
      </c>
      <c r="B2301" s="26">
        <v>75</v>
      </c>
      <c r="C2301" s="26">
        <v>182</v>
      </c>
      <c r="D2301" s="26" t="s">
        <v>1694</v>
      </c>
      <c r="E2301" s="26">
        <v>-45447.517999999996</v>
      </c>
      <c r="F2301" s="26">
        <v>101.98399999999999</v>
      </c>
      <c r="G2301" s="26">
        <f t="shared" si="35"/>
        <v>-45447.517999999996</v>
      </c>
    </row>
    <row r="2302" spans="1:7" x14ac:dyDescent="0.2">
      <c r="A2302" s="26">
        <v>106</v>
      </c>
      <c r="B2302" s="26">
        <v>76</v>
      </c>
      <c r="C2302" s="26">
        <v>182</v>
      </c>
      <c r="D2302" s="26" t="s">
        <v>1695</v>
      </c>
      <c r="E2302" s="26">
        <v>-44609.074000000001</v>
      </c>
      <c r="F2302" s="26">
        <v>21.745000000000001</v>
      </c>
      <c r="G2302" s="26">
        <f t="shared" si="35"/>
        <v>-44609.074000000001</v>
      </c>
    </row>
    <row r="2303" spans="1:7" x14ac:dyDescent="0.2">
      <c r="A2303" s="26">
        <v>105</v>
      </c>
      <c r="B2303" s="26">
        <v>77</v>
      </c>
      <c r="C2303" s="26">
        <v>182</v>
      </c>
      <c r="D2303" s="26" t="s">
        <v>1696</v>
      </c>
      <c r="E2303" s="26">
        <v>-39051.678999999996</v>
      </c>
      <c r="F2303" s="26">
        <v>20.966999999999999</v>
      </c>
      <c r="G2303" s="26">
        <f t="shared" si="35"/>
        <v>-39051.678999999996</v>
      </c>
    </row>
    <row r="2304" spans="1:7" x14ac:dyDescent="0.2">
      <c r="A2304" s="26">
        <v>104</v>
      </c>
      <c r="B2304" s="26">
        <v>78</v>
      </c>
      <c r="C2304" s="26">
        <v>182</v>
      </c>
      <c r="D2304" s="26" t="s">
        <v>1697</v>
      </c>
      <c r="E2304" s="26">
        <v>-36169.300999999999</v>
      </c>
      <c r="F2304" s="26">
        <v>15.62</v>
      </c>
      <c r="G2304" s="26">
        <f t="shared" si="35"/>
        <v>-36169.300999999999</v>
      </c>
    </row>
    <row r="2305" spans="1:7" x14ac:dyDescent="0.2">
      <c r="A2305" s="26">
        <v>103</v>
      </c>
      <c r="B2305" s="26">
        <v>79</v>
      </c>
      <c r="C2305" s="26">
        <v>182</v>
      </c>
      <c r="D2305" s="26" t="s">
        <v>1698</v>
      </c>
      <c r="E2305" s="26">
        <v>-28300.768</v>
      </c>
      <c r="F2305" s="26">
        <v>20.260000000000002</v>
      </c>
      <c r="G2305" s="26">
        <f t="shared" si="35"/>
        <v>-28300.768</v>
      </c>
    </row>
    <row r="2306" spans="1:7" x14ac:dyDescent="0.2">
      <c r="A2306" s="26">
        <v>102</v>
      </c>
      <c r="B2306" s="26">
        <v>80</v>
      </c>
      <c r="C2306" s="26">
        <v>182</v>
      </c>
      <c r="D2306" s="26" t="s">
        <v>1699</v>
      </c>
      <c r="E2306" s="26">
        <v>-23576.146000000001</v>
      </c>
      <c r="F2306" s="26">
        <v>9.7149999999999999</v>
      </c>
      <c r="G2306" s="26">
        <f t="shared" si="35"/>
        <v>-23576.146000000001</v>
      </c>
    </row>
    <row r="2307" spans="1:7" x14ac:dyDescent="0.2">
      <c r="A2307" s="26">
        <v>101</v>
      </c>
      <c r="B2307" s="26">
        <v>81</v>
      </c>
      <c r="C2307" s="26">
        <v>182</v>
      </c>
      <c r="D2307" s="26" t="s">
        <v>1700</v>
      </c>
      <c r="E2307" s="26">
        <v>-13351.007</v>
      </c>
      <c r="F2307" s="26">
        <v>75.930000000000007</v>
      </c>
      <c r="G2307" s="26">
        <f t="shared" si="35"/>
        <v>-13351.007</v>
      </c>
    </row>
    <row r="2308" spans="1:7" x14ac:dyDescent="0.2">
      <c r="A2308" s="26">
        <v>100</v>
      </c>
      <c r="B2308" s="26">
        <v>82</v>
      </c>
      <c r="C2308" s="26">
        <v>182</v>
      </c>
      <c r="D2308" s="26" t="s">
        <v>1701</v>
      </c>
      <c r="E2308" s="26">
        <v>-6826.1350000000002</v>
      </c>
      <c r="F2308" s="26">
        <v>14.007</v>
      </c>
      <c r="G2308" s="26">
        <f t="shared" si="35"/>
        <v>-6826.1350000000002</v>
      </c>
    </row>
    <row r="2309" spans="1:7" x14ac:dyDescent="0.2">
      <c r="A2309" s="26">
        <v>112</v>
      </c>
      <c r="B2309" s="26">
        <v>71</v>
      </c>
      <c r="C2309" s="26">
        <v>183</v>
      </c>
      <c r="D2309" s="26" t="s">
        <v>1690</v>
      </c>
      <c r="E2309" s="26" t="s">
        <v>1439</v>
      </c>
      <c r="F2309" s="26" t="s">
        <v>1730</v>
      </c>
      <c r="G2309" s="26">
        <f t="shared" si="35"/>
        <v>-39523.01</v>
      </c>
    </row>
    <row r="2310" spans="1:7" x14ac:dyDescent="0.2">
      <c r="A2310" s="26">
        <v>111</v>
      </c>
      <c r="B2310" s="26">
        <v>72</v>
      </c>
      <c r="C2310" s="26">
        <v>183</v>
      </c>
      <c r="D2310" s="26" t="s">
        <v>1691</v>
      </c>
      <c r="E2310" s="26">
        <v>-43286.116999999998</v>
      </c>
      <c r="F2310" s="26">
        <v>30.053999999999998</v>
      </c>
      <c r="G2310" s="26">
        <f t="shared" si="35"/>
        <v>-43286.116999999998</v>
      </c>
    </row>
    <row r="2311" spans="1:7" x14ac:dyDescent="0.2">
      <c r="A2311" s="26">
        <v>110</v>
      </c>
      <c r="B2311" s="26">
        <v>73</v>
      </c>
      <c r="C2311" s="26">
        <v>183</v>
      </c>
      <c r="D2311" s="26" t="s">
        <v>1692</v>
      </c>
      <c r="E2311" s="26">
        <v>-45296.116999999998</v>
      </c>
      <c r="F2311" s="26">
        <v>1.8049999999999999</v>
      </c>
      <c r="G2311" s="26">
        <f t="shared" si="35"/>
        <v>-45296.116999999998</v>
      </c>
    </row>
    <row r="2312" spans="1:7" x14ac:dyDescent="0.2">
      <c r="A2312" s="26">
        <v>109</v>
      </c>
      <c r="B2312" s="26">
        <v>74</v>
      </c>
      <c r="C2312" s="26">
        <v>183</v>
      </c>
      <c r="D2312" s="26" t="s">
        <v>1693</v>
      </c>
      <c r="E2312" s="26">
        <v>-46367.023000000001</v>
      </c>
      <c r="F2312" s="26">
        <v>0.82399999999999995</v>
      </c>
      <c r="G2312" s="26">
        <f t="shared" si="35"/>
        <v>-46367.023000000001</v>
      </c>
    </row>
    <row r="2313" spans="1:7" x14ac:dyDescent="0.2">
      <c r="A2313" s="26">
        <v>108</v>
      </c>
      <c r="B2313" s="26">
        <v>75</v>
      </c>
      <c r="C2313" s="26">
        <v>183</v>
      </c>
      <c r="D2313" s="26" t="s">
        <v>1694</v>
      </c>
      <c r="E2313" s="26">
        <v>-45811.023000000001</v>
      </c>
      <c r="F2313" s="26">
        <v>8.0419999999999998</v>
      </c>
      <c r="G2313" s="26">
        <f t="shared" si="35"/>
        <v>-45811.023000000001</v>
      </c>
    </row>
    <row r="2314" spans="1:7" x14ac:dyDescent="0.2">
      <c r="A2314" s="26">
        <v>107</v>
      </c>
      <c r="B2314" s="26">
        <v>76</v>
      </c>
      <c r="C2314" s="26">
        <v>183</v>
      </c>
      <c r="D2314" s="26" t="s">
        <v>1695</v>
      </c>
      <c r="E2314" s="26">
        <v>-43662.754000000001</v>
      </c>
      <c r="F2314" s="26">
        <v>49.796999999999997</v>
      </c>
      <c r="G2314" s="26">
        <f t="shared" ref="G2314:G2377" si="36">IF(ISNUMBER(E2314),E2314,VALUE(SUBSTITUTE(E2314,"#",".01")))</f>
        <v>-43662.754000000001</v>
      </c>
    </row>
    <row r="2315" spans="1:7" x14ac:dyDescent="0.2">
      <c r="A2315" s="26">
        <v>106</v>
      </c>
      <c r="B2315" s="26">
        <v>77</v>
      </c>
      <c r="C2315" s="26">
        <v>183</v>
      </c>
      <c r="D2315" s="26" t="s">
        <v>1696</v>
      </c>
      <c r="E2315" s="26">
        <v>-40197.266000000003</v>
      </c>
      <c r="F2315" s="26">
        <v>25.114999999999998</v>
      </c>
      <c r="G2315" s="26">
        <f t="shared" si="36"/>
        <v>-40197.266000000003</v>
      </c>
    </row>
    <row r="2316" spans="1:7" x14ac:dyDescent="0.2">
      <c r="A2316" s="26">
        <v>105</v>
      </c>
      <c r="B2316" s="26">
        <v>78</v>
      </c>
      <c r="C2316" s="26">
        <v>183</v>
      </c>
      <c r="D2316" s="26" t="s">
        <v>1697</v>
      </c>
      <c r="E2316" s="26">
        <v>-35772.440999999999</v>
      </c>
      <c r="F2316" s="26">
        <v>15.592000000000001</v>
      </c>
      <c r="G2316" s="26">
        <f t="shared" si="36"/>
        <v>-35772.440999999999</v>
      </c>
    </row>
    <row r="2317" spans="1:7" x14ac:dyDescent="0.2">
      <c r="A2317" s="26">
        <v>104</v>
      </c>
      <c r="B2317" s="26">
        <v>79</v>
      </c>
      <c r="C2317" s="26">
        <v>183</v>
      </c>
      <c r="D2317" s="26" t="s">
        <v>1698</v>
      </c>
      <c r="E2317" s="26">
        <v>-30186.894</v>
      </c>
      <c r="F2317" s="26">
        <v>10.492000000000001</v>
      </c>
      <c r="G2317" s="26">
        <f t="shared" si="36"/>
        <v>-30186.894</v>
      </c>
    </row>
    <row r="2318" spans="1:7" x14ac:dyDescent="0.2">
      <c r="A2318" s="26">
        <v>103</v>
      </c>
      <c r="B2318" s="26">
        <v>80</v>
      </c>
      <c r="C2318" s="26">
        <v>183</v>
      </c>
      <c r="D2318" s="26" t="s">
        <v>1699</v>
      </c>
      <c r="E2318" s="26">
        <v>-23799.819</v>
      </c>
      <c r="F2318" s="26">
        <v>8.1999999999999993</v>
      </c>
      <c r="G2318" s="26">
        <f t="shared" si="36"/>
        <v>-23799.819</v>
      </c>
    </row>
    <row r="2319" spans="1:7" x14ac:dyDescent="0.2">
      <c r="A2319" s="26">
        <v>102</v>
      </c>
      <c r="B2319" s="26">
        <v>81</v>
      </c>
      <c r="C2319" s="26">
        <v>183</v>
      </c>
      <c r="D2319" s="26" t="s">
        <v>1700</v>
      </c>
      <c r="E2319" s="26">
        <v>-16587.296999999999</v>
      </c>
      <c r="F2319" s="26">
        <v>9.7490000000000006</v>
      </c>
      <c r="G2319" s="26">
        <f t="shared" si="36"/>
        <v>-16587.296999999999</v>
      </c>
    </row>
    <row r="2320" spans="1:7" x14ac:dyDescent="0.2">
      <c r="A2320" s="26">
        <v>101</v>
      </c>
      <c r="B2320" s="26">
        <v>82</v>
      </c>
      <c r="C2320" s="26">
        <v>183</v>
      </c>
      <c r="D2320" s="26" t="s">
        <v>1701</v>
      </c>
      <c r="E2320" s="26">
        <v>-7568.7340000000004</v>
      </c>
      <c r="F2320" s="26">
        <v>28.190999999999999</v>
      </c>
      <c r="G2320" s="26">
        <f t="shared" si="36"/>
        <v>-7568.7340000000004</v>
      </c>
    </row>
    <row r="2321" spans="1:7" x14ac:dyDescent="0.2">
      <c r="A2321" s="26">
        <v>113</v>
      </c>
      <c r="B2321" s="26">
        <v>71</v>
      </c>
      <c r="C2321" s="26">
        <v>184</v>
      </c>
      <c r="D2321" s="26" t="s">
        <v>1690</v>
      </c>
      <c r="E2321" s="26" t="s">
        <v>985</v>
      </c>
      <c r="F2321" s="26" t="s">
        <v>1723</v>
      </c>
      <c r="G2321" s="26">
        <f t="shared" si="36"/>
        <v>-36412.01</v>
      </c>
    </row>
    <row r="2322" spans="1:7" x14ac:dyDescent="0.2">
      <c r="A2322" s="26">
        <v>112</v>
      </c>
      <c r="B2322" s="26">
        <v>72</v>
      </c>
      <c r="C2322" s="26">
        <v>184</v>
      </c>
      <c r="D2322" s="26" t="s">
        <v>1691</v>
      </c>
      <c r="E2322" s="26">
        <v>-41501.303999999996</v>
      </c>
      <c r="F2322" s="26">
        <v>39.707999999999998</v>
      </c>
      <c r="G2322" s="26">
        <f t="shared" si="36"/>
        <v>-41501.303999999996</v>
      </c>
    </row>
    <row r="2323" spans="1:7" x14ac:dyDescent="0.2">
      <c r="A2323" s="26">
        <v>111</v>
      </c>
      <c r="B2323" s="26">
        <v>73</v>
      </c>
      <c r="C2323" s="26">
        <v>184</v>
      </c>
      <c r="D2323" s="26" t="s">
        <v>1692</v>
      </c>
      <c r="E2323" s="26">
        <v>-42841.303999999996</v>
      </c>
      <c r="F2323" s="26">
        <v>26.013999999999999</v>
      </c>
      <c r="G2323" s="26">
        <f t="shared" si="36"/>
        <v>-42841.303999999996</v>
      </c>
    </row>
    <row r="2324" spans="1:7" x14ac:dyDescent="0.2">
      <c r="A2324" s="26">
        <v>110</v>
      </c>
      <c r="B2324" s="26">
        <v>74</v>
      </c>
      <c r="C2324" s="26">
        <v>184</v>
      </c>
      <c r="D2324" s="26" t="s">
        <v>1693</v>
      </c>
      <c r="E2324" s="26">
        <v>-45707.303999999996</v>
      </c>
      <c r="F2324" s="26">
        <v>0.85899999999999999</v>
      </c>
      <c r="G2324" s="26">
        <f t="shared" si="36"/>
        <v>-45707.303999999996</v>
      </c>
    </row>
    <row r="2325" spans="1:7" x14ac:dyDescent="0.2">
      <c r="A2325" s="26">
        <v>109</v>
      </c>
      <c r="B2325" s="26">
        <v>75</v>
      </c>
      <c r="C2325" s="26">
        <v>184</v>
      </c>
      <c r="D2325" s="26" t="s">
        <v>1694</v>
      </c>
      <c r="E2325" s="26">
        <v>-44226.631000000001</v>
      </c>
      <c r="F2325" s="26">
        <v>4.3319999999999999</v>
      </c>
      <c r="G2325" s="26">
        <f t="shared" si="36"/>
        <v>-44226.631000000001</v>
      </c>
    </row>
    <row r="2326" spans="1:7" x14ac:dyDescent="0.2">
      <c r="A2326" s="26">
        <v>108</v>
      </c>
      <c r="B2326" s="26">
        <v>76</v>
      </c>
      <c r="C2326" s="26">
        <v>184</v>
      </c>
      <c r="D2326" s="26" t="s">
        <v>1695</v>
      </c>
      <c r="E2326" s="26">
        <v>-44256.144999999997</v>
      </c>
      <c r="F2326" s="26">
        <v>1.304</v>
      </c>
      <c r="G2326" s="26">
        <f t="shared" si="36"/>
        <v>-44256.144999999997</v>
      </c>
    </row>
    <row r="2327" spans="1:7" x14ac:dyDescent="0.2">
      <c r="A2327" s="26">
        <v>107</v>
      </c>
      <c r="B2327" s="26">
        <v>77</v>
      </c>
      <c r="C2327" s="26">
        <v>184</v>
      </c>
      <c r="D2327" s="26" t="s">
        <v>1696</v>
      </c>
      <c r="E2327" s="26">
        <v>-39610.851000000002</v>
      </c>
      <c r="F2327" s="26">
        <v>27.945</v>
      </c>
      <c r="G2327" s="26">
        <f t="shared" si="36"/>
        <v>-39610.851000000002</v>
      </c>
    </row>
    <row r="2328" spans="1:7" x14ac:dyDescent="0.2">
      <c r="A2328" s="26">
        <v>106</v>
      </c>
      <c r="B2328" s="26">
        <v>78</v>
      </c>
      <c r="C2328" s="26">
        <v>184</v>
      </c>
      <c r="D2328" s="26" t="s">
        <v>1697</v>
      </c>
      <c r="E2328" s="26">
        <v>-37332.182999999997</v>
      </c>
      <c r="F2328" s="26">
        <v>18.126000000000001</v>
      </c>
      <c r="G2328" s="26">
        <f t="shared" si="36"/>
        <v>-37332.182999999997</v>
      </c>
    </row>
    <row r="2329" spans="1:7" x14ac:dyDescent="0.2">
      <c r="A2329" s="26">
        <v>105</v>
      </c>
      <c r="B2329" s="26">
        <v>79</v>
      </c>
      <c r="C2329" s="26">
        <v>184</v>
      </c>
      <c r="D2329" s="26" t="s">
        <v>1698</v>
      </c>
      <c r="E2329" s="26">
        <v>-30318.71</v>
      </c>
      <c r="F2329" s="26">
        <v>22.274999999999999</v>
      </c>
      <c r="G2329" s="26">
        <f t="shared" si="36"/>
        <v>-30318.71</v>
      </c>
    </row>
    <row r="2330" spans="1:7" x14ac:dyDescent="0.2">
      <c r="A2330" s="26">
        <v>104</v>
      </c>
      <c r="B2330" s="26">
        <v>80</v>
      </c>
      <c r="C2330" s="26">
        <v>184</v>
      </c>
      <c r="D2330" s="26" t="s">
        <v>1699</v>
      </c>
      <c r="E2330" s="26">
        <v>-26349.123</v>
      </c>
      <c r="F2330" s="26">
        <v>10.065</v>
      </c>
      <c r="G2330" s="26">
        <f t="shared" si="36"/>
        <v>-26349.123</v>
      </c>
    </row>
    <row r="2331" spans="1:7" x14ac:dyDescent="0.2">
      <c r="A2331" s="26">
        <v>103</v>
      </c>
      <c r="B2331" s="26">
        <v>81</v>
      </c>
      <c r="C2331" s="26">
        <v>184</v>
      </c>
      <c r="D2331" s="26" t="s">
        <v>1700</v>
      </c>
      <c r="E2331" s="26">
        <v>-16885.078000000001</v>
      </c>
      <c r="F2331" s="26">
        <v>49.317</v>
      </c>
      <c r="G2331" s="26">
        <f t="shared" si="36"/>
        <v>-16885.078000000001</v>
      </c>
    </row>
    <row r="2332" spans="1:7" x14ac:dyDescent="0.2">
      <c r="A2332" s="26">
        <v>102</v>
      </c>
      <c r="B2332" s="26">
        <v>82</v>
      </c>
      <c r="C2332" s="26">
        <v>184</v>
      </c>
      <c r="D2332" s="26" t="s">
        <v>1701</v>
      </c>
      <c r="E2332" s="26">
        <v>-11045.339</v>
      </c>
      <c r="F2332" s="26">
        <v>14.297000000000001</v>
      </c>
      <c r="G2332" s="26">
        <f t="shared" si="36"/>
        <v>-11045.339</v>
      </c>
    </row>
    <row r="2333" spans="1:7" x14ac:dyDescent="0.2">
      <c r="A2333" s="26">
        <v>101</v>
      </c>
      <c r="B2333" s="26">
        <v>83</v>
      </c>
      <c r="C2333" s="26">
        <v>184</v>
      </c>
      <c r="D2333" s="26" t="s">
        <v>1702</v>
      </c>
      <c r="E2333" s="26" t="s">
        <v>986</v>
      </c>
      <c r="F2333" s="26" t="s">
        <v>987</v>
      </c>
      <c r="G2333" s="26">
        <f t="shared" si="36"/>
        <v>1047.01</v>
      </c>
    </row>
    <row r="2334" spans="1:7" x14ac:dyDescent="0.2">
      <c r="A2334" s="26">
        <v>113</v>
      </c>
      <c r="B2334" s="26">
        <v>72</v>
      </c>
      <c r="C2334" s="26">
        <v>185</v>
      </c>
      <c r="D2334" s="26" t="s">
        <v>1691</v>
      </c>
      <c r="E2334" s="26" t="s">
        <v>988</v>
      </c>
      <c r="F2334" s="26" t="s">
        <v>1480</v>
      </c>
      <c r="G2334" s="26">
        <f t="shared" si="36"/>
        <v>-38359.01</v>
      </c>
    </row>
    <row r="2335" spans="1:7" x14ac:dyDescent="0.2">
      <c r="A2335" s="26">
        <v>112</v>
      </c>
      <c r="B2335" s="26">
        <v>73</v>
      </c>
      <c r="C2335" s="26">
        <v>185</v>
      </c>
      <c r="D2335" s="26" t="s">
        <v>1692</v>
      </c>
      <c r="E2335" s="26">
        <v>-41396.175999999999</v>
      </c>
      <c r="F2335" s="26">
        <v>14.170999999999999</v>
      </c>
      <c r="G2335" s="26">
        <f t="shared" si="36"/>
        <v>-41396.175999999999</v>
      </c>
    </row>
    <row r="2336" spans="1:7" x14ac:dyDescent="0.2">
      <c r="A2336" s="26">
        <v>111</v>
      </c>
      <c r="B2336" s="26">
        <v>74</v>
      </c>
      <c r="C2336" s="26">
        <v>185</v>
      </c>
      <c r="D2336" s="26" t="s">
        <v>1693</v>
      </c>
      <c r="E2336" s="26">
        <v>-43389.675999999999</v>
      </c>
      <c r="F2336" s="26">
        <v>0.90400000000000003</v>
      </c>
      <c r="G2336" s="26">
        <f t="shared" si="36"/>
        <v>-43389.675999999999</v>
      </c>
    </row>
    <row r="2337" spans="1:7" x14ac:dyDescent="0.2">
      <c r="A2337" s="26">
        <v>110</v>
      </c>
      <c r="B2337" s="26">
        <v>75</v>
      </c>
      <c r="C2337" s="26">
        <v>185</v>
      </c>
      <c r="D2337" s="26" t="s">
        <v>1694</v>
      </c>
      <c r="E2337" s="26">
        <v>-43822.152000000002</v>
      </c>
      <c r="F2337" s="26">
        <v>1.1930000000000001</v>
      </c>
      <c r="G2337" s="26">
        <f t="shared" si="36"/>
        <v>-43822.152000000002</v>
      </c>
    </row>
    <row r="2338" spans="1:7" x14ac:dyDescent="0.2">
      <c r="A2338" s="26">
        <v>109</v>
      </c>
      <c r="B2338" s="26">
        <v>76</v>
      </c>
      <c r="C2338" s="26">
        <v>185</v>
      </c>
      <c r="D2338" s="26" t="s">
        <v>1695</v>
      </c>
      <c r="E2338" s="26">
        <v>-42809.355000000003</v>
      </c>
      <c r="F2338" s="26">
        <v>1.274</v>
      </c>
      <c r="G2338" s="26">
        <f t="shared" si="36"/>
        <v>-42809.355000000003</v>
      </c>
    </row>
    <row r="2339" spans="1:7" x14ac:dyDescent="0.2">
      <c r="A2339" s="26">
        <v>108</v>
      </c>
      <c r="B2339" s="26">
        <v>77</v>
      </c>
      <c r="C2339" s="26">
        <v>185</v>
      </c>
      <c r="D2339" s="26" t="s">
        <v>1696</v>
      </c>
      <c r="E2339" s="26">
        <v>-40335.553999999996</v>
      </c>
      <c r="F2339" s="26">
        <v>27.945</v>
      </c>
      <c r="G2339" s="26">
        <f t="shared" si="36"/>
        <v>-40335.553999999996</v>
      </c>
    </row>
    <row r="2340" spans="1:7" x14ac:dyDescent="0.2">
      <c r="A2340" s="26">
        <v>107</v>
      </c>
      <c r="B2340" s="26">
        <v>78</v>
      </c>
      <c r="C2340" s="26">
        <v>185</v>
      </c>
      <c r="D2340" s="26" t="s">
        <v>1697</v>
      </c>
      <c r="E2340" s="26">
        <v>-36683.165999999997</v>
      </c>
      <c r="F2340" s="26">
        <v>40.985999999999997</v>
      </c>
      <c r="G2340" s="26">
        <f t="shared" si="36"/>
        <v>-36683.165999999997</v>
      </c>
    </row>
    <row r="2341" spans="1:7" x14ac:dyDescent="0.2">
      <c r="A2341" s="26">
        <v>106</v>
      </c>
      <c r="B2341" s="26">
        <v>79</v>
      </c>
      <c r="C2341" s="26">
        <v>185</v>
      </c>
      <c r="D2341" s="26" t="s">
        <v>1698</v>
      </c>
      <c r="E2341" s="26">
        <v>-31866.957999999999</v>
      </c>
      <c r="F2341" s="26">
        <v>26.027999999999999</v>
      </c>
      <c r="G2341" s="26">
        <f t="shared" si="36"/>
        <v>-31866.957999999999</v>
      </c>
    </row>
    <row r="2342" spans="1:7" x14ac:dyDescent="0.2">
      <c r="A2342" s="26">
        <v>105</v>
      </c>
      <c r="B2342" s="26">
        <v>80</v>
      </c>
      <c r="C2342" s="26">
        <v>185</v>
      </c>
      <c r="D2342" s="26" t="s">
        <v>1699</v>
      </c>
      <c r="E2342" s="26">
        <v>-26175.832999999999</v>
      </c>
      <c r="F2342" s="26">
        <v>15.536</v>
      </c>
      <c r="G2342" s="26">
        <f t="shared" si="36"/>
        <v>-26175.832999999999</v>
      </c>
    </row>
    <row r="2343" spans="1:7" x14ac:dyDescent="0.2">
      <c r="A2343" s="26">
        <v>104</v>
      </c>
      <c r="B2343" s="26">
        <v>81</v>
      </c>
      <c r="C2343" s="26">
        <v>185</v>
      </c>
      <c r="D2343" s="26" t="s">
        <v>1700</v>
      </c>
      <c r="E2343" s="26">
        <v>-19755.772000000001</v>
      </c>
      <c r="F2343" s="26">
        <v>53.88</v>
      </c>
      <c r="G2343" s="26">
        <f t="shared" si="36"/>
        <v>-19755.772000000001</v>
      </c>
    </row>
    <row r="2344" spans="1:7" x14ac:dyDescent="0.2">
      <c r="A2344" s="26">
        <v>103</v>
      </c>
      <c r="B2344" s="26">
        <v>82</v>
      </c>
      <c r="C2344" s="26">
        <v>185</v>
      </c>
      <c r="D2344" s="26" t="s">
        <v>1701</v>
      </c>
      <c r="E2344" s="26">
        <v>-11541.263000000001</v>
      </c>
      <c r="F2344" s="26">
        <v>16.175000000000001</v>
      </c>
      <c r="G2344" s="26">
        <f t="shared" si="36"/>
        <v>-11541.263000000001</v>
      </c>
    </row>
    <row r="2345" spans="1:7" x14ac:dyDescent="0.2">
      <c r="A2345" s="26">
        <v>102</v>
      </c>
      <c r="B2345" s="26">
        <v>83</v>
      </c>
      <c r="C2345" s="26">
        <v>185</v>
      </c>
      <c r="D2345" s="26" t="s">
        <v>1702</v>
      </c>
      <c r="E2345" s="26" t="s">
        <v>989</v>
      </c>
      <c r="F2345" s="26" t="s">
        <v>990</v>
      </c>
      <c r="G2345" s="26">
        <f t="shared" si="36"/>
        <v>-2213.0100000000002</v>
      </c>
    </row>
    <row r="2346" spans="1:7" x14ac:dyDescent="0.2">
      <c r="A2346" s="26">
        <v>114</v>
      </c>
      <c r="B2346" s="26">
        <v>72</v>
      </c>
      <c r="C2346" s="26">
        <v>186</v>
      </c>
      <c r="D2346" s="26" t="s">
        <v>1691</v>
      </c>
      <c r="E2346" s="26" t="s">
        <v>991</v>
      </c>
      <c r="F2346" s="26" t="s">
        <v>1730</v>
      </c>
      <c r="G2346" s="26">
        <f t="shared" si="36"/>
        <v>-36431.01</v>
      </c>
    </row>
    <row r="2347" spans="1:7" x14ac:dyDescent="0.2">
      <c r="A2347" s="26">
        <v>113</v>
      </c>
      <c r="B2347" s="26">
        <v>73</v>
      </c>
      <c r="C2347" s="26">
        <v>186</v>
      </c>
      <c r="D2347" s="26" t="s">
        <v>1692</v>
      </c>
      <c r="E2347" s="26">
        <v>-38608.542000000001</v>
      </c>
      <c r="F2347" s="26">
        <v>60.024999999999999</v>
      </c>
      <c r="G2347" s="26">
        <f t="shared" si="36"/>
        <v>-38608.542000000001</v>
      </c>
    </row>
    <row r="2348" spans="1:7" x14ac:dyDescent="0.2">
      <c r="A2348" s="26">
        <v>112</v>
      </c>
      <c r="B2348" s="26">
        <v>74</v>
      </c>
      <c r="C2348" s="26">
        <v>186</v>
      </c>
      <c r="D2348" s="26" t="s">
        <v>1693</v>
      </c>
      <c r="E2348" s="26">
        <v>-42509.542000000001</v>
      </c>
      <c r="F2348" s="26">
        <v>1.7490000000000001</v>
      </c>
      <c r="G2348" s="26">
        <f t="shared" si="36"/>
        <v>-42509.542000000001</v>
      </c>
    </row>
    <row r="2349" spans="1:7" x14ac:dyDescent="0.2">
      <c r="A2349" s="26">
        <v>111</v>
      </c>
      <c r="B2349" s="26">
        <v>75</v>
      </c>
      <c r="C2349" s="26">
        <v>186</v>
      </c>
      <c r="D2349" s="26" t="s">
        <v>1694</v>
      </c>
      <c r="E2349" s="26">
        <v>-41930.192000000003</v>
      </c>
      <c r="F2349" s="26">
        <v>1.202</v>
      </c>
      <c r="G2349" s="26">
        <f t="shared" si="36"/>
        <v>-41930.192000000003</v>
      </c>
    </row>
    <row r="2350" spans="1:7" x14ac:dyDescent="0.2">
      <c r="A2350" s="26">
        <v>110</v>
      </c>
      <c r="B2350" s="26">
        <v>76</v>
      </c>
      <c r="C2350" s="26">
        <v>186</v>
      </c>
      <c r="D2350" s="26" t="s">
        <v>1695</v>
      </c>
      <c r="E2350" s="26">
        <v>-42999.478999999999</v>
      </c>
      <c r="F2350" s="26">
        <v>1.38</v>
      </c>
      <c r="G2350" s="26">
        <f t="shared" si="36"/>
        <v>-42999.478999999999</v>
      </c>
    </row>
    <row r="2351" spans="1:7" x14ac:dyDescent="0.2">
      <c r="A2351" s="26">
        <v>109</v>
      </c>
      <c r="B2351" s="26">
        <v>77</v>
      </c>
      <c r="C2351" s="26">
        <v>186</v>
      </c>
      <c r="D2351" s="26" t="s">
        <v>1696</v>
      </c>
      <c r="E2351" s="26">
        <v>-39172.951999999997</v>
      </c>
      <c r="F2351" s="26">
        <v>16.526</v>
      </c>
      <c r="G2351" s="26">
        <f t="shared" si="36"/>
        <v>-39172.951999999997</v>
      </c>
    </row>
    <row r="2352" spans="1:7" x14ac:dyDescent="0.2">
      <c r="A2352" s="26">
        <v>108</v>
      </c>
      <c r="B2352" s="26">
        <v>78</v>
      </c>
      <c r="C2352" s="26">
        <v>186</v>
      </c>
      <c r="D2352" s="26" t="s">
        <v>1697</v>
      </c>
      <c r="E2352" s="26">
        <v>-37864.474000000002</v>
      </c>
      <c r="F2352" s="26">
        <v>21.745000000000001</v>
      </c>
      <c r="G2352" s="26">
        <f t="shared" si="36"/>
        <v>-37864.474000000002</v>
      </c>
    </row>
    <row r="2353" spans="1:7" x14ac:dyDescent="0.2">
      <c r="A2353" s="26">
        <v>107</v>
      </c>
      <c r="B2353" s="26">
        <v>79</v>
      </c>
      <c r="C2353" s="26">
        <v>186</v>
      </c>
      <c r="D2353" s="26" t="s">
        <v>1698</v>
      </c>
      <c r="E2353" s="26">
        <v>-31714.852999999999</v>
      </c>
      <c r="F2353" s="26">
        <v>20.966999999999999</v>
      </c>
      <c r="G2353" s="26">
        <f t="shared" si="36"/>
        <v>-31714.852999999999</v>
      </c>
    </row>
    <row r="2354" spans="1:7" x14ac:dyDescent="0.2">
      <c r="A2354" s="26">
        <v>106</v>
      </c>
      <c r="B2354" s="26">
        <v>80</v>
      </c>
      <c r="C2354" s="26">
        <v>186</v>
      </c>
      <c r="D2354" s="26" t="s">
        <v>1699</v>
      </c>
      <c r="E2354" s="26">
        <v>-28539.309000000001</v>
      </c>
      <c r="F2354" s="26">
        <v>11.247</v>
      </c>
      <c r="G2354" s="26">
        <f t="shared" si="36"/>
        <v>-28539.309000000001</v>
      </c>
    </row>
    <row r="2355" spans="1:7" x14ac:dyDescent="0.2">
      <c r="A2355" s="26">
        <v>105</v>
      </c>
      <c r="B2355" s="26">
        <v>81</v>
      </c>
      <c r="C2355" s="26">
        <v>186</v>
      </c>
      <c r="D2355" s="26" t="s">
        <v>1700</v>
      </c>
      <c r="E2355" s="26">
        <v>-20190.133000000002</v>
      </c>
      <c r="F2355" s="26">
        <v>184.43600000000001</v>
      </c>
      <c r="G2355" s="26">
        <f t="shared" si="36"/>
        <v>-20190.133000000002</v>
      </c>
    </row>
    <row r="2356" spans="1:7" x14ac:dyDescent="0.2">
      <c r="A2356" s="26">
        <v>104</v>
      </c>
      <c r="B2356" s="26">
        <v>82</v>
      </c>
      <c r="C2356" s="26">
        <v>186</v>
      </c>
      <c r="D2356" s="26" t="s">
        <v>1701</v>
      </c>
      <c r="E2356" s="26">
        <v>-14681.328</v>
      </c>
      <c r="F2356" s="26">
        <v>11.298</v>
      </c>
      <c r="G2356" s="26">
        <f t="shared" si="36"/>
        <v>-14681.328</v>
      </c>
    </row>
    <row r="2357" spans="1:7" x14ac:dyDescent="0.2">
      <c r="A2357" s="26">
        <v>103</v>
      </c>
      <c r="B2357" s="26">
        <v>83</v>
      </c>
      <c r="C2357" s="26">
        <v>186</v>
      </c>
      <c r="D2357" s="26" t="s">
        <v>1702</v>
      </c>
      <c r="E2357" s="26">
        <v>-3169.2910000000002</v>
      </c>
      <c r="F2357" s="26">
        <v>76.873000000000005</v>
      </c>
      <c r="G2357" s="26">
        <f t="shared" si="36"/>
        <v>-3169.2910000000002</v>
      </c>
    </row>
    <row r="2358" spans="1:7" x14ac:dyDescent="0.2">
      <c r="A2358" s="26">
        <v>115</v>
      </c>
      <c r="B2358" s="26">
        <v>72</v>
      </c>
      <c r="C2358" s="26">
        <v>187</v>
      </c>
      <c r="D2358" s="26" t="s">
        <v>1691</v>
      </c>
      <c r="E2358" s="26" t="s">
        <v>992</v>
      </c>
      <c r="F2358" s="26" t="s">
        <v>1723</v>
      </c>
      <c r="G2358" s="26">
        <f t="shared" si="36"/>
        <v>-32984.01</v>
      </c>
    </row>
    <row r="2359" spans="1:7" x14ac:dyDescent="0.2">
      <c r="A2359" s="26">
        <v>114</v>
      </c>
      <c r="B2359" s="26">
        <v>73</v>
      </c>
      <c r="C2359" s="26">
        <v>187</v>
      </c>
      <c r="D2359" s="26" t="s">
        <v>1692</v>
      </c>
      <c r="E2359" s="26" t="s">
        <v>993</v>
      </c>
      <c r="F2359" s="26" t="s">
        <v>1480</v>
      </c>
      <c r="G2359" s="26">
        <f t="shared" si="36"/>
        <v>-36766.01</v>
      </c>
    </row>
    <row r="2360" spans="1:7" x14ac:dyDescent="0.2">
      <c r="A2360" s="26">
        <v>113</v>
      </c>
      <c r="B2360" s="26">
        <v>74</v>
      </c>
      <c r="C2360" s="26">
        <v>187</v>
      </c>
      <c r="D2360" s="26" t="s">
        <v>1693</v>
      </c>
      <c r="E2360" s="26">
        <v>-39904.767999999996</v>
      </c>
      <c r="F2360" s="26">
        <v>1.748</v>
      </c>
      <c r="G2360" s="26">
        <f t="shared" si="36"/>
        <v>-39904.767999999996</v>
      </c>
    </row>
    <row r="2361" spans="1:7" x14ac:dyDescent="0.2">
      <c r="A2361" s="26">
        <v>112</v>
      </c>
      <c r="B2361" s="26">
        <v>75</v>
      </c>
      <c r="C2361" s="26">
        <v>187</v>
      </c>
      <c r="D2361" s="26" t="s">
        <v>1694</v>
      </c>
      <c r="E2361" s="26">
        <v>-41215.714</v>
      </c>
      <c r="F2361" s="26">
        <v>1.409</v>
      </c>
      <c r="G2361" s="26">
        <f t="shared" si="36"/>
        <v>-41215.714</v>
      </c>
    </row>
    <row r="2362" spans="1:7" x14ac:dyDescent="0.2">
      <c r="A2362" s="26">
        <v>111</v>
      </c>
      <c r="B2362" s="26">
        <v>76</v>
      </c>
      <c r="C2362" s="26">
        <v>187</v>
      </c>
      <c r="D2362" s="26" t="s">
        <v>1695</v>
      </c>
      <c r="E2362" s="26">
        <v>-41218.182999999997</v>
      </c>
      <c r="F2362" s="26">
        <v>1.409</v>
      </c>
      <c r="G2362" s="26">
        <f t="shared" si="36"/>
        <v>-41218.182999999997</v>
      </c>
    </row>
    <row r="2363" spans="1:7" x14ac:dyDescent="0.2">
      <c r="A2363" s="26">
        <v>110</v>
      </c>
      <c r="B2363" s="26">
        <v>77</v>
      </c>
      <c r="C2363" s="26">
        <v>187</v>
      </c>
      <c r="D2363" s="26" t="s">
        <v>1696</v>
      </c>
      <c r="E2363" s="26">
        <v>-39715.773999999998</v>
      </c>
      <c r="F2363" s="26">
        <v>6.1630000000000003</v>
      </c>
      <c r="G2363" s="26">
        <f t="shared" si="36"/>
        <v>-39715.773999999998</v>
      </c>
    </row>
    <row r="2364" spans="1:7" x14ac:dyDescent="0.2">
      <c r="A2364" s="26">
        <v>109</v>
      </c>
      <c r="B2364" s="26">
        <v>78</v>
      </c>
      <c r="C2364" s="26">
        <v>187</v>
      </c>
      <c r="D2364" s="26" t="s">
        <v>1697</v>
      </c>
      <c r="E2364" s="26">
        <v>-36712.972999999998</v>
      </c>
      <c r="F2364" s="26">
        <v>27.945</v>
      </c>
      <c r="G2364" s="26">
        <f t="shared" si="36"/>
        <v>-36712.972999999998</v>
      </c>
    </row>
    <row r="2365" spans="1:7" x14ac:dyDescent="0.2">
      <c r="A2365" s="26">
        <v>108</v>
      </c>
      <c r="B2365" s="26">
        <v>79</v>
      </c>
      <c r="C2365" s="26">
        <v>187</v>
      </c>
      <c r="D2365" s="26" t="s">
        <v>1698</v>
      </c>
      <c r="E2365" s="26">
        <v>-33005.122000000003</v>
      </c>
      <c r="F2365" s="26">
        <v>25.114999999999998</v>
      </c>
      <c r="G2365" s="26">
        <f t="shared" si="36"/>
        <v>-33005.122000000003</v>
      </c>
    </row>
    <row r="2366" spans="1:7" x14ac:dyDescent="0.2">
      <c r="A2366" s="26">
        <v>107</v>
      </c>
      <c r="B2366" s="26">
        <v>80</v>
      </c>
      <c r="C2366" s="26">
        <v>187</v>
      </c>
      <c r="D2366" s="26" t="s">
        <v>1699</v>
      </c>
      <c r="E2366" s="26">
        <v>-28117.858</v>
      </c>
      <c r="F2366" s="26">
        <v>13.923999999999999</v>
      </c>
      <c r="G2366" s="26">
        <f t="shared" si="36"/>
        <v>-28117.858</v>
      </c>
    </row>
    <row r="2367" spans="1:7" x14ac:dyDescent="0.2">
      <c r="A2367" s="26">
        <v>106</v>
      </c>
      <c r="B2367" s="26">
        <v>81</v>
      </c>
      <c r="C2367" s="26">
        <v>187</v>
      </c>
      <c r="D2367" s="26" t="s">
        <v>1700</v>
      </c>
      <c r="E2367" s="26">
        <v>-22443.511999999999</v>
      </c>
      <c r="F2367" s="26">
        <v>8.1069999999999993</v>
      </c>
      <c r="G2367" s="26">
        <f t="shared" si="36"/>
        <v>-22443.511999999999</v>
      </c>
    </row>
    <row r="2368" spans="1:7" x14ac:dyDescent="0.2">
      <c r="A2368" s="26">
        <v>105</v>
      </c>
      <c r="B2368" s="26">
        <v>82</v>
      </c>
      <c r="C2368" s="26">
        <v>187</v>
      </c>
      <c r="D2368" s="26" t="s">
        <v>1701</v>
      </c>
      <c r="E2368" s="26">
        <v>-14979.941000000001</v>
      </c>
      <c r="F2368" s="26">
        <v>8.2859999999999996</v>
      </c>
      <c r="G2368" s="26">
        <f t="shared" si="36"/>
        <v>-14979.941000000001</v>
      </c>
    </row>
    <row r="2369" spans="1:7" x14ac:dyDescent="0.2">
      <c r="A2369" s="26">
        <v>104</v>
      </c>
      <c r="B2369" s="26">
        <v>83</v>
      </c>
      <c r="C2369" s="26">
        <v>187</v>
      </c>
      <c r="D2369" s="26" t="s">
        <v>1702</v>
      </c>
      <c r="E2369" s="26">
        <v>-6373.4350000000004</v>
      </c>
      <c r="F2369" s="26">
        <v>15.353999999999999</v>
      </c>
      <c r="G2369" s="26">
        <f t="shared" si="36"/>
        <v>-6373.4350000000004</v>
      </c>
    </row>
    <row r="2370" spans="1:7" x14ac:dyDescent="0.2">
      <c r="A2370" s="26">
        <v>116</v>
      </c>
      <c r="B2370" s="26">
        <v>72</v>
      </c>
      <c r="C2370" s="26">
        <v>188</v>
      </c>
      <c r="D2370" s="26" t="s">
        <v>1691</v>
      </c>
      <c r="E2370" s="26" t="s">
        <v>994</v>
      </c>
      <c r="F2370" s="26" t="s">
        <v>1728</v>
      </c>
      <c r="G2370" s="26">
        <f t="shared" si="36"/>
        <v>-30879.01</v>
      </c>
    </row>
    <row r="2371" spans="1:7" x14ac:dyDescent="0.2">
      <c r="A2371" s="26">
        <v>115</v>
      </c>
      <c r="B2371" s="26">
        <v>73</v>
      </c>
      <c r="C2371" s="26">
        <v>188</v>
      </c>
      <c r="D2371" s="26" t="s">
        <v>1692</v>
      </c>
      <c r="E2371" s="26" t="s">
        <v>995</v>
      </c>
      <c r="F2371" s="26" t="s">
        <v>1480</v>
      </c>
      <c r="G2371" s="26">
        <f t="shared" si="36"/>
        <v>-33813.01</v>
      </c>
    </row>
    <row r="2372" spans="1:7" x14ac:dyDescent="0.2">
      <c r="A2372" s="26">
        <v>114</v>
      </c>
      <c r="B2372" s="26">
        <v>74</v>
      </c>
      <c r="C2372" s="26">
        <v>188</v>
      </c>
      <c r="D2372" s="26" t="s">
        <v>1693</v>
      </c>
      <c r="E2372" s="26">
        <v>-38667.15</v>
      </c>
      <c r="F2372" s="26">
        <v>3.3170000000000002</v>
      </c>
      <c r="G2372" s="26">
        <f t="shared" si="36"/>
        <v>-38667.15</v>
      </c>
    </row>
    <row r="2373" spans="1:7" x14ac:dyDescent="0.2">
      <c r="A2373" s="26">
        <v>113</v>
      </c>
      <c r="B2373" s="26">
        <v>75</v>
      </c>
      <c r="C2373" s="26">
        <v>188</v>
      </c>
      <c r="D2373" s="26" t="s">
        <v>1694</v>
      </c>
      <c r="E2373" s="26">
        <v>-39016.15</v>
      </c>
      <c r="F2373" s="26">
        <v>1.4139999999999999</v>
      </c>
      <c r="G2373" s="26">
        <f t="shared" si="36"/>
        <v>-39016.15</v>
      </c>
    </row>
    <row r="2374" spans="1:7" x14ac:dyDescent="0.2">
      <c r="A2374" s="26">
        <v>112</v>
      </c>
      <c r="B2374" s="26">
        <v>76</v>
      </c>
      <c r="C2374" s="26">
        <v>188</v>
      </c>
      <c r="D2374" s="26" t="s">
        <v>1695</v>
      </c>
      <c r="E2374" s="26">
        <v>-41136.425999999999</v>
      </c>
      <c r="F2374" s="26">
        <v>1.4139999999999999</v>
      </c>
      <c r="G2374" s="26">
        <f t="shared" si="36"/>
        <v>-41136.425999999999</v>
      </c>
    </row>
    <row r="2375" spans="1:7" x14ac:dyDescent="0.2">
      <c r="A2375" s="26">
        <v>111</v>
      </c>
      <c r="B2375" s="26">
        <v>77</v>
      </c>
      <c r="C2375" s="26">
        <v>188</v>
      </c>
      <c r="D2375" s="26" t="s">
        <v>1696</v>
      </c>
      <c r="E2375" s="26">
        <v>-38328.071000000004</v>
      </c>
      <c r="F2375" s="26">
        <v>6.9939999999999998</v>
      </c>
      <c r="G2375" s="26">
        <f t="shared" si="36"/>
        <v>-38328.071000000004</v>
      </c>
    </row>
    <row r="2376" spans="1:7" x14ac:dyDescent="0.2">
      <c r="A2376" s="26">
        <v>110</v>
      </c>
      <c r="B2376" s="26">
        <v>78</v>
      </c>
      <c r="C2376" s="26">
        <v>188</v>
      </c>
      <c r="D2376" s="26" t="s">
        <v>1697</v>
      </c>
      <c r="E2376" s="26">
        <v>-37822.949999999997</v>
      </c>
      <c r="F2376" s="26">
        <v>5.3849999999999998</v>
      </c>
      <c r="G2376" s="26">
        <f t="shared" si="36"/>
        <v>-37822.949999999997</v>
      </c>
    </row>
    <row r="2377" spans="1:7" x14ac:dyDescent="0.2">
      <c r="A2377" s="26">
        <v>109</v>
      </c>
      <c r="B2377" s="26">
        <v>79</v>
      </c>
      <c r="C2377" s="26">
        <v>188</v>
      </c>
      <c r="D2377" s="26" t="s">
        <v>1698</v>
      </c>
      <c r="E2377" s="26">
        <v>-32300.802</v>
      </c>
      <c r="F2377" s="26">
        <v>20.387</v>
      </c>
      <c r="G2377" s="26">
        <f t="shared" si="36"/>
        <v>-32300.802</v>
      </c>
    </row>
    <row r="2378" spans="1:7" x14ac:dyDescent="0.2">
      <c r="A2378" s="26">
        <v>108</v>
      </c>
      <c r="B2378" s="26">
        <v>80</v>
      </c>
      <c r="C2378" s="26">
        <v>188</v>
      </c>
      <c r="D2378" s="26" t="s">
        <v>1699</v>
      </c>
      <c r="E2378" s="26">
        <v>-30201.784</v>
      </c>
      <c r="F2378" s="26">
        <v>11.532</v>
      </c>
      <c r="G2378" s="26">
        <f t="shared" ref="G2378:G2441" si="37">IF(ISNUMBER(E2378),E2378,VALUE(SUBSTITUTE(E2378,"#",".01")))</f>
        <v>-30201.784</v>
      </c>
    </row>
    <row r="2379" spans="1:7" x14ac:dyDescent="0.2">
      <c r="A2379" s="26">
        <v>107</v>
      </c>
      <c r="B2379" s="26">
        <v>81</v>
      </c>
      <c r="C2379" s="26">
        <v>188</v>
      </c>
      <c r="D2379" s="26" t="s">
        <v>1700</v>
      </c>
      <c r="E2379" s="26">
        <v>-22346.743999999999</v>
      </c>
      <c r="F2379" s="26">
        <v>32.609000000000002</v>
      </c>
      <c r="G2379" s="26">
        <f t="shared" si="37"/>
        <v>-22346.743999999999</v>
      </c>
    </row>
    <row r="2380" spans="1:7" x14ac:dyDescent="0.2">
      <c r="A2380" s="26">
        <v>106</v>
      </c>
      <c r="B2380" s="26">
        <v>82</v>
      </c>
      <c r="C2380" s="26">
        <v>188</v>
      </c>
      <c r="D2380" s="26" t="s">
        <v>1701</v>
      </c>
      <c r="E2380" s="26">
        <v>-17815.438999999998</v>
      </c>
      <c r="F2380" s="26">
        <v>10.625999999999999</v>
      </c>
      <c r="G2380" s="26">
        <f t="shared" si="37"/>
        <v>-17815.438999999998</v>
      </c>
    </row>
    <row r="2381" spans="1:7" x14ac:dyDescent="0.2">
      <c r="A2381" s="26">
        <v>105</v>
      </c>
      <c r="B2381" s="26">
        <v>83</v>
      </c>
      <c r="C2381" s="26">
        <v>188</v>
      </c>
      <c r="D2381" s="26" t="s">
        <v>1702</v>
      </c>
      <c r="E2381" s="26">
        <v>-7204.9620000000004</v>
      </c>
      <c r="F2381" s="26">
        <v>49.811999999999998</v>
      </c>
      <c r="G2381" s="26">
        <f t="shared" si="37"/>
        <v>-7204.9620000000004</v>
      </c>
    </row>
    <row r="2382" spans="1:7" x14ac:dyDescent="0.2">
      <c r="A2382" s="26">
        <v>104</v>
      </c>
      <c r="B2382" s="26">
        <v>84</v>
      </c>
      <c r="C2382" s="26">
        <v>188</v>
      </c>
      <c r="D2382" s="26" t="s">
        <v>1703</v>
      </c>
      <c r="E2382" s="26">
        <v>-538.35900000000004</v>
      </c>
      <c r="F2382" s="26">
        <v>19.419</v>
      </c>
      <c r="G2382" s="26">
        <f t="shared" si="37"/>
        <v>-538.35900000000004</v>
      </c>
    </row>
    <row r="2383" spans="1:7" x14ac:dyDescent="0.2">
      <c r="A2383" s="26">
        <v>116</v>
      </c>
      <c r="B2383" s="26">
        <v>73</v>
      </c>
      <c r="C2383" s="26">
        <v>189</v>
      </c>
      <c r="D2383" s="26" t="s">
        <v>1692</v>
      </c>
      <c r="E2383" s="26" t="s">
        <v>996</v>
      </c>
      <c r="F2383" s="26" t="s">
        <v>1730</v>
      </c>
      <c r="G2383" s="26">
        <f t="shared" si="37"/>
        <v>-31829.01</v>
      </c>
    </row>
    <row r="2384" spans="1:7" x14ac:dyDescent="0.2">
      <c r="A2384" s="26">
        <v>115</v>
      </c>
      <c r="B2384" s="26">
        <v>74</v>
      </c>
      <c r="C2384" s="26">
        <v>189</v>
      </c>
      <c r="D2384" s="26" t="s">
        <v>1693</v>
      </c>
      <c r="E2384" s="26">
        <v>-35477.934999999998</v>
      </c>
      <c r="F2384" s="26">
        <v>200.172</v>
      </c>
      <c r="G2384" s="26">
        <f t="shared" si="37"/>
        <v>-35477.934999999998</v>
      </c>
    </row>
    <row r="2385" spans="1:7" x14ac:dyDescent="0.2">
      <c r="A2385" s="26">
        <v>114</v>
      </c>
      <c r="B2385" s="26">
        <v>75</v>
      </c>
      <c r="C2385" s="26">
        <v>189</v>
      </c>
      <c r="D2385" s="26" t="s">
        <v>1694</v>
      </c>
      <c r="E2385" s="26">
        <v>-37977.934999999998</v>
      </c>
      <c r="F2385" s="26">
        <v>8.2970000000000006</v>
      </c>
      <c r="G2385" s="26">
        <f t="shared" si="37"/>
        <v>-37977.934999999998</v>
      </c>
    </row>
    <row r="2386" spans="1:7" x14ac:dyDescent="0.2">
      <c r="A2386" s="26">
        <v>113</v>
      </c>
      <c r="B2386" s="26">
        <v>76</v>
      </c>
      <c r="C2386" s="26">
        <v>189</v>
      </c>
      <c r="D2386" s="26" t="s">
        <v>1695</v>
      </c>
      <c r="E2386" s="26">
        <v>-38985.379999999997</v>
      </c>
      <c r="F2386" s="26">
        <v>1.4650000000000001</v>
      </c>
      <c r="G2386" s="26">
        <f t="shared" si="37"/>
        <v>-38985.379999999997</v>
      </c>
    </row>
    <row r="2387" spans="1:7" x14ac:dyDescent="0.2">
      <c r="A2387" s="26">
        <v>112</v>
      </c>
      <c r="B2387" s="26">
        <v>77</v>
      </c>
      <c r="C2387" s="26">
        <v>189</v>
      </c>
      <c r="D2387" s="26" t="s">
        <v>1696</v>
      </c>
      <c r="E2387" s="26">
        <v>-38453.063999999998</v>
      </c>
      <c r="F2387" s="26">
        <v>12.743</v>
      </c>
      <c r="G2387" s="26">
        <f t="shared" si="37"/>
        <v>-38453.063999999998</v>
      </c>
    </row>
    <row r="2388" spans="1:7" x14ac:dyDescent="0.2">
      <c r="A2388" s="26">
        <v>111</v>
      </c>
      <c r="B2388" s="26">
        <v>78</v>
      </c>
      <c r="C2388" s="26">
        <v>189</v>
      </c>
      <c r="D2388" s="26" t="s">
        <v>1697</v>
      </c>
      <c r="E2388" s="26">
        <v>-36483.186000000002</v>
      </c>
      <c r="F2388" s="26">
        <v>11.175000000000001</v>
      </c>
      <c r="G2388" s="26">
        <f t="shared" si="37"/>
        <v>-36483.186000000002</v>
      </c>
    </row>
    <row r="2389" spans="1:7" x14ac:dyDescent="0.2">
      <c r="A2389" s="26">
        <v>110</v>
      </c>
      <c r="B2389" s="26">
        <v>79</v>
      </c>
      <c r="C2389" s="26">
        <v>189</v>
      </c>
      <c r="D2389" s="26" t="s">
        <v>1698</v>
      </c>
      <c r="E2389" s="26">
        <v>-33581.955000000002</v>
      </c>
      <c r="F2389" s="26">
        <v>20.081</v>
      </c>
      <c r="G2389" s="26">
        <f t="shared" si="37"/>
        <v>-33581.955000000002</v>
      </c>
    </row>
    <row r="2390" spans="1:7" x14ac:dyDescent="0.2">
      <c r="A2390" s="26">
        <v>109</v>
      </c>
      <c r="B2390" s="26">
        <v>80</v>
      </c>
      <c r="C2390" s="26">
        <v>189</v>
      </c>
      <c r="D2390" s="26" t="s">
        <v>1699</v>
      </c>
      <c r="E2390" s="26">
        <v>-29630.792000000001</v>
      </c>
      <c r="F2390" s="26">
        <v>33.412999999999997</v>
      </c>
      <c r="G2390" s="26">
        <f t="shared" si="37"/>
        <v>-29630.792000000001</v>
      </c>
    </row>
    <row r="2391" spans="1:7" x14ac:dyDescent="0.2">
      <c r="A2391" s="26">
        <v>108</v>
      </c>
      <c r="B2391" s="26">
        <v>81</v>
      </c>
      <c r="C2391" s="26">
        <v>189</v>
      </c>
      <c r="D2391" s="26" t="s">
        <v>1700</v>
      </c>
      <c r="E2391" s="26">
        <v>-24602.221000000001</v>
      </c>
      <c r="F2391" s="26">
        <v>10.891</v>
      </c>
      <c r="G2391" s="26">
        <f t="shared" si="37"/>
        <v>-24602.221000000001</v>
      </c>
    </row>
    <row r="2392" spans="1:7" x14ac:dyDescent="0.2">
      <c r="A2392" s="26">
        <v>107</v>
      </c>
      <c r="B2392" s="26">
        <v>82</v>
      </c>
      <c r="C2392" s="26">
        <v>189</v>
      </c>
      <c r="D2392" s="26" t="s">
        <v>1701</v>
      </c>
      <c r="E2392" s="26">
        <v>-17878.165000000001</v>
      </c>
      <c r="F2392" s="26">
        <v>34.465000000000003</v>
      </c>
      <c r="G2392" s="26">
        <f t="shared" si="37"/>
        <v>-17878.165000000001</v>
      </c>
    </row>
    <row r="2393" spans="1:7" x14ac:dyDescent="0.2">
      <c r="A2393" s="26">
        <v>106</v>
      </c>
      <c r="B2393" s="26">
        <v>83</v>
      </c>
      <c r="C2393" s="26">
        <v>189</v>
      </c>
      <c r="D2393" s="26" t="s">
        <v>1702</v>
      </c>
      <c r="E2393" s="26">
        <v>-10061.055</v>
      </c>
      <c r="F2393" s="26">
        <v>53.953000000000003</v>
      </c>
      <c r="G2393" s="26">
        <f t="shared" si="37"/>
        <v>-10061.055</v>
      </c>
    </row>
    <row r="2394" spans="1:7" x14ac:dyDescent="0.2">
      <c r="A2394" s="26">
        <v>105</v>
      </c>
      <c r="B2394" s="26">
        <v>84</v>
      </c>
      <c r="C2394" s="26">
        <v>189</v>
      </c>
      <c r="D2394" s="26" t="s">
        <v>1703</v>
      </c>
      <c r="E2394" s="26">
        <v>-1415.347</v>
      </c>
      <c r="F2394" s="26">
        <v>22.06</v>
      </c>
      <c r="G2394" s="26">
        <f t="shared" si="37"/>
        <v>-1415.347</v>
      </c>
    </row>
    <row r="2395" spans="1:7" x14ac:dyDescent="0.2">
      <c r="A2395" s="26">
        <v>117</v>
      </c>
      <c r="B2395" s="26">
        <v>73</v>
      </c>
      <c r="C2395" s="26">
        <v>190</v>
      </c>
      <c r="D2395" s="26" t="s">
        <v>1692</v>
      </c>
      <c r="E2395" s="26" t="s">
        <v>997</v>
      </c>
      <c r="F2395" s="26" t="s">
        <v>1723</v>
      </c>
      <c r="G2395" s="26">
        <f t="shared" si="37"/>
        <v>-28662.01</v>
      </c>
    </row>
    <row r="2396" spans="1:7" x14ac:dyDescent="0.2">
      <c r="A2396" s="26">
        <v>116</v>
      </c>
      <c r="B2396" s="26">
        <v>74</v>
      </c>
      <c r="C2396" s="26">
        <v>190</v>
      </c>
      <c r="D2396" s="26" t="s">
        <v>1693</v>
      </c>
      <c r="E2396" s="26">
        <v>-34296.326000000001</v>
      </c>
      <c r="F2396" s="26">
        <v>164.84800000000001</v>
      </c>
      <c r="G2396" s="26">
        <f t="shared" si="37"/>
        <v>-34296.326000000001</v>
      </c>
    </row>
    <row r="2397" spans="1:7" x14ac:dyDescent="0.2">
      <c r="A2397" s="26">
        <v>115</v>
      </c>
      <c r="B2397" s="26">
        <v>75</v>
      </c>
      <c r="C2397" s="26">
        <v>190</v>
      </c>
      <c r="D2397" s="26" t="s">
        <v>1694</v>
      </c>
      <c r="E2397" s="26">
        <v>-35566.326000000001</v>
      </c>
      <c r="F2397" s="26">
        <v>149.24799999999999</v>
      </c>
      <c r="G2397" s="26">
        <f t="shared" si="37"/>
        <v>-35566.326000000001</v>
      </c>
    </row>
    <row r="2398" spans="1:7" x14ac:dyDescent="0.2">
      <c r="A2398" s="26">
        <v>114</v>
      </c>
      <c r="B2398" s="26">
        <v>76</v>
      </c>
      <c r="C2398" s="26">
        <v>190</v>
      </c>
      <c r="D2398" s="26" t="s">
        <v>1695</v>
      </c>
      <c r="E2398" s="26">
        <v>-38706.326000000001</v>
      </c>
      <c r="F2398" s="26">
        <v>1.472</v>
      </c>
      <c r="G2398" s="26">
        <f t="shared" si="37"/>
        <v>-38706.326000000001</v>
      </c>
    </row>
    <row r="2399" spans="1:7" x14ac:dyDescent="0.2">
      <c r="A2399" s="26">
        <v>113</v>
      </c>
      <c r="B2399" s="26">
        <v>77</v>
      </c>
      <c r="C2399" s="26">
        <v>190</v>
      </c>
      <c r="D2399" s="26" t="s">
        <v>1696</v>
      </c>
      <c r="E2399" s="26">
        <v>-36751.194000000003</v>
      </c>
      <c r="F2399" s="26">
        <v>1.7150000000000001</v>
      </c>
      <c r="G2399" s="26">
        <f t="shared" si="37"/>
        <v>-36751.194000000003</v>
      </c>
    </row>
    <row r="2400" spans="1:7" x14ac:dyDescent="0.2">
      <c r="A2400" s="26">
        <v>112</v>
      </c>
      <c r="B2400" s="26">
        <v>78</v>
      </c>
      <c r="C2400" s="26">
        <v>190</v>
      </c>
      <c r="D2400" s="26" t="s">
        <v>1697</v>
      </c>
      <c r="E2400" s="26">
        <v>-37323.421999999999</v>
      </c>
      <c r="F2400" s="26">
        <v>5.7050000000000001</v>
      </c>
      <c r="G2400" s="26">
        <f t="shared" si="37"/>
        <v>-37323.421999999999</v>
      </c>
    </row>
    <row r="2401" spans="1:7" x14ac:dyDescent="0.2">
      <c r="A2401" s="26">
        <v>111</v>
      </c>
      <c r="B2401" s="26">
        <v>79</v>
      </c>
      <c r="C2401" s="26">
        <v>190</v>
      </c>
      <c r="D2401" s="26" t="s">
        <v>1698</v>
      </c>
      <c r="E2401" s="26">
        <v>-32881.421999999999</v>
      </c>
      <c r="F2401" s="26">
        <v>16.047999999999998</v>
      </c>
      <c r="G2401" s="26">
        <f t="shared" si="37"/>
        <v>-32881.421999999999</v>
      </c>
    </row>
    <row r="2402" spans="1:7" x14ac:dyDescent="0.2">
      <c r="A2402" s="26">
        <v>110</v>
      </c>
      <c r="B2402" s="26">
        <v>80</v>
      </c>
      <c r="C2402" s="26">
        <v>190</v>
      </c>
      <c r="D2402" s="26" t="s">
        <v>1699</v>
      </c>
      <c r="E2402" s="26">
        <v>-31370.436000000002</v>
      </c>
      <c r="F2402" s="26">
        <v>15.919</v>
      </c>
      <c r="G2402" s="26">
        <f t="shared" si="37"/>
        <v>-31370.436000000002</v>
      </c>
    </row>
    <row r="2403" spans="1:7" x14ac:dyDescent="0.2">
      <c r="A2403" s="26">
        <v>109</v>
      </c>
      <c r="B2403" s="26">
        <v>81</v>
      </c>
      <c r="C2403" s="26">
        <v>190</v>
      </c>
      <c r="D2403" s="26" t="s">
        <v>1700</v>
      </c>
      <c r="E2403" s="26">
        <v>-24333.278999999999</v>
      </c>
      <c r="F2403" s="26">
        <v>49.436</v>
      </c>
      <c r="G2403" s="26">
        <f t="shared" si="37"/>
        <v>-24333.278999999999</v>
      </c>
    </row>
    <row r="2404" spans="1:7" x14ac:dyDescent="0.2">
      <c r="A2404" s="26">
        <v>108</v>
      </c>
      <c r="B2404" s="26">
        <v>82</v>
      </c>
      <c r="C2404" s="26">
        <v>190</v>
      </c>
      <c r="D2404" s="26" t="s">
        <v>1701</v>
      </c>
      <c r="E2404" s="26">
        <v>-20416.935000000001</v>
      </c>
      <c r="F2404" s="26">
        <v>12.138999999999999</v>
      </c>
      <c r="G2404" s="26">
        <f t="shared" si="37"/>
        <v>-20416.935000000001</v>
      </c>
    </row>
    <row r="2405" spans="1:7" x14ac:dyDescent="0.2">
      <c r="A2405" s="26">
        <v>107</v>
      </c>
      <c r="B2405" s="26">
        <v>83</v>
      </c>
      <c r="C2405" s="26">
        <v>190</v>
      </c>
      <c r="D2405" s="26" t="s">
        <v>1702</v>
      </c>
      <c r="E2405" s="26">
        <v>-10903.017</v>
      </c>
      <c r="F2405" s="26">
        <v>184.50399999999999</v>
      </c>
      <c r="G2405" s="26">
        <f t="shared" si="37"/>
        <v>-10903.017</v>
      </c>
    </row>
    <row r="2406" spans="1:7" x14ac:dyDescent="0.2">
      <c r="A2406" s="26">
        <v>106</v>
      </c>
      <c r="B2406" s="26">
        <v>84</v>
      </c>
      <c r="C2406" s="26">
        <v>190</v>
      </c>
      <c r="D2406" s="26" t="s">
        <v>1703</v>
      </c>
      <c r="E2406" s="26">
        <v>-4563.2169999999996</v>
      </c>
      <c r="F2406" s="26">
        <v>13.41</v>
      </c>
      <c r="G2406" s="26">
        <f t="shared" si="37"/>
        <v>-4563.2169999999996</v>
      </c>
    </row>
    <row r="2407" spans="1:7" x14ac:dyDescent="0.2">
      <c r="A2407" s="26">
        <v>117</v>
      </c>
      <c r="B2407" s="26">
        <v>74</v>
      </c>
      <c r="C2407" s="26">
        <v>191</v>
      </c>
      <c r="D2407" s="26" t="s">
        <v>1693</v>
      </c>
      <c r="E2407" s="26" t="s">
        <v>998</v>
      </c>
      <c r="F2407" s="26" t="s">
        <v>1480</v>
      </c>
      <c r="G2407" s="26">
        <f t="shared" si="37"/>
        <v>-31112.01</v>
      </c>
    </row>
    <row r="2408" spans="1:7" x14ac:dyDescent="0.2">
      <c r="A2408" s="26">
        <v>116</v>
      </c>
      <c r="B2408" s="26">
        <v>75</v>
      </c>
      <c r="C2408" s="26">
        <v>191</v>
      </c>
      <c r="D2408" s="26" t="s">
        <v>1694</v>
      </c>
      <c r="E2408" s="26">
        <v>-34348.616000000002</v>
      </c>
      <c r="F2408" s="26">
        <v>10.321</v>
      </c>
      <c r="G2408" s="26">
        <f t="shared" si="37"/>
        <v>-34348.616000000002</v>
      </c>
    </row>
    <row r="2409" spans="1:7" x14ac:dyDescent="0.2">
      <c r="A2409" s="26">
        <v>115</v>
      </c>
      <c r="B2409" s="26">
        <v>76</v>
      </c>
      <c r="C2409" s="26">
        <v>191</v>
      </c>
      <c r="D2409" s="26" t="s">
        <v>1695</v>
      </c>
      <c r="E2409" s="26">
        <v>-36393.733</v>
      </c>
      <c r="F2409" s="26">
        <v>1.474</v>
      </c>
      <c r="G2409" s="26">
        <f t="shared" si="37"/>
        <v>-36393.733</v>
      </c>
    </row>
    <row r="2410" spans="1:7" x14ac:dyDescent="0.2">
      <c r="A2410" s="26">
        <v>114</v>
      </c>
      <c r="B2410" s="26">
        <v>77</v>
      </c>
      <c r="C2410" s="26">
        <v>191</v>
      </c>
      <c r="D2410" s="26" t="s">
        <v>1696</v>
      </c>
      <c r="E2410" s="26">
        <v>-36706.409</v>
      </c>
      <c r="F2410" s="26">
        <v>1.6679999999999999</v>
      </c>
      <c r="G2410" s="26">
        <f t="shared" si="37"/>
        <v>-36706.409</v>
      </c>
    </row>
    <row r="2411" spans="1:7" x14ac:dyDescent="0.2">
      <c r="A2411" s="26">
        <v>113</v>
      </c>
      <c r="B2411" s="26">
        <v>78</v>
      </c>
      <c r="C2411" s="26">
        <v>191</v>
      </c>
      <c r="D2411" s="26" t="s">
        <v>1697</v>
      </c>
      <c r="E2411" s="26">
        <v>-35697.96</v>
      </c>
      <c r="F2411" s="26">
        <v>4.367</v>
      </c>
      <c r="G2411" s="26">
        <f t="shared" si="37"/>
        <v>-35697.96</v>
      </c>
    </row>
    <row r="2412" spans="1:7" x14ac:dyDescent="0.2">
      <c r="A2412" s="26">
        <v>112</v>
      </c>
      <c r="B2412" s="26">
        <v>79</v>
      </c>
      <c r="C2412" s="26">
        <v>191</v>
      </c>
      <c r="D2412" s="26" t="s">
        <v>1698</v>
      </c>
      <c r="E2412" s="26">
        <v>-33809.296999999999</v>
      </c>
      <c r="F2412" s="26">
        <v>37.031999999999996</v>
      </c>
      <c r="G2412" s="26">
        <f t="shared" si="37"/>
        <v>-33809.296999999999</v>
      </c>
    </row>
    <row r="2413" spans="1:7" x14ac:dyDescent="0.2">
      <c r="A2413" s="26">
        <v>111</v>
      </c>
      <c r="B2413" s="26">
        <v>80</v>
      </c>
      <c r="C2413" s="26">
        <v>191</v>
      </c>
      <c r="D2413" s="26" t="s">
        <v>1699</v>
      </c>
      <c r="E2413" s="26">
        <v>-30592.959999999999</v>
      </c>
      <c r="F2413" s="26">
        <v>22.59</v>
      </c>
      <c r="G2413" s="26">
        <f t="shared" si="37"/>
        <v>-30592.959999999999</v>
      </c>
    </row>
    <row r="2414" spans="1:7" x14ac:dyDescent="0.2">
      <c r="A2414" s="26">
        <v>110</v>
      </c>
      <c r="B2414" s="26">
        <v>81</v>
      </c>
      <c r="C2414" s="26">
        <v>191</v>
      </c>
      <c r="D2414" s="26" t="s">
        <v>1700</v>
      </c>
      <c r="E2414" s="26">
        <v>-26281.027999999998</v>
      </c>
      <c r="F2414" s="26">
        <v>7.569</v>
      </c>
      <c r="G2414" s="26">
        <f t="shared" si="37"/>
        <v>-26281.027999999998</v>
      </c>
    </row>
    <row r="2415" spans="1:7" x14ac:dyDescent="0.2">
      <c r="A2415" s="26">
        <v>109</v>
      </c>
      <c r="B2415" s="26">
        <v>82</v>
      </c>
      <c r="C2415" s="26">
        <v>191</v>
      </c>
      <c r="D2415" s="26" t="s">
        <v>1701</v>
      </c>
      <c r="E2415" s="26">
        <v>-20246.022000000001</v>
      </c>
      <c r="F2415" s="26">
        <v>39.122999999999998</v>
      </c>
      <c r="G2415" s="26">
        <f t="shared" si="37"/>
        <v>-20246.022000000001</v>
      </c>
    </row>
    <row r="2416" spans="1:7" x14ac:dyDescent="0.2">
      <c r="A2416" s="26">
        <v>108</v>
      </c>
      <c r="B2416" s="26">
        <v>83</v>
      </c>
      <c r="C2416" s="26">
        <v>191</v>
      </c>
      <c r="D2416" s="26" t="s">
        <v>1702</v>
      </c>
      <c r="E2416" s="26">
        <v>-13240.145</v>
      </c>
      <c r="F2416" s="26">
        <v>7.43</v>
      </c>
      <c r="G2416" s="26">
        <f t="shared" si="37"/>
        <v>-13240.145</v>
      </c>
    </row>
    <row r="2417" spans="1:7" x14ac:dyDescent="0.2">
      <c r="A2417" s="26">
        <v>107</v>
      </c>
      <c r="B2417" s="26">
        <v>84</v>
      </c>
      <c r="C2417" s="26">
        <v>191</v>
      </c>
      <c r="D2417" s="26" t="s">
        <v>1703</v>
      </c>
      <c r="E2417" s="26">
        <v>-5053.8339999999998</v>
      </c>
      <c r="F2417" s="26">
        <v>11.004</v>
      </c>
      <c r="G2417" s="26">
        <f t="shared" si="37"/>
        <v>-5053.8339999999998</v>
      </c>
    </row>
    <row r="2418" spans="1:7" x14ac:dyDescent="0.2">
      <c r="A2418" s="26">
        <v>118</v>
      </c>
      <c r="B2418" s="26">
        <v>74</v>
      </c>
      <c r="C2418" s="26">
        <v>192</v>
      </c>
      <c r="D2418" s="26" t="s">
        <v>1693</v>
      </c>
      <c r="E2418" s="26" t="s">
        <v>688</v>
      </c>
      <c r="F2418" s="26" t="s">
        <v>1505</v>
      </c>
      <c r="G2418" s="26">
        <f t="shared" si="37"/>
        <v>-29649.01</v>
      </c>
    </row>
    <row r="2419" spans="1:7" x14ac:dyDescent="0.2">
      <c r="A2419" s="26">
        <v>117</v>
      </c>
      <c r="B2419" s="26">
        <v>75</v>
      </c>
      <c r="C2419" s="26">
        <v>192</v>
      </c>
      <c r="D2419" s="26" t="s">
        <v>1694</v>
      </c>
      <c r="E2419" s="26" t="s">
        <v>1441</v>
      </c>
      <c r="F2419" s="26" t="s">
        <v>1480</v>
      </c>
      <c r="G2419" s="26">
        <f t="shared" si="37"/>
        <v>-31708.01</v>
      </c>
    </row>
    <row r="2420" spans="1:7" x14ac:dyDescent="0.2">
      <c r="A2420" s="26">
        <v>116</v>
      </c>
      <c r="B2420" s="26">
        <v>76</v>
      </c>
      <c r="C2420" s="26">
        <v>192</v>
      </c>
      <c r="D2420" s="26" t="s">
        <v>1695</v>
      </c>
      <c r="E2420" s="26">
        <v>-35880.506000000001</v>
      </c>
      <c r="F2420" s="26">
        <v>2.556</v>
      </c>
      <c r="G2420" s="26">
        <f t="shared" si="37"/>
        <v>-35880.506000000001</v>
      </c>
    </row>
    <row r="2421" spans="1:7" x14ac:dyDescent="0.2">
      <c r="A2421" s="26">
        <v>115</v>
      </c>
      <c r="B2421" s="26">
        <v>77</v>
      </c>
      <c r="C2421" s="26">
        <v>192</v>
      </c>
      <c r="D2421" s="26" t="s">
        <v>1696</v>
      </c>
      <c r="E2421" s="26">
        <v>-34833.207000000002</v>
      </c>
      <c r="F2421" s="26">
        <v>1.669</v>
      </c>
      <c r="G2421" s="26">
        <f t="shared" si="37"/>
        <v>-34833.207000000002</v>
      </c>
    </row>
    <row r="2422" spans="1:7" x14ac:dyDescent="0.2">
      <c r="A2422" s="26">
        <v>114</v>
      </c>
      <c r="B2422" s="26">
        <v>78</v>
      </c>
      <c r="C2422" s="26">
        <v>192</v>
      </c>
      <c r="D2422" s="26" t="s">
        <v>1697</v>
      </c>
      <c r="E2422" s="26">
        <v>-36292.864000000001</v>
      </c>
      <c r="F2422" s="26">
        <v>2.4700000000000002</v>
      </c>
      <c r="G2422" s="26">
        <f t="shared" si="37"/>
        <v>-36292.864000000001</v>
      </c>
    </row>
    <row r="2423" spans="1:7" x14ac:dyDescent="0.2">
      <c r="A2423" s="26">
        <v>113</v>
      </c>
      <c r="B2423" s="26">
        <v>79</v>
      </c>
      <c r="C2423" s="26">
        <v>192</v>
      </c>
      <c r="D2423" s="26" t="s">
        <v>1698</v>
      </c>
      <c r="E2423" s="26">
        <v>-32776.523000000001</v>
      </c>
      <c r="F2423" s="26">
        <v>15.811999999999999</v>
      </c>
      <c r="G2423" s="26">
        <f t="shared" si="37"/>
        <v>-32776.523000000001</v>
      </c>
    </row>
    <row r="2424" spans="1:7" x14ac:dyDescent="0.2">
      <c r="A2424" s="26">
        <v>112</v>
      </c>
      <c r="B2424" s="26">
        <v>80</v>
      </c>
      <c r="C2424" s="26">
        <v>192</v>
      </c>
      <c r="D2424" s="26" t="s">
        <v>1699</v>
      </c>
      <c r="E2424" s="26">
        <v>-32011.418000000001</v>
      </c>
      <c r="F2424" s="26">
        <v>15.551</v>
      </c>
      <c r="G2424" s="26">
        <f t="shared" si="37"/>
        <v>-32011.418000000001</v>
      </c>
    </row>
    <row r="2425" spans="1:7" x14ac:dyDescent="0.2">
      <c r="A2425" s="26">
        <v>111</v>
      </c>
      <c r="B2425" s="26">
        <v>81</v>
      </c>
      <c r="C2425" s="26">
        <v>192</v>
      </c>
      <c r="D2425" s="26" t="s">
        <v>1700</v>
      </c>
      <c r="E2425" s="26">
        <v>-25872.245999999999</v>
      </c>
      <c r="F2425" s="26">
        <v>31.670999999999999</v>
      </c>
      <c r="G2425" s="26">
        <f t="shared" si="37"/>
        <v>-25872.245999999999</v>
      </c>
    </row>
    <row r="2426" spans="1:7" x14ac:dyDescent="0.2">
      <c r="A2426" s="26">
        <v>110</v>
      </c>
      <c r="B2426" s="26">
        <v>82</v>
      </c>
      <c r="C2426" s="26">
        <v>192</v>
      </c>
      <c r="D2426" s="26" t="s">
        <v>1701</v>
      </c>
      <c r="E2426" s="26">
        <v>-22555.968000000001</v>
      </c>
      <c r="F2426" s="26">
        <v>12.612</v>
      </c>
      <c r="G2426" s="26">
        <f t="shared" si="37"/>
        <v>-22555.968000000001</v>
      </c>
    </row>
    <row r="2427" spans="1:7" x14ac:dyDescent="0.2">
      <c r="A2427" s="26">
        <v>109</v>
      </c>
      <c r="B2427" s="26">
        <v>83</v>
      </c>
      <c r="C2427" s="26">
        <v>192</v>
      </c>
      <c r="D2427" s="26" t="s">
        <v>1702</v>
      </c>
      <c r="E2427" s="26">
        <v>-13545.828</v>
      </c>
      <c r="F2427" s="26">
        <v>32.99</v>
      </c>
      <c r="G2427" s="26">
        <f t="shared" si="37"/>
        <v>-13545.828</v>
      </c>
    </row>
    <row r="2428" spans="1:7" x14ac:dyDescent="0.2">
      <c r="A2428" s="26">
        <v>108</v>
      </c>
      <c r="B2428" s="26">
        <v>84</v>
      </c>
      <c r="C2428" s="26">
        <v>192</v>
      </c>
      <c r="D2428" s="26" t="s">
        <v>1703</v>
      </c>
      <c r="E2428" s="26">
        <v>-8071.2569999999996</v>
      </c>
      <c r="F2428" s="26">
        <v>11.91</v>
      </c>
      <c r="G2428" s="26">
        <f t="shared" si="37"/>
        <v>-8071.2569999999996</v>
      </c>
    </row>
    <row r="2429" spans="1:7" x14ac:dyDescent="0.2">
      <c r="A2429" s="26">
        <v>118</v>
      </c>
      <c r="B2429" s="26">
        <v>75</v>
      </c>
      <c r="C2429" s="26">
        <v>193</v>
      </c>
      <c r="D2429" s="26" t="s">
        <v>1694</v>
      </c>
      <c r="E2429" s="26" t="s">
        <v>689</v>
      </c>
      <c r="F2429" s="26" t="s">
        <v>1480</v>
      </c>
      <c r="G2429" s="26">
        <f t="shared" si="37"/>
        <v>-30302.01</v>
      </c>
    </row>
    <row r="2430" spans="1:7" x14ac:dyDescent="0.2">
      <c r="A2430" s="26">
        <v>117</v>
      </c>
      <c r="B2430" s="26">
        <v>76</v>
      </c>
      <c r="C2430" s="26">
        <v>193</v>
      </c>
      <c r="D2430" s="26" t="s">
        <v>1695</v>
      </c>
      <c r="E2430" s="26">
        <v>-33392.603999999999</v>
      </c>
      <c r="F2430" s="26">
        <v>2.5609999999999999</v>
      </c>
      <c r="G2430" s="26">
        <f t="shared" si="37"/>
        <v>-33392.603999999999</v>
      </c>
    </row>
    <row r="2431" spans="1:7" x14ac:dyDescent="0.2">
      <c r="A2431" s="26">
        <v>116</v>
      </c>
      <c r="B2431" s="26">
        <v>77</v>
      </c>
      <c r="C2431" s="26">
        <v>193</v>
      </c>
      <c r="D2431" s="26" t="s">
        <v>1696</v>
      </c>
      <c r="E2431" s="26">
        <v>-34533.807999999997</v>
      </c>
      <c r="F2431" s="26">
        <v>1.6719999999999999</v>
      </c>
      <c r="G2431" s="26">
        <f t="shared" si="37"/>
        <v>-34533.807999999997</v>
      </c>
    </row>
    <row r="2432" spans="1:7" x14ac:dyDescent="0.2">
      <c r="A2432" s="26">
        <v>115</v>
      </c>
      <c r="B2432" s="26">
        <v>78</v>
      </c>
      <c r="C2432" s="26">
        <v>193</v>
      </c>
      <c r="D2432" s="26" t="s">
        <v>1697</v>
      </c>
      <c r="E2432" s="26">
        <v>-34477.014000000003</v>
      </c>
      <c r="F2432" s="26">
        <v>1.681</v>
      </c>
      <c r="G2432" s="26">
        <f t="shared" si="37"/>
        <v>-34477.014000000003</v>
      </c>
    </row>
    <row r="2433" spans="1:7" x14ac:dyDescent="0.2">
      <c r="A2433" s="26">
        <v>114</v>
      </c>
      <c r="B2433" s="26">
        <v>79</v>
      </c>
      <c r="C2433" s="26">
        <v>193</v>
      </c>
      <c r="D2433" s="26" t="s">
        <v>1698</v>
      </c>
      <c r="E2433" s="26">
        <v>-33394.324999999997</v>
      </c>
      <c r="F2433" s="26">
        <v>10.648</v>
      </c>
      <c r="G2433" s="26">
        <f t="shared" si="37"/>
        <v>-33394.324999999997</v>
      </c>
    </row>
    <row r="2434" spans="1:7" x14ac:dyDescent="0.2">
      <c r="A2434" s="26">
        <v>113</v>
      </c>
      <c r="B2434" s="26">
        <v>80</v>
      </c>
      <c r="C2434" s="26">
        <v>193</v>
      </c>
      <c r="D2434" s="26" t="s">
        <v>1699</v>
      </c>
      <c r="E2434" s="26">
        <v>-31050.960999999999</v>
      </c>
      <c r="F2434" s="26">
        <v>15.378</v>
      </c>
      <c r="G2434" s="26">
        <f t="shared" si="37"/>
        <v>-31050.960999999999</v>
      </c>
    </row>
    <row r="2435" spans="1:7" x14ac:dyDescent="0.2">
      <c r="A2435" s="26">
        <v>112</v>
      </c>
      <c r="B2435" s="26">
        <v>81</v>
      </c>
      <c r="C2435" s="26">
        <v>193</v>
      </c>
      <c r="D2435" s="26" t="s">
        <v>1700</v>
      </c>
      <c r="E2435" s="26">
        <v>-27318.856</v>
      </c>
      <c r="F2435" s="26">
        <v>110.848</v>
      </c>
      <c r="G2435" s="26">
        <f t="shared" si="37"/>
        <v>-27318.856</v>
      </c>
    </row>
    <row r="2436" spans="1:7" x14ac:dyDescent="0.2">
      <c r="A2436" s="26">
        <v>111</v>
      </c>
      <c r="B2436" s="26">
        <v>82</v>
      </c>
      <c r="C2436" s="26">
        <v>193</v>
      </c>
      <c r="D2436" s="26" t="s">
        <v>1701</v>
      </c>
      <c r="E2436" s="26">
        <v>-22194.49</v>
      </c>
      <c r="F2436" s="26">
        <v>49.576999999999998</v>
      </c>
      <c r="G2436" s="26">
        <f t="shared" si="37"/>
        <v>-22194.49</v>
      </c>
    </row>
    <row r="2437" spans="1:7" x14ac:dyDescent="0.2">
      <c r="A2437" s="26">
        <v>110</v>
      </c>
      <c r="B2437" s="26">
        <v>83</v>
      </c>
      <c r="C2437" s="26">
        <v>193</v>
      </c>
      <c r="D2437" s="26" t="s">
        <v>1702</v>
      </c>
      <c r="E2437" s="26">
        <v>-15872.870999999999</v>
      </c>
      <c r="F2437" s="26">
        <v>9.6199999999999992</v>
      </c>
      <c r="G2437" s="26">
        <f t="shared" si="37"/>
        <v>-15872.870999999999</v>
      </c>
    </row>
    <row r="2438" spans="1:7" x14ac:dyDescent="0.2">
      <c r="A2438" s="26">
        <v>109</v>
      </c>
      <c r="B2438" s="26">
        <v>84</v>
      </c>
      <c r="C2438" s="26">
        <v>193</v>
      </c>
      <c r="D2438" s="26" t="s">
        <v>1703</v>
      </c>
      <c r="E2438" s="26">
        <v>-8359.902</v>
      </c>
      <c r="F2438" s="26">
        <v>34.688000000000002</v>
      </c>
      <c r="G2438" s="26">
        <f t="shared" si="37"/>
        <v>-8359.902</v>
      </c>
    </row>
    <row r="2439" spans="1:7" x14ac:dyDescent="0.2">
      <c r="A2439" s="26">
        <v>108</v>
      </c>
      <c r="B2439" s="26">
        <v>85</v>
      </c>
      <c r="C2439" s="26">
        <v>193</v>
      </c>
      <c r="D2439" s="26" t="s">
        <v>1704</v>
      </c>
      <c r="E2439" s="26">
        <v>-146.13999999999999</v>
      </c>
      <c r="F2439" s="26">
        <v>54.286000000000001</v>
      </c>
      <c r="G2439" s="26">
        <f t="shared" si="37"/>
        <v>-146.13999999999999</v>
      </c>
    </row>
    <row r="2440" spans="1:7" x14ac:dyDescent="0.2">
      <c r="A2440" s="26">
        <v>119</v>
      </c>
      <c r="B2440" s="26">
        <v>75</v>
      </c>
      <c r="C2440" s="26">
        <v>194</v>
      </c>
      <c r="D2440" s="26" t="s">
        <v>1694</v>
      </c>
      <c r="E2440" s="26" t="s">
        <v>690</v>
      </c>
      <c r="F2440" s="26" t="s">
        <v>1730</v>
      </c>
      <c r="G2440" s="26">
        <f t="shared" si="37"/>
        <v>-27554.01</v>
      </c>
    </row>
    <row r="2441" spans="1:7" x14ac:dyDescent="0.2">
      <c r="A2441" s="26">
        <v>118</v>
      </c>
      <c r="B2441" s="26">
        <v>76</v>
      </c>
      <c r="C2441" s="26">
        <v>194</v>
      </c>
      <c r="D2441" s="26" t="s">
        <v>1695</v>
      </c>
      <c r="E2441" s="26">
        <v>-32432.681</v>
      </c>
      <c r="F2441" s="26">
        <v>2.609</v>
      </c>
      <c r="G2441" s="26">
        <f t="shared" si="37"/>
        <v>-32432.681</v>
      </c>
    </row>
    <row r="2442" spans="1:7" x14ac:dyDescent="0.2">
      <c r="A2442" s="26">
        <v>117</v>
      </c>
      <c r="B2442" s="26">
        <v>77</v>
      </c>
      <c r="C2442" s="26">
        <v>194</v>
      </c>
      <c r="D2442" s="26" t="s">
        <v>1696</v>
      </c>
      <c r="E2442" s="26">
        <v>-32529.280999999999</v>
      </c>
      <c r="F2442" s="26">
        <v>1.6759999999999999</v>
      </c>
      <c r="G2442" s="26">
        <f t="shared" ref="G2442:G2505" si="38">IF(ISNUMBER(E2442),E2442,VALUE(SUBSTITUTE(E2442,"#",".01")))</f>
        <v>-32529.280999999999</v>
      </c>
    </row>
    <row r="2443" spans="1:7" x14ac:dyDescent="0.2">
      <c r="A2443" s="26">
        <v>116</v>
      </c>
      <c r="B2443" s="26">
        <v>78</v>
      </c>
      <c r="C2443" s="26">
        <v>194</v>
      </c>
      <c r="D2443" s="26" t="s">
        <v>1697</v>
      </c>
      <c r="E2443" s="26">
        <v>-34763.120999999999</v>
      </c>
      <c r="F2443" s="26">
        <v>0.88400000000000001</v>
      </c>
      <c r="G2443" s="26">
        <f t="shared" si="38"/>
        <v>-34763.120999999999</v>
      </c>
    </row>
    <row r="2444" spans="1:7" x14ac:dyDescent="0.2">
      <c r="A2444" s="26">
        <v>115</v>
      </c>
      <c r="B2444" s="26">
        <v>79</v>
      </c>
      <c r="C2444" s="26">
        <v>194</v>
      </c>
      <c r="D2444" s="26" t="s">
        <v>1698</v>
      </c>
      <c r="E2444" s="26">
        <v>-32262.062000000002</v>
      </c>
      <c r="F2444" s="26">
        <v>10.202999999999999</v>
      </c>
      <c r="G2444" s="26">
        <f t="shared" si="38"/>
        <v>-32262.062000000002</v>
      </c>
    </row>
    <row r="2445" spans="1:7" x14ac:dyDescent="0.2">
      <c r="A2445" s="26">
        <v>114</v>
      </c>
      <c r="B2445" s="26">
        <v>80</v>
      </c>
      <c r="C2445" s="26">
        <v>194</v>
      </c>
      <c r="D2445" s="26" t="s">
        <v>1699</v>
      </c>
      <c r="E2445" s="26">
        <v>-32192.983</v>
      </c>
      <c r="F2445" s="26">
        <v>12.535</v>
      </c>
      <c r="G2445" s="26">
        <f t="shared" si="38"/>
        <v>-32192.983</v>
      </c>
    </row>
    <row r="2446" spans="1:7" x14ac:dyDescent="0.2">
      <c r="A2446" s="26">
        <v>113</v>
      </c>
      <c r="B2446" s="26">
        <v>81</v>
      </c>
      <c r="C2446" s="26">
        <v>194</v>
      </c>
      <c r="D2446" s="26" t="s">
        <v>1700</v>
      </c>
      <c r="E2446" s="26">
        <v>-26827.026999999998</v>
      </c>
      <c r="F2446" s="26">
        <v>135.06700000000001</v>
      </c>
      <c r="G2446" s="26">
        <f t="shared" si="38"/>
        <v>-26827.026999999998</v>
      </c>
    </row>
    <row r="2447" spans="1:7" x14ac:dyDescent="0.2">
      <c r="A2447" s="26">
        <v>112</v>
      </c>
      <c r="B2447" s="26">
        <v>82</v>
      </c>
      <c r="C2447" s="26">
        <v>194</v>
      </c>
      <c r="D2447" s="26" t="s">
        <v>1701</v>
      </c>
      <c r="E2447" s="26">
        <v>-24207.599999999999</v>
      </c>
      <c r="F2447" s="26">
        <v>17.466000000000001</v>
      </c>
      <c r="G2447" s="26">
        <f t="shared" si="38"/>
        <v>-24207.599999999999</v>
      </c>
    </row>
    <row r="2448" spans="1:7" x14ac:dyDescent="0.2">
      <c r="A2448" s="26">
        <v>111</v>
      </c>
      <c r="B2448" s="26">
        <v>83</v>
      </c>
      <c r="C2448" s="26">
        <v>194</v>
      </c>
      <c r="D2448" s="26" t="s">
        <v>1702</v>
      </c>
      <c r="E2448" s="26">
        <v>-15990.063</v>
      </c>
      <c r="F2448" s="26">
        <v>49.183</v>
      </c>
      <c r="G2448" s="26">
        <f t="shared" si="38"/>
        <v>-15990.063</v>
      </c>
    </row>
    <row r="2449" spans="1:7" x14ac:dyDescent="0.2">
      <c r="A2449" s="26">
        <v>110</v>
      </c>
      <c r="B2449" s="26">
        <v>84</v>
      </c>
      <c r="C2449" s="26">
        <v>194</v>
      </c>
      <c r="D2449" s="26" t="s">
        <v>1703</v>
      </c>
      <c r="E2449" s="26">
        <v>-11005.037</v>
      </c>
      <c r="F2449" s="26">
        <v>12.569000000000001</v>
      </c>
      <c r="G2449" s="26">
        <f t="shared" si="38"/>
        <v>-11005.037</v>
      </c>
    </row>
    <row r="2450" spans="1:7" x14ac:dyDescent="0.2">
      <c r="A2450" s="26">
        <v>109</v>
      </c>
      <c r="B2450" s="26">
        <v>85</v>
      </c>
      <c r="C2450" s="26">
        <v>194</v>
      </c>
      <c r="D2450" s="26" t="s">
        <v>1704</v>
      </c>
      <c r="E2450" s="26">
        <v>-1187.575</v>
      </c>
      <c r="F2450" s="26">
        <v>185.63</v>
      </c>
      <c r="G2450" s="26">
        <f t="shared" si="38"/>
        <v>-1187.575</v>
      </c>
    </row>
    <row r="2451" spans="1:7" x14ac:dyDescent="0.2">
      <c r="A2451" s="26">
        <v>119</v>
      </c>
      <c r="B2451" s="26">
        <v>76</v>
      </c>
      <c r="C2451" s="26">
        <v>195</v>
      </c>
      <c r="D2451" s="26" t="s">
        <v>1695</v>
      </c>
      <c r="E2451" s="26">
        <v>-29689.824000000001</v>
      </c>
      <c r="F2451" s="26">
        <v>500.00299999999999</v>
      </c>
      <c r="G2451" s="26">
        <f t="shared" si="38"/>
        <v>-29689.824000000001</v>
      </c>
    </row>
    <row r="2452" spans="1:7" x14ac:dyDescent="0.2">
      <c r="A2452" s="26">
        <v>118</v>
      </c>
      <c r="B2452" s="26">
        <v>77</v>
      </c>
      <c r="C2452" s="26">
        <v>195</v>
      </c>
      <c r="D2452" s="26" t="s">
        <v>1696</v>
      </c>
      <c r="E2452" s="26">
        <v>-31689.824000000001</v>
      </c>
      <c r="F2452" s="26">
        <v>1.677</v>
      </c>
      <c r="G2452" s="26">
        <f t="shared" si="38"/>
        <v>-31689.824000000001</v>
      </c>
    </row>
    <row r="2453" spans="1:7" x14ac:dyDescent="0.2">
      <c r="A2453" s="26">
        <v>117</v>
      </c>
      <c r="B2453" s="26">
        <v>78</v>
      </c>
      <c r="C2453" s="26">
        <v>195</v>
      </c>
      <c r="D2453" s="26" t="s">
        <v>1697</v>
      </c>
      <c r="E2453" s="26">
        <v>-32796.847000000002</v>
      </c>
      <c r="F2453" s="26">
        <v>0.877</v>
      </c>
      <c r="G2453" s="26">
        <f t="shared" si="38"/>
        <v>-32796.847000000002</v>
      </c>
    </row>
    <row r="2454" spans="1:7" x14ac:dyDescent="0.2">
      <c r="A2454" s="26">
        <v>116</v>
      </c>
      <c r="B2454" s="26">
        <v>79</v>
      </c>
      <c r="C2454" s="26">
        <v>195</v>
      </c>
      <c r="D2454" s="26" t="s">
        <v>1698</v>
      </c>
      <c r="E2454" s="26">
        <v>-32570.023000000001</v>
      </c>
      <c r="F2454" s="26">
        <v>1.329</v>
      </c>
      <c r="G2454" s="26">
        <f t="shared" si="38"/>
        <v>-32570.023000000001</v>
      </c>
    </row>
    <row r="2455" spans="1:7" x14ac:dyDescent="0.2">
      <c r="A2455" s="26">
        <v>115</v>
      </c>
      <c r="B2455" s="26">
        <v>80</v>
      </c>
      <c r="C2455" s="26">
        <v>195</v>
      </c>
      <c r="D2455" s="26" t="s">
        <v>1699</v>
      </c>
      <c r="E2455" s="26">
        <v>-31000.014999999999</v>
      </c>
      <c r="F2455" s="26">
        <v>23.145</v>
      </c>
      <c r="G2455" s="26">
        <f t="shared" si="38"/>
        <v>-31000.014999999999</v>
      </c>
    </row>
    <row r="2456" spans="1:7" x14ac:dyDescent="0.2">
      <c r="A2456" s="26">
        <v>114</v>
      </c>
      <c r="B2456" s="26">
        <v>81</v>
      </c>
      <c r="C2456" s="26">
        <v>195</v>
      </c>
      <c r="D2456" s="26" t="s">
        <v>1700</v>
      </c>
      <c r="E2456" s="26">
        <v>-28155.026000000002</v>
      </c>
      <c r="F2456" s="26">
        <v>13.795999999999999</v>
      </c>
      <c r="G2456" s="26">
        <f t="shared" si="38"/>
        <v>-28155.026000000002</v>
      </c>
    </row>
    <row r="2457" spans="1:7" x14ac:dyDescent="0.2">
      <c r="A2457" s="26">
        <v>113</v>
      </c>
      <c r="B2457" s="26">
        <v>82</v>
      </c>
      <c r="C2457" s="26">
        <v>195</v>
      </c>
      <c r="D2457" s="26" t="s">
        <v>1701</v>
      </c>
      <c r="E2457" s="26">
        <v>-23713.927</v>
      </c>
      <c r="F2457" s="26">
        <v>23.367000000000001</v>
      </c>
      <c r="G2457" s="26">
        <f t="shared" si="38"/>
        <v>-23713.927</v>
      </c>
    </row>
    <row r="2458" spans="1:7" x14ac:dyDescent="0.2">
      <c r="A2458" s="26">
        <v>112</v>
      </c>
      <c r="B2458" s="26">
        <v>83</v>
      </c>
      <c r="C2458" s="26">
        <v>195</v>
      </c>
      <c r="D2458" s="26" t="s">
        <v>1702</v>
      </c>
      <c r="E2458" s="26">
        <v>-18023.722000000002</v>
      </c>
      <c r="F2458" s="26">
        <v>5.5890000000000004</v>
      </c>
      <c r="G2458" s="26">
        <f t="shared" si="38"/>
        <v>-18023.722000000002</v>
      </c>
    </row>
    <row r="2459" spans="1:7" x14ac:dyDescent="0.2">
      <c r="A2459" s="26">
        <v>111</v>
      </c>
      <c r="B2459" s="26">
        <v>84</v>
      </c>
      <c r="C2459" s="26">
        <v>195</v>
      </c>
      <c r="D2459" s="26" t="s">
        <v>1703</v>
      </c>
      <c r="E2459" s="26">
        <v>-11074.785</v>
      </c>
      <c r="F2459" s="26">
        <v>39.279000000000003</v>
      </c>
      <c r="G2459" s="26">
        <f t="shared" si="38"/>
        <v>-11074.785</v>
      </c>
    </row>
    <row r="2460" spans="1:7" x14ac:dyDescent="0.2">
      <c r="A2460" s="26">
        <v>110</v>
      </c>
      <c r="B2460" s="26">
        <v>85</v>
      </c>
      <c r="C2460" s="26">
        <v>195</v>
      </c>
      <c r="D2460" s="26" t="s">
        <v>1704</v>
      </c>
      <c r="E2460" s="26">
        <v>-3476.2440000000001</v>
      </c>
      <c r="F2460" s="26">
        <v>9.0559999999999992</v>
      </c>
      <c r="G2460" s="26">
        <f t="shared" si="38"/>
        <v>-3476.2440000000001</v>
      </c>
    </row>
    <row r="2461" spans="1:7" x14ac:dyDescent="0.2">
      <c r="A2461" s="26">
        <v>109</v>
      </c>
      <c r="B2461" s="26">
        <v>86</v>
      </c>
      <c r="C2461" s="26">
        <v>195</v>
      </c>
      <c r="D2461" s="26" t="s">
        <v>1705</v>
      </c>
      <c r="E2461" s="26">
        <v>5065.1809999999996</v>
      </c>
      <c r="F2461" s="26">
        <v>51.197000000000003</v>
      </c>
      <c r="G2461" s="26">
        <f t="shared" si="38"/>
        <v>5065.1809999999996</v>
      </c>
    </row>
    <row r="2462" spans="1:7" x14ac:dyDescent="0.2">
      <c r="A2462" s="26">
        <v>120</v>
      </c>
      <c r="B2462" s="26">
        <v>76</v>
      </c>
      <c r="C2462" s="26">
        <v>196</v>
      </c>
      <c r="D2462" s="26" t="s">
        <v>1695</v>
      </c>
      <c r="E2462" s="26">
        <v>-28280.778999999999</v>
      </c>
      <c r="F2462" s="26">
        <v>40.121000000000002</v>
      </c>
      <c r="G2462" s="26">
        <f t="shared" si="38"/>
        <v>-28280.778999999999</v>
      </c>
    </row>
    <row r="2463" spans="1:7" x14ac:dyDescent="0.2">
      <c r="A2463" s="26">
        <v>119</v>
      </c>
      <c r="B2463" s="26">
        <v>77</v>
      </c>
      <c r="C2463" s="26">
        <v>196</v>
      </c>
      <c r="D2463" s="26" t="s">
        <v>1696</v>
      </c>
      <c r="E2463" s="26">
        <v>-29438.431</v>
      </c>
      <c r="F2463" s="26">
        <v>38.420999999999999</v>
      </c>
      <c r="G2463" s="26">
        <f t="shared" si="38"/>
        <v>-29438.431</v>
      </c>
    </row>
    <row r="2464" spans="1:7" x14ac:dyDescent="0.2">
      <c r="A2464" s="26">
        <v>118</v>
      </c>
      <c r="B2464" s="26">
        <v>78</v>
      </c>
      <c r="C2464" s="26">
        <v>196</v>
      </c>
      <c r="D2464" s="26" t="s">
        <v>1697</v>
      </c>
      <c r="E2464" s="26">
        <v>-32647.448</v>
      </c>
      <c r="F2464" s="26">
        <v>0.86799999999999999</v>
      </c>
      <c r="G2464" s="26">
        <f t="shared" si="38"/>
        <v>-32647.448</v>
      </c>
    </row>
    <row r="2465" spans="1:7" x14ac:dyDescent="0.2">
      <c r="A2465" s="26">
        <v>117</v>
      </c>
      <c r="B2465" s="26">
        <v>79</v>
      </c>
      <c r="C2465" s="26">
        <v>196</v>
      </c>
      <c r="D2465" s="26" t="s">
        <v>1698</v>
      </c>
      <c r="E2465" s="26">
        <v>-31140.018</v>
      </c>
      <c r="F2465" s="26">
        <v>2.972</v>
      </c>
      <c r="G2465" s="26">
        <f t="shared" si="38"/>
        <v>-31140.018</v>
      </c>
    </row>
    <row r="2466" spans="1:7" x14ac:dyDescent="0.2">
      <c r="A2466" s="26">
        <v>116</v>
      </c>
      <c r="B2466" s="26">
        <v>80</v>
      </c>
      <c r="C2466" s="26">
        <v>196</v>
      </c>
      <c r="D2466" s="26" t="s">
        <v>1699</v>
      </c>
      <c r="E2466" s="26">
        <v>-31826.683000000001</v>
      </c>
      <c r="F2466" s="26">
        <v>2.9420000000000002</v>
      </c>
      <c r="G2466" s="26">
        <f t="shared" si="38"/>
        <v>-31826.683000000001</v>
      </c>
    </row>
    <row r="2467" spans="1:7" x14ac:dyDescent="0.2">
      <c r="A2467" s="26">
        <v>115</v>
      </c>
      <c r="B2467" s="26">
        <v>81</v>
      </c>
      <c r="C2467" s="26">
        <v>196</v>
      </c>
      <c r="D2467" s="26" t="s">
        <v>1700</v>
      </c>
      <c r="E2467" s="26">
        <v>-27496.631000000001</v>
      </c>
      <c r="F2467" s="26">
        <v>12.109</v>
      </c>
      <c r="G2467" s="26">
        <f t="shared" si="38"/>
        <v>-27496.631000000001</v>
      </c>
    </row>
    <row r="2468" spans="1:7" x14ac:dyDescent="0.2">
      <c r="A2468" s="26">
        <v>114</v>
      </c>
      <c r="B2468" s="26">
        <v>82</v>
      </c>
      <c r="C2468" s="26">
        <v>196</v>
      </c>
      <c r="D2468" s="26" t="s">
        <v>1701</v>
      </c>
      <c r="E2468" s="26">
        <v>-25360.754000000001</v>
      </c>
      <c r="F2468" s="26">
        <v>14.279</v>
      </c>
      <c r="G2468" s="26">
        <f t="shared" si="38"/>
        <v>-25360.754000000001</v>
      </c>
    </row>
    <row r="2469" spans="1:7" x14ac:dyDescent="0.2">
      <c r="A2469" s="26">
        <v>113</v>
      </c>
      <c r="B2469" s="26">
        <v>83</v>
      </c>
      <c r="C2469" s="26">
        <v>196</v>
      </c>
      <c r="D2469" s="26" t="s">
        <v>1702</v>
      </c>
      <c r="E2469" s="26">
        <v>-18009.030999999999</v>
      </c>
      <c r="F2469" s="26">
        <v>24.428000000000001</v>
      </c>
      <c r="G2469" s="26">
        <f t="shared" si="38"/>
        <v>-18009.030999999999</v>
      </c>
    </row>
    <row r="2470" spans="1:7" x14ac:dyDescent="0.2">
      <c r="A2470" s="26">
        <v>112</v>
      </c>
      <c r="B2470" s="26">
        <v>84</v>
      </c>
      <c r="C2470" s="26">
        <v>196</v>
      </c>
      <c r="D2470" s="26" t="s">
        <v>1703</v>
      </c>
      <c r="E2470" s="26">
        <v>-13474.450999999999</v>
      </c>
      <c r="F2470" s="26">
        <v>12.978</v>
      </c>
      <c r="G2470" s="26">
        <f t="shared" si="38"/>
        <v>-13474.450999999999</v>
      </c>
    </row>
    <row r="2471" spans="1:7" x14ac:dyDescent="0.2">
      <c r="A2471" s="26">
        <v>111</v>
      </c>
      <c r="B2471" s="26">
        <v>85</v>
      </c>
      <c r="C2471" s="26">
        <v>196</v>
      </c>
      <c r="D2471" s="26" t="s">
        <v>1704</v>
      </c>
      <c r="E2471" s="26">
        <v>-3923.38</v>
      </c>
      <c r="F2471" s="26">
        <v>59.902999999999999</v>
      </c>
      <c r="G2471" s="26">
        <f t="shared" si="38"/>
        <v>-3923.38</v>
      </c>
    </row>
    <row r="2472" spans="1:7" x14ac:dyDescent="0.2">
      <c r="A2472" s="26">
        <v>110</v>
      </c>
      <c r="B2472" s="26">
        <v>86</v>
      </c>
      <c r="C2472" s="26">
        <v>196</v>
      </c>
      <c r="D2472" s="26" t="s">
        <v>1705</v>
      </c>
      <c r="E2472" s="26">
        <v>1970.318</v>
      </c>
      <c r="F2472" s="26">
        <v>15.042</v>
      </c>
      <c r="G2472" s="26">
        <f t="shared" si="38"/>
        <v>1970.318</v>
      </c>
    </row>
    <row r="2473" spans="1:7" x14ac:dyDescent="0.2">
      <c r="A2473" s="26">
        <v>120</v>
      </c>
      <c r="B2473" s="26">
        <v>77</v>
      </c>
      <c r="C2473" s="26">
        <v>197</v>
      </c>
      <c r="D2473" s="26" t="s">
        <v>1696</v>
      </c>
      <c r="E2473" s="26">
        <v>-28267.782999999999</v>
      </c>
      <c r="F2473" s="26">
        <v>20.241</v>
      </c>
      <c r="G2473" s="26">
        <f t="shared" si="38"/>
        <v>-28267.782999999999</v>
      </c>
    </row>
    <row r="2474" spans="1:7" x14ac:dyDescent="0.2">
      <c r="A2474" s="26">
        <v>119</v>
      </c>
      <c r="B2474" s="26">
        <v>78</v>
      </c>
      <c r="C2474" s="26">
        <v>197</v>
      </c>
      <c r="D2474" s="26" t="s">
        <v>1697</v>
      </c>
      <c r="E2474" s="26">
        <v>-30422.424999999999</v>
      </c>
      <c r="F2474" s="26">
        <v>0.83</v>
      </c>
      <c r="G2474" s="26">
        <f t="shared" si="38"/>
        <v>-30422.424999999999</v>
      </c>
    </row>
    <row r="2475" spans="1:7" x14ac:dyDescent="0.2">
      <c r="A2475" s="26">
        <v>118</v>
      </c>
      <c r="B2475" s="26">
        <v>79</v>
      </c>
      <c r="C2475" s="26">
        <v>197</v>
      </c>
      <c r="D2475" s="26" t="s">
        <v>1698</v>
      </c>
      <c r="E2475" s="26">
        <v>-31141.091</v>
      </c>
      <c r="F2475" s="26">
        <v>0.60199999999999998</v>
      </c>
      <c r="G2475" s="26">
        <f t="shared" si="38"/>
        <v>-31141.091</v>
      </c>
    </row>
    <row r="2476" spans="1:7" x14ac:dyDescent="0.2">
      <c r="A2476" s="26">
        <v>117</v>
      </c>
      <c r="B2476" s="26">
        <v>80</v>
      </c>
      <c r="C2476" s="26">
        <v>197</v>
      </c>
      <c r="D2476" s="26" t="s">
        <v>1699</v>
      </c>
      <c r="E2476" s="26">
        <v>-30540.978999999999</v>
      </c>
      <c r="F2476" s="26">
        <v>3.2029999999999998</v>
      </c>
      <c r="G2476" s="26">
        <f t="shared" si="38"/>
        <v>-30540.978999999999</v>
      </c>
    </row>
    <row r="2477" spans="1:7" x14ac:dyDescent="0.2">
      <c r="A2477" s="26">
        <v>116</v>
      </c>
      <c r="B2477" s="26">
        <v>81</v>
      </c>
      <c r="C2477" s="26">
        <v>197</v>
      </c>
      <c r="D2477" s="26" t="s">
        <v>1700</v>
      </c>
      <c r="E2477" s="26">
        <v>-28341.16</v>
      </c>
      <c r="F2477" s="26">
        <v>16.303999999999998</v>
      </c>
      <c r="G2477" s="26">
        <f t="shared" si="38"/>
        <v>-28341.16</v>
      </c>
    </row>
    <row r="2478" spans="1:7" x14ac:dyDescent="0.2">
      <c r="A2478" s="26">
        <v>115</v>
      </c>
      <c r="B2478" s="26">
        <v>82</v>
      </c>
      <c r="C2478" s="26">
        <v>197</v>
      </c>
      <c r="D2478" s="26" t="s">
        <v>1701</v>
      </c>
      <c r="E2478" s="26">
        <v>-24748.749</v>
      </c>
      <c r="F2478" s="26">
        <v>5.59</v>
      </c>
      <c r="G2478" s="26">
        <f t="shared" si="38"/>
        <v>-24748.749</v>
      </c>
    </row>
    <row r="2479" spans="1:7" x14ac:dyDescent="0.2">
      <c r="A2479" s="26">
        <v>114</v>
      </c>
      <c r="B2479" s="26">
        <v>83</v>
      </c>
      <c r="C2479" s="26">
        <v>197</v>
      </c>
      <c r="D2479" s="26" t="s">
        <v>1702</v>
      </c>
      <c r="E2479" s="26">
        <v>-19687.633999999998</v>
      </c>
      <c r="F2479" s="26">
        <v>8.4390000000000001</v>
      </c>
      <c r="G2479" s="26">
        <f t="shared" si="38"/>
        <v>-19687.633999999998</v>
      </c>
    </row>
    <row r="2480" spans="1:7" x14ac:dyDescent="0.2">
      <c r="A2480" s="26">
        <v>113</v>
      </c>
      <c r="B2480" s="26">
        <v>84</v>
      </c>
      <c r="C2480" s="26">
        <v>197</v>
      </c>
      <c r="D2480" s="26" t="s">
        <v>1703</v>
      </c>
      <c r="E2480" s="26">
        <v>-13357.968000000001</v>
      </c>
      <c r="F2480" s="26">
        <v>49.744999999999997</v>
      </c>
      <c r="G2480" s="26">
        <f t="shared" si="38"/>
        <v>-13357.968000000001</v>
      </c>
    </row>
    <row r="2481" spans="1:7" x14ac:dyDescent="0.2">
      <c r="A2481" s="26">
        <v>112</v>
      </c>
      <c r="B2481" s="26">
        <v>85</v>
      </c>
      <c r="C2481" s="26">
        <v>197</v>
      </c>
      <c r="D2481" s="26" t="s">
        <v>1704</v>
      </c>
      <c r="E2481" s="26">
        <v>-6344.2049999999999</v>
      </c>
      <c r="F2481" s="26">
        <v>50.917000000000002</v>
      </c>
      <c r="G2481" s="26">
        <f t="shared" si="38"/>
        <v>-6344.2049999999999</v>
      </c>
    </row>
    <row r="2482" spans="1:7" x14ac:dyDescent="0.2">
      <c r="A2482" s="26">
        <v>111</v>
      </c>
      <c r="B2482" s="26">
        <v>86</v>
      </c>
      <c r="C2482" s="26">
        <v>197</v>
      </c>
      <c r="D2482" s="26" t="s">
        <v>1705</v>
      </c>
      <c r="E2482" s="26">
        <v>1475.8140000000001</v>
      </c>
      <c r="F2482" s="26">
        <v>60.853999999999999</v>
      </c>
      <c r="G2482" s="26">
        <f t="shared" si="38"/>
        <v>1475.8140000000001</v>
      </c>
    </row>
    <row r="2483" spans="1:7" x14ac:dyDescent="0.2">
      <c r="A2483" s="26">
        <v>121</v>
      </c>
      <c r="B2483" s="26">
        <v>77</v>
      </c>
      <c r="C2483" s="26">
        <v>198</v>
      </c>
      <c r="D2483" s="26" t="s">
        <v>1696</v>
      </c>
      <c r="E2483" s="26" t="s">
        <v>1377</v>
      </c>
      <c r="F2483" s="26" t="s">
        <v>1480</v>
      </c>
      <c r="G2483" s="26">
        <f t="shared" si="38"/>
        <v>-25821.01</v>
      </c>
    </row>
    <row r="2484" spans="1:7" x14ac:dyDescent="0.2">
      <c r="A2484" s="26">
        <v>120</v>
      </c>
      <c r="B2484" s="26">
        <v>78</v>
      </c>
      <c r="C2484" s="26">
        <v>198</v>
      </c>
      <c r="D2484" s="26" t="s">
        <v>1697</v>
      </c>
      <c r="E2484" s="26">
        <v>-29907.672999999999</v>
      </c>
      <c r="F2484" s="26">
        <v>3.113</v>
      </c>
      <c r="G2484" s="26">
        <f t="shared" si="38"/>
        <v>-29907.672999999999</v>
      </c>
    </row>
    <row r="2485" spans="1:7" x14ac:dyDescent="0.2">
      <c r="A2485" s="26">
        <v>119</v>
      </c>
      <c r="B2485" s="26">
        <v>79</v>
      </c>
      <c r="C2485" s="26">
        <v>198</v>
      </c>
      <c r="D2485" s="26" t="s">
        <v>1698</v>
      </c>
      <c r="E2485" s="26">
        <v>-29582.103999999999</v>
      </c>
      <c r="F2485" s="26">
        <v>0.59599999999999997</v>
      </c>
      <c r="G2485" s="26">
        <f t="shared" si="38"/>
        <v>-29582.103999999999</v>
      </c>
    </row>
    <row r="2486" spans="1:7" x14ac:dyDescent="0.2">
      <c r="A2486" s="26">
        <v>118</v>
      </c>
      <c r="B2486" s="26">
        <v>80</v>
      </c>
      <c r="C2486" s="26">
        <v>198</v>
      </c>
      <c r="D2486" s="26" t="s">
        <v>1699</v>
      </c>
      <c r="E2486" s="26">
        <v>-30954.447</v>
      </c>
      <c r="F2486" s="26">
        <v>0.33700000000000002</v>
      </c>
      <c r="G2486" s="26">
        <f t="shared" si="38"/>
        <v>-30954.447</v>
      </c>
    </row>
    <row r="2487" spans="1:7" x14ac:dyDescent="0.2">
      <c r="A2487" s="26">
        <v>117</v>
      </c>
      <c r="B2487" s="26">
        <v>81</v>
      </c>
      <c r="C2487" s="26">
        <v>198</v>
      </c>
      <c r="D2487" s="26" t="s">
        <v>1700</v>
      </c>
      <c r="E2487" s="26">
        <v>-27494.447</v>
      </c>
      <c r="F2487" s="26">
        <v>80.001000000000005</v>
      </c>
      <c r="G2487" s="26">
        <f t="shared" si="38"/>
        <v>-27494.447</v>
      </c>
    </row>
    <row r="2488" spans="1:7" x14ac:dyDescent="0.2">
      <c r="A2488" s="26">
        <v>116</v>
      </c>
      <c r="B2488" s="26">
        <v>82</v>
      </c>
      <c r="C2488" s="26">
        <v>198</v>
      </c>
      <c r="D2488" s="26" t="s">
        <v>1701</v>
      </c>
      <c r="E2488" s="26">
        <v>-26050.199000000001</v>
      </c>
      <c r="F2488" s="26">
        <v>14.577999999999999</v>
      </c>
      <c r="G2488" s="26">
        <f t="shared" si="38"/>
        <v>-26050.199000000001</v>
      </c>
    </row>
    <row r="2489" spans="1:7" x14ac:dyDescent="0.2">
      <c r="A2489" s="26">
        <v>115</v>
      </c>
      <c r="B2489" s="26">
        <v>83</v>
      </c>
      <c r="C2489" s="26">
        <v>198</v>
      </c>
      <c r="D2489" s="26" t="s">
        <v>1702</v>
      </c>
      <c r="E2489" s="26">
        <v>-19369.486000000001</v>
      </c>
      <c r="F2489" s="26">
        <v>27.945</v>
      </c>
      <c r="G2489" s="26">
        <f t="shared" si="38"/>
        <v>-19369.486000000001</v>
      </c>
    </row>
    <row r="2490" spans="1:7" x14ac:dyDescent="0.2">
      <c r="A2490" s="26">
        <v>114</v>
      </c>
      <c r="B2490" s="26">
        <v>84</v>
      </c>
      <c r="C2490" s="26">
        <v>198</v>
      </c>
      <c r="D2490" s="26" t="s">
        <v>1703</v>
      </c>
      <c r="E2490" s="26">
        <v>-15473.405000000001</v>
      </c>
      <c r="F2490" s="26">
        <v>17.440000000000001</v>
      </c>
      <c r="G2490" s="26">
        <f t="shared" si="38"/>
        <v>-15473.405000000001</v>
      </c>
    </row>
    <row r="2491" spans="1:7" x14ac:dyDescent="0.2">
      <c r="A2491" s="26">
        <v>113</v>
      </c>
      <c r="B2491" s="26">
        <v>85</v>
      </c>
      <c r="C2491" s="26">
        <v>198</v>
      </c>
      <c r="D2491" s="26" t="s">
        <v>1704</v>
      </c>
      <c r="E2491" s="26">
        <v>-6672.1030000000001</v>
      </c>
      <c r="F2491" s="26">
        <v>49.234000000000002</v>
      </c>
      <c r="G2491" s="26">
        <f t="shared" si="38"/>
        <v>-6672.1030000000001</v>
      </c>
    </row>
    <row r="2492" spans="1:7" x14ac:dyDescent="0.2">
      <c r="A2492" s="26">
        <v>112</v>
      </c>
      <c r="B2492" s="26">
        <v>86</v>
      </c>
      <c r="C2492" s="26">
        <v>198</v>
      </c>
      <c r="D2492" s="26" t="s">
        <v>1705</v>
      </c>
      <c r="E2492" s="26">
        <v>-1230.817</v>
      </c>
      <c r="F2492" s="26">
        <v>13.090999999999999</v>
      </c>
      <c r="G2492" s="26">
        <f t="shared" si="38"/>
        <v>-1230.817</v>
      </c>
    </row>
    <row r="2493" spans="1:7" x14ac:dyDescent="0.2">
      <c r="A2493" s="26">
        <v>122</v>
      </c>
      <c r="B2493" s="26">
        <v>77</v>
      </c>
      <c r="C2493" s="26">
        <v>199</v>
      </c>
      <c r="D2493" s="26" t="s">
        <v>1696</v>
      </c>
      <c r="E2493" s="26">
        <v>-24400.873</v>
      </c>
      <c r="F2493" s="26">
        <v>41.118000000000002</v>
      </c>
      <c r="G2493" s="26">
        <f t="shared" si="38"/>
        <v>-24400.873</v>
      </c>
    </row>
    <row r="2494" spans="1:7" x14ac:dyDescent="0.2">
      <c r="A2494" s="26">
        <v>121</v>
      </c>
      <c r="B2494" s="26">
        <v>78</v>
      </c>
      <c r="C2494" s="26">
        <v>199</v>
      </c>
      <c r="D2494" s="26" t="s">
        <v>1697</v>
      </c>
      <c r="E2494" s="26">
        <v>-27392.356</v>
      </c>
      <c r="F2494" s="26">
        <v>3.153</v>
      </c>
      <c r="G2494" s="26">
        <f t="shared" si="38"/>
        <v>-27392.356</v>
      </c>
    </row>
    <row r="2495" spans="1:7" x14ac:dyDescent="0.2">
      <c r="A2495" s="26">
        <v>120</v>
      </c>
      <c r="B2495" s="26">
        <v>79</v>
      </c>
      <c r="C2495" s="26">
        <v>199</v>
      </c>
      <c r="D2495" s="26" t="s">
        <v>1698</v>
      </c>
      <c r="E2495" s="26">
        <v>-29095.035</v>
      </c>
      <c r="F2495" s="26">
        <v>0.60399999999999998</v>
      </c>
      <c r="G2495" s="26">
        <f t="shared" si="38"/>
        <v>-29095.035</v>
      </c>
    </row>
    <row r="2496" spans="1:7" x14ac:dyDescent="0.2">
      <c r="A2496" s="26">
        <v>119</v>
      </c>
      <c r="B2496" s="26">
        <v>80</v>
      </c>
      <c r="C2496" s="26">
        <v>199</v>
      </c>
      <c r="D2496" s="26" t="s">
        <v>1699</v>
      </c>
      <c r="E2496" s="26">
        <v>-29547.053</v>
      </c>
      <c r="F2496" s="26">
        <v>0.36499999999999999</v>
      </c>
      <c r="G2496" s="26">
        <f t="shared" si="38"/>
        <v>-29547.053</v>
      </c>
    </row>
    <row r="2497" spans="1:7" x14ac:dyDescent="0.2">
      <c r="A2497" s="26">
        <v>118</v>
      </c>
      <c r="B2497" s="26">
        <v>81</v>
      </c>
      <c r="C2497" s="26">
        <v>199</v>
      </c>
      <c r="D2497" s="26" t="s">
        <v>1700</v>
      </c>
      <c r="E2497" s="26">
        <v>-28059.394</v>
      </c>
      <c r="F2497" s="26">
        <v>27.945</v>
      </c>
      <c r="G2497" s="26">
        <f t="shared" si="38"/>
        <v>-28059.394</v>
      </c>
    </row>
    <row r="2498" spans="1:7" x14ac:dyDescent="0.2">
      <c r="A2498" s="26">
        <v>117</v>
      </c>
      <c r="B2498" s="26">
        <v>82</v>
      </c>
      <c r="C2498" s="26">
        <v>199</v>
      </c>
      <c r="D2498" s="26" t="s">
        <v>1701</v>
      </c>
      <c r="E2498" s="26">
        <v>-25227.977999999999</v>
      </c>
      <c r="F2498" s="26">
        <v>26.422999999999998</v>
      </c>
      <c r="G2498" s="26">
        <f t="shared" si="38"/>
        <v>-25227.977999999999</v>
      </c>
    </row>
    <row r="2499" spans="1:7" x14ac:dyDescent="0.2">
      <c r="A2499" s="26">
        <v>116</v>
      </c>
      <c r="B2499" s="26">
        <v>83</v>
      </c>
      <c r="C2499" s="26">
        <v>199</v>
      </c>
      <c r="D2499" s="26" t="s">
        <v>1702</v>
      </c>
      <c r="E2499" s="26">
        <v>-20798.434000000001</v>
      </c>
      <c r="F2499" s="26">
        <v>11.847</v>
      </c>
      <c r="G2499" s="26">
        <f t="shared" si="38"/>
        <v>-20798.434000000001</v>
      </c>
    </row>
    <row r="2500" spans="1:7" x14ac:dyDescent="0.2">
      <c r="A2500" s="26">
        <v>115</v>
      </c>
      <c r="B2500" s="26">
        <v>84</v>
      </c>
      <c r="C2500" s="26">
        <v>199</v>
      </c>
      <c r="D2500" s="26" t="s">
        <v>1703</v>
      </c>
      <c r="E2500" s="26">
        <v>-15214.964</v>
      </c>
      <c r="F2500" s="26">
        <v>23.456</v>
      </c>
      <c r="G2500" s="26">
        <f t="shared" si="38"/>
        <v>-15214.964</v>
      </c>
    </row>
    <row r="2501" spans="1:7" x14ac:dyDescent="0.2">
      <c r="A2501" s="26">
        <v>114</v>
      </c>
      <c r="B2501" s="26">
        <v>85</v>
      </c>
      <c r="C2501" s="26">
        <v>199</v>
      </c>
      <c r="D2501" s="26" t="s">
        <v>1704</v>
      </c>
      <c r="E2501" s="26">
        <v>-8819.1479999999992</v>
      </c>
      <c r="F2501" s="26">
        <v>50.311</v>
      </c>
      <c r="G2501" s="26">
        <f t="shared" si="38"/>
        <v>-8819.1479999999992</v>
      </c>
    </row>
    <row r="2502" spans="1:7" x14ac:dyDescent="0.2">
      <c r="A2502" s="26">
        <v>113</v>
      </c>
      <c r="B2502" s="26">
        <v>86</v>
      </c>
      <c r="C2502" s="26">
        <v>199</v>
      </c>
      <c r="D2502" s="26" t="s">
        <v>1705</v>
      </c>
      <c r="E2502" s="26">
        <v>-1518.058</v>
      </c>
      <c r="F2502" s="26">
        <v>63.582999999999998</v>
      </c>
      <c r="G2502" s="26">
        <f t="shared" si="38"/>
        <v>-1518.058</v>
      </c>
    </row>
    <row r="2503" spans="1:7" x14ac:dyDescent="0.2">
      <c r="A2503" s="26">
        <v>112</v>
      </c>
      <c r="B2503" s="26">
        <v>87</v>
      </c>
      <c r="C2503" s="26">
        <v>199</v>
      </c>
      <c r="D2503" s="26" t="s">
        <v>1706</v>
      </c>
      <c r="E2503" s="26">
        <v>6760.9210000000003</v>
      </c>
      <c r="F2503" s="26">
        <v>41.814</v>
      </c>
      <c r="G2503" s="26">
        <f t="shared" si="38"/>
        <v>6760.9210000000003</v>
      </c>
    </row>
    <row r="2504" spans="1:7" x14ac:dyDescent="0.2">
      <c r="A2504" s="26">
        <v>122</v>
      </c>
      <c r="B2504" s="26">
        <v>78</v>
      </c>
      <c r="C2504" s="26">
        <v>200</v>
      </c>
      <c r="D2504" s="26" t="s">
        <v>1697</v>
      </c>
      <c r="E2504" s="26">
        <v>-26602.838</v>
      </c>
      <c r="F2504" s="26">
        <v>20.241</v>
      </c>
      <c r="G2504" s="26">
        <f t="shared" si="38"/>
        <v>-26602.838</v>
      </c>
    </row>
    <row r="2505" spans="1:7" x14ac:dyDescent="0.2">
      <c r="A2505" s="26">
        <v>121</v>
      </c>
      <c r="B2505" s="26">
        <v>79</v>
      </c>
      <c r="C2505" s="26">
        <v>200</v>
      </c>
      <c r="D2505" s="26" t="s">
        <v>1698</v>
      </c>
      <c r="E2505" s="26">
        <v>-27268.883999999998</v>
      </c>
      <c r="F2505" s="26">
        <v>49.747999999999998</v>
      </c>
      <c r="G2505" s="26">
        <f t="shared" si="38"/>
        <v>-27268.883999999998</v>
      </c>
    </row>
    <row r="2506" spans="1:7" x14ac:dyDescent="0.2">
      <c r="A2506" s="26">
        <v>120</v>
      </c>
      <c r="B2506" s="26">
        <v>80</v>
      </c>
      <c r="C2506" s="26">
        <v>200</v>
      </c>
      <c r="D2506" s="26" t="s">
        <v>1699</v>
      </c>
      <c r="E2506" s="26">
        <v>-29504.136999999999</v>
      </c>
      <c r="F2506" s="26">
        <v>0.379</v>
      </c>
      <c r="G2506" s="26">
        <f t="shared" ref="G2506:G2569" si="39">IF(ISNUMBER(E2506),E2506,VALUE(SUBSTITUTE(E2506,"#",".01")))</f>
        <v>-29504.136999999999</v>
      </c>
    </row>
    <row r="2507" spans="1:7" x14ac:dyDescent="0.2">
      <c r="A2507" s="26">
        <v>119</v>
      </c>
      <c r="B2507" s="26">
        <v>81</v>
      </c>
      <c r="C2507" s="26">
        <v>200</v>
      </c>
      <c r="D2507" s="26" t="s">
        <v>1700</v>
      </c>
      <c r="E2507" s="26">
        <v>-27048.096000000001</v>
      </c>
      <c r="F2507" s="26">
        <v>5.7469999999999999</v>
      </c>
      <c r="G2507" s="26">
        <f t="shared" si="39"/>
        <v>-27048.096000000001</v>
      </c>
    </row>
    <row r="2508" spans="1:7" x14ac:dyDescent="0.2">
      <c r="A2508" s="26">
        <v>118</v>
      </c>
      <c r="B2508" s="26">
        <v>82</v>
      </c>
      <c r="C2508" s="26">
        <v>200</v>
      </c>
      <c r="D2508" s="26" t="s">
        <v>1701</v>
      </c>
      <c r="E2508" s="26">
        <v>-26243.282999999999</v>
      </c>
      <c r="F2508" s="26">
        <v>10.938000000000001</v>
      </c>
      <c r="G2508" s="26">
        <f t="shared" si="39"/>
        <v>-26243.282999999999</v>
      </c>
    </row>
    <row r="2509" spans="1:7" x14ac:dyDescent="0.2">
      <c r="A2509" s="26">
        <v>117</v>
      </c>
      <c r="B2509" s="26">
        <v>83</v>
      </c>
      <c r="C2509" s="26">
        <v>200</v>
      </c>
      <c r="D2509" s="26" t="s">
        <v>1702</v>
      </c>
      <c r="E2509" s="26">
        <v>-20370.07</v>
      </c>
      <c r="F2509" s="26">
        <v>24.027000000000001</v>
      </c>
      <c r="G2509" s="26">
        <f t="shared" si="39"/>
        <v>-20370.07</v>
      </c>
    </row>
    <row r="2510" spans="1:7" x14ac:dyDescent="0.2">
      <c r="A2510" s="26">
        <v>116</v>
      </c>
      <c r="B2510" s="26">
        <v>84</v>
      </c>
      <c r="C2510" s="26">
        <v>200</v>
      </c>
      <c r="D2510" s="26" t="s">
        <v>1703</v>
      </c>
      <c r="E2510" s="26">
        <v>-16954.491000000002</v>
      </c>
      <c r="F2510" s="26">
        <v>14.417</v>
      </c>
      <c r="G2510" s="26">
        <f t="shared" si="39"/>
        <v>-16954.491000000002</v>
      </c>
    </row>
    <row r="2511" spans="1:7" x14ac:dyDescent="0.2">
      <c r="A2511" s="26">
        <v>115</v>
      </c>
      <c r="B2511" s="26">
        <v>85</v>
      </c>
      <c r="C2511" s="26">
        <v>200</v>
      </c>
      <c r="D2511" s="26" t="s">
        <v>1704</v>
      </c>
      <c r="E2511" s="26">
        <v>-8987.7389999999996</v>
      </c>
      <c r="F2511" s="26">
        <v>24.468</v>
      </c>
      <c r="G2511" s="26">
        <f t="shared" si="39"/>
        <v>-8987.7389999999996</v>
      </c>
    </row>
    <row r="2512" spans="1:7" x14ac:dyDescent="0.2">
      <c r="A2512" s="26">
        <v>114</v>
      </c>
      <c r="B2512" s="26">
        <v>86</v>
      </c>
      <c r="C2512" s="26">
        <v>200</v>
      </c>
      <c r="D2512" s="26" t="s">
        <v>1705</v>
      </c>
      <c r="E2512" s="26">
        <v>-4006.076</v>
      </c>
      <c r="F2512" s="26">
        <v>13.226000000000001</v>
      </c>
      <c r="G2512" s="26">
        <f t="shared" si="39"/>
        <v>-4006.076</v>
      </c>
    </row>
    <row r="2513" spans="1:7" x14ac:dyDescent="0.2">
      <c r="A2513" s="26">
        <v>113</v>
      </c>
      <c r="B2513" s="26">
        <v>87</v>
      </c>
      <c r="C2513" s="26">
        <v>200</v>
      </c>
      <c r="D2513" s="26" t="s">
        <v>1706</v>
      </c>
      <c r="E2513" s="26">
        <v>6122.2349999999997</v>
      </c>
      <c r="F2513" s="26">
        <v>78.028000000000006</v>
      </c>
      <c r="G2513" s="26">
        <f t="shared" si="39"/>
        <v>6122.2349999999997</v>
      </c>
    </row>
    <row r="2514" spans="1:7" x14ac:dyDescent="0.2">
      <c r="A2514" s="26">
        <v>123</v>
      </c>
      <c r="B2514" s="26">
        <v>78</v>
      </c>
      <c r="C2514" s="26">
        <v>201</v>
      </c>
      <c r="D2514" s="26" t="s">
        <v>1697</v>
      </c>
      <c r="E2514" s="26">
        <v>-23741.111000000001</v>
      </c>
      <c r="F2514" s="26">
        <v>50.101999999999997</v>
      </c>
      <c r="G2514" s="26">
        <f t="shared" si="39"/>
        <v>-23741.111000000001</v>
      </c>
    </row>
    <row r="2515" spans="1:7" x14ac:dyDescent="0.2">
      <c r="A2515" s="26">
        <v>122</v>
      </c>
      <c r="B2515" s="26">
        <v>79</v>
      </c>
      <c r="C2515" s="26">
        <v>201</v>
      </c>
      <c r="D2515" s="26" t="s">
        <v>1698</v>
      </c>
      <c r="E2515" s="26">
        <v>-26401.111000000001</v>
      </c>
      <c r="F2515" s="26">
        <v>3.1930000000000001</v>
      </c>
      <c r="G2515" s="26">
        <f t="shared" si="39"/>
        <v>-26401.111000000001</v>
      </c>
    </row>
    <row r="2516" spans="1:7" x14ac:dyDescent="0.2">
      <c r="A2516" s="26">
        <v>121</v>
      </c>
      <c r="B2516" s="26">
        <v>80</v>
      </c>
      <c r="C2516" s="26">
        <v>201</v>
      </c>
      <c r="D2516" s="26" t="s">
        <v>1699</v>
      </c>
      <c r="E2516" s="26">
        <v>-27663.258999999998</v>
      </c>
      <c r="F2516" s="26">
        <v>0.59499999999999997</v>
      </c>
      <c r="G2516" s="26">
        <f t="shared" si="39"/>
        <v>-27663.258999999998</v>
      </c>
    </row>
    <row r="2517" spans="1:7" x14ac:dyDescent="0.2">
      <c r="A2517" s="26">
        <v>120</v>
      </c>
      <c r="B2517" s="26">
        <v>81</v>
      </c>
      <c r="C2517" s="26">
        <v>201</v>
      </c>
      <c r="D2517" s="26" t="s">
        <v>1700</v>
      </c>
      <c r="E2517" s="26">
        <v>-27182.027999999998</v>
      </c>
      <c r="F2517" s="26">
        <v>15.054</v>
      </c>
      <c r="G2517" s="26">
        <f t="shared" si="39"/>
        <v>-27182.027999999998</v>
      </c>
    </row>
    <row r="2518" spans="1:7" x14ac:dyDescent="0.2">
      <c r="A2518" s="26">
        <v>119</v>
      </c>
      <c r="B2518" s="26">
        <v>82</v>
      </c>
      <c r="C2518" s="26">
        <v>201</v>
      </c>
      <c r="D2518" s="26" t="s">
        <v>1701</v>
      </c>
      <c r="E2518" s="26">
        <v>-25257.915000000001</v>
      </c>
      <c r="F2518" s="26">
        <v>22.355</v>
      </c>
      <c r="G2518" s="26">
        <f t="shared" si="39"/>
        <v>-25257.915000000001</v>
      </c>
    </row>
    <row r="2519" spans="1:7" x14ac:dyDescent="0.2">
      <c r="A2519" s="26">
        <v>118</v>
      </c>
      <c r="B2519" s="26">
        <v>83</v>
      </c>
      <c r="C2519" s="26">
        <v>201</v>
      </c>
      <c r="D2519" s="26" t="s">
        <v>1702</v>
      </c>
      <c r="E2519" s="26">
        <v>-21415.944</v>
      </c>
      <c r="F2519" s="26">
        <v>15.16</v>
      </c>
      <c r="G2519" s="26">
        <f t="shared" si="39"/>
        <v>-21415.944</v>
      </c>
    </row>
    <row r="2520" spans="1:7" x14ac:dyDescent="0.2">
      <c r="A2520" s="26">
        <v>117</v>
      </c>
      <c r="B2520" s="26">
        <v>84</v>
      </c>
      <c r="C2520" s="26">
        <v>201</v>
      </c>
      <c r="D2520" s="26" t="s">
        <v>1703</v>
      </c>
      <c r="E2520" s="26">
        <v>-16524.922999999999</v>
      </c>
      <c r="F2520" s="26">
        <v>5.8479999999999999</v>
      </c>
      <c r="G2520" s="26">
        <f t="shared" si="39"/>
        <v>-16524.922999999999</v>
      </c>
    </row>
    <row r="2521" spans="1:7" x14ac:dyDescent="0.2">
      <c r="A2521" s="26">
        <v>116</v>
      </c>
      <c r="B2521" s="26">
        <v>85</v>
      </c>
      <c r="C2521" s="26">
        <v>201</v>
      </c>
      <c r="D2521" s="26" t="s">
        <v>1704</v>
      </c>
      <c r="E2521" s="26">
        <v>-10789.495999999999</v>
      </c>
      <c r="F2521" s="26">
        <v>8.2840000000000007</v>
      </c>
      <c r="G2521" s="26">
        <f t="shared" si="39"/>
        <v>-10789.495999999999</v>
      </c>
    </row>
    <row r="2522" spans="1:7" x14ac:dyDescent="0.2">
      <c r="A2522" s="26">
        <v>115</v>
      </c>
      <c r="B2522" s="26">
        <v>86</v>
      </c>
      <c r="C2522" s="26">
        <v>201</v>
      </c>
      <c r="D2522" s="26" t="s">
        <v>1705</v>
      </c>
      <c r="E2522" s="26">
        <v>-4072.1790000000001</v>
      </c>
      <c r="F2522" s="26">
        <v>70.531000000000006</v>
      </c>
      <c r="G2522" s="26">
        <f t="shared" si="39"/>
        <v>-4072.1790000000001</v>
      </c>
    </row>
    <row r="2523" spans="1:7" x14ac:dyDescent="0.2">
      <c r="A2523" s="26">
        <v>114</v>
      </c>
      <c r="B2523" s="26">
        <v>87</v>
      </c>
      <c r="C2523" s="26">
        <v>201</v>
      </c>
      <c r="D2523" s="26" t="s">
        <v>1706</v>
      </c>
      <c r="E2523" s="26">
        <v>3596.375</v>
      </c>
      <c r="F2523" s="26">
        <v>71.361999999999995</v>
      </c>
      <c r="G2523" s="26">
        <f t="shared" si="39"/>
        <v>3596.375</v>
      </c>
    </row>
    <row r="2524" spans="1:7" x14ac:dyDescent="0.2">
      <c r="A2524" s="26">
        <v>124</v>
      </c>
      <c r="B2524" s="26">
        <v>78</v>
      </c>
      <c r="C2524" s="26">
        <v>202</v>
      </c>
      <c r="D2524" s="26" t="s">
        <v>1697</v>
      </c>
      <c r="E2524" s="26" t="s">
        <v>1444</v>
      </c>
      <c r="F2524" s="26" t="s">
        <v>1730</v>
      </c>
      <c r="G2524" s="26">
        <f t="shared" si="39"/>
        <v>-22598.01</v>
      </c>
    </row>
    <row r="2525" spans="1:7" x14ac:dyDescent="0.2">
      <c r="A2525" s="26">
        <v>123</v>
      </c>
      <c r="B2525" s="26">
        <v>79</v>
      </c>
      <c r="C2525" s="26">
        <v>202</v>
      </c>
      <c r="D2525" s="26" t="s">
        <v>1698</v>
      </c>
      <c r="E2525" s="26">
        <v>-24399.705000000002</v>
      </c>
      <c r="F2525" s="26">
        <v>166.411</v>
      </c>
      <c r="G2525" s="26">
        <f t="shared" si="39"/>
        <v>-24399.705000000002</v>
      </c>
    </row>
    <row r="2526" spans="1:7" x14ac:dyDescent="0.2">
      <c r="A2526" s="26">
        <v>122</v>
      </c>
      <c r="B2526" s="26">
        <v>80</v>
      </c>
      <c r="C2526" s="26">
        <v>202</v>
      </c>
      <c r="D2526" s="26" t="s">
        <v>1699</v>
      </c>
      <c r="E2526" s="26">
        <v>-27345.859</v>
      </c>
      <c r="F2526" s="26">
        <v>0.59099999999999997</v>
      </c>
      <c r="G2526" s="26">
        <f t="shared" si="39"/>
        <v>-27345.859</v>
      </c>
    </row>
    <row r="2527" spans="1:7" x14ac:dyDescent="0.2">
      <c r="A2527" s="26">
        <v>121</v>
      </c>
      <c r="B2527" s="26">
        <v>81</v>
      </c>
      <c r="C2527" s="26">
        <v>202</v>
      </c>
      <c r="D2527" s="26" t="s">
        <v>1700</v>
      </c>
      <c r="E2527" s="26">
        <v>-25983.272000000001</v>
      </c>
      <c r="F2527" s="26">
        <v>14.755000000000001</v>
      </c>
      <c r="G2527" s="26">
        <f t="shared" si="39"/>
        <v>-25983.272000000001</v>
      </c>
    </row>
    <row r="2528" spans="1:7" x14ac:dyDescent="0.2">
      <c r="A2528" s="26">
        <v>120</v>
      </c>
      <c r="B2528" s="26">
        <v>82</v>
      </c>
      <c r="C2528" s="26">
        <v>202</v>
      </c>
      <c r="D2528" s="26" t="s">
        <v>1701</v>
      </c>
      <c r="E2528" s="26">
        <v>-25933.599999999999</v>
      </c>
      <c r="F2528" s="26">
        <v>8.1780000000000008</v>
      </c>
      <c r="G2528" s="26">
        <f t="shared" si="39"/>
        <v>-25933.599999999999</v>
      </c>
    </row>
    <row r="2529" spans="1:7" x14ac:dyDescent="0.2">
      <c r="A2529" s="26">
        <v>119</v>
      </c>
      <c r="B2529" s="26">
        <v>83</v>
      </c>
      <c r="C2529" s="26">
        <v>202</v>
      </c>
      <c r="D2529" s="26" t="s">
        <v>1702</v>
      </c>
      <c r="E2529" s="26">
        <v>-20732.892</v>
      </c>
      <c r="F2529" s="26">
        <v>20.387</v>
      </c>
      <c r="G2529" s="26">
        <f t="shared" si="39"/>
        <v>-20732.892</v>
      </c>
    </row>
    <row r="2530" spans="1:7" x14ac:dyDescent="0.2">
      <c r="A2530" s="26">
        <v>118</v>
      </c>
      <c r="B2530" s="26">
        <v>84</v>
      </c>
      <c r="C2530" s="26">
        <v>202</v>
      </c>
      <c r="D2530" s="26" t="s">
        <v>1703</v>
      </c>
      <c r="E2530" s="26">
        <v>-17924.235000000001</v>
      </c>
      <c r="F2530" s="26">
        <v>14.677</v>
      </c>
      <c r="G2530" s="26">
        <f t="shared" si="39"/>
        <v>-17924.235000000001</v>
      </c>
    </row>
    <row r="2531" spans="1:7" x14ac:dyDescent="0.2">
      <c r="A2531" s="26">
        <v>117</v>
      </c>
      <c r="B2531" s="26">
        <v>85</v>
      </c>
      <c r="C2531" s="26">
        <v>202</v>
      </c>
      <c r="D2531" s="26" t="s">
        <v>1704</v>
      </c>
      <c r="E2531" s="26">
        <v>-10590.867</v>
      </c>
      <c r="F2531" s="26">
        <v>27.978000000000002</v>
      </c>
      <c r="G2531" s="26">
        <f t="shared" si="39"/>
        <v>-10590.867</v>
      </c>
    </row>
    <row r="2532" spans="1:7" x14ac:dyDescent="0.2">
      <c r="A2532" s="26">
        <v>116</v>
      </c>
      <c r="B2532" s="26">
        <v>86</v>
      </c>
      <c r="C2532" s="26">
        <v>202</v>
      </c>
      <c r="D2532" s="26" t="s">
        <v>1705</v>
      </c>
      <c r="E2532" s="26">
        <v>-6275.0169999999998</v>
      </c>
      <c r="F2532" s="26">
        <v>17.542999999999999</v>
      </c>
      <c r="G2532" s="26">
        <f t="shared" si="39"/>
        <v>-6275.0169999999998</v>
      </c>
    </row>
    <row r="2533" spans="1:7" x14ac:dyDescent="0.2">
      <c r="A2533" s="26">
        <v>115</v>
      </c>
      <c r="B2533" s="26">
        <v>87</v>
      </c>
      <c r="C2533" s="26">
        <v>202</v>
      </c>
      <c r="D2533" s="26" t="s">
        <v>1706</v>
      </c>
      <c r="E2533" s="26">
        <v>3141.7869999999998</v>
      </c>
      <c r="F2533" s="26">
        <v>49.491</v>
      </c>
      <c r="G2533" s="26">
        <f t="shared" si="39"/>
        <v>3141.7869999999998</v>
      </c>
    </row>
    <row r="2534" spans="1:7" x14ac:dyDescent="0.2">
      <c r="A2534" s="26">
        <v>114</v>
      </c>
      <c r="B2534" s="26">
        <v>88</v>
      </c>
      <c r="C2534" s="26">
        <v>202</v>
      </c>
      <c r="D2534" s="26" t="s">
        <v>1707</v>
      </c>
      <c r="E2534" s="26">
        <v>9213.1149999999998</v>
      </c>
      <c r="F2534" s="26">
        <v>62.597999999999999</v>
      </c>
      <c r="G2534" s="26">
        <f t="shared" si="39"/>
        <v>9213.1149999999998</v>
      </c>
    </row>
    <row r="2535" spans="1:7" x14ac:dyDescent="0.2">
      <c r="A2535" s="26">
        <v>124</v>
      </c>
      <c r="B2535" s="26">
        <v>79</v>
      </c>
      <c r="C2535" s="26">
        <v>203</v>
      </c>
      <c r="D2535" s="26" t="s">
        <v>1698</v>
      </c>
      <c r="E2535" s="26">
        <v>-23143.394</v>
      </c>
      <c r="F2535" s="26">
        <v>3.0579999999999998</v>
      </c>
      <c r="G2535" s="26">
        <f t="shared" si="39"/>
        <v>-23143.394</v>
      </c>
    </row>
    <row r="2536" spans="1:7" x14ac:dyDescent="0.2">
      <c r="A2536" s="26">
        <v>123</v>
      </c>
      <c r="B2536" s="26">
        <v>80</v>
      </c>
      <c r="C2536" s="26">
        <v>203</v>
      </c>
      <c r="D2536" s="26" t="s">
        <v>1699</v>
      </c>
      <c r="E2536" s="26">
        <v>-25269.118999999999</v>
      </c>
      <c r="F2536" s="26">
        <v>1.6890000000000001</v>
      </c>
      <c r="G2536" s="26">
        <f t="shared" si="39"/>
        <v>-25269.118999999999</v>
      </c>
    </row>
    <row r="2537" spans="1:7" x14ac:dyDescent="0.2">
      <c r="A2537" s="26">
        <v>122</v>
      </c>
      <c r="B2537" s="26">
        <v>81</v>
      </c>
      <c r="C2537" s="26">
        <v>203</v>
      </c>
      <c r="D2537" s="26" t="s">
        <v>1700</v>
      </c>
      <c r="E2537" s="26">
        <v>-25761.191999999999</v>
      </c>
      <c r="F2537" s="26">
        <v>1.272</v>
      </c>
      <c r="G2537" s="26">
        <f t="shared" si="39"/>
        <v>-25761.191999999999</v>
      </c>
    </row>
    <row r="2538" spans="1:7" x14ac:dyDescent="0.2">
      <c r="A2538" s="26">
        <v>121</v>
      </c>
      <c r="B2538" s="26">
        <v>82</v>
      </c>
      <c r="C2538" s="26">
        <v>203</v>
      </c>
      <c r="D2538" s="26" t="s">
        <v>1701</v>
      </c>
      <c r="E2538" s="26">
        <v>-24786.57</v>
      </c>
      <c r="F2538" s="26">
        <v>6.5279999999999996</v>
      </c>
      <c r="G2538" s="26">
        <f t="shared" si="39"/>
        <v>-24786.57</v>
      </c>
    </row>
    <row r="2539" spans="1:7" x14ac:dyDescent="0.2">
      <c r="A2539" s="26">
        <v>120</v>
      </c>
      <c r="B2539" s="26">
        <v>83</v>
      </c>
      <c r="C2539" s="26">
        <v>203</v>
      </c>
      <c r="D2539" s="26" t="s">
        <v>1702</v>
      </c>
      <c r="E2539" s="26">
        <v>-21539.866000000002</v>
      </c>
      <c r="F2539" s="26">
        <v>21.632999999999999</v>
      </c>
      <c r="G2539" s="26">
        <f t="shared" si="39"/>
        <v>-21539.866000000002</v>
      </c>
    </row>
    <row r="2540" spans="1:7" x14ac:dyDescent="0.2">
      <c r="A2540" s="26">
        <v>119</v>
      </c>
      <c r="B2540" s="26">
        <v>84</v>
      </c>
      <c r="C2540" s="26">
        <v>203</v>
      </c>
      <c r="D2540" s="26" t="s">
        <v>1703</v>
      </c>
      <c r="E2540" s="26">
        <v>-17307.062000000002</v>
      </c>
      <c r="F2540" s="26">
        <v>25.946000000000002</v>
      </c>
      <c r="G2540" s="26">
        <f t="shared" si="39"/>
        <v>-17307.062000000002</v>
      </c>
    </row>
    <row r="2541" spans="1:7" x14ac:dyDescent="0.2">
      <c r="A2541" s="26">
        <v>118</v>
      </c>
      <c r="B2541" s="26">
        <v>85</v>
      </c>
      <c r="C2541" s="26">
        <v>203</v>
      </c>
      <c r="D2541" s="26" t="s">
        <v>1704</v>
      </c>
      <c r="E2541" s="26">
        <v>-12163.464</v>
      </c>
      <c r="F2541" s="26">
        <v>11.817</v>
      </c>
      <c r="G2541" s="26">
        <f t="shared" si="39"/>
        <v>-12163.464</v>
      </c>
    </row>
    <row r="2542" spans="1:7" x14ac:dyDescent="0.2">
      <c r="A2542" s="26">
        <v>117</v>
      </c>
      <c r="B2542" s="26">
        <v>86</v>
      </c>
      <c r="C2542" s="26">
        <v>203</v>
      </c>
      <c r="D2542" s="26" t="s">
        <v>1705</v>
      </c>
      <c r="E2542" s="26">
        <v>-6160.2610000000004</v>
      </c>
      <c r="F2542" s="26">
        <v>23.567</v>
      </c>
      <c r="G2542" s="26">
        <f t="shared" si="39"/>
        <v>-6160.2610000000004</v>
      </c>
    </row>
    <row r="2543" spans="1:7" x14ac:dyDescent="0.2">
      <c r="A2543" s="26">
        <v>116</v>
      </c>
      <c r="B2543" s="26">
        <v>87</v>
      </c>
      <c r="C2543" s="26">
        <v>203</v>
      </c>
      <c r="D2543" s="26" t="s">
        <v>1706</v>
      </c>
      <c r="E2543" s="26">
        <v>861.303</v>
      </c>
      <c r="F2543" s="26">
        <v>15.835000000000001</v>
      </c>
      <c r="G2543" s="26">
        <f t="shared" si="39"/>
        <v>861.303</v>
      </c>
    </row>
    <row r="2544" spans="1:7" x14ac:dyDescent="0.2">
      <c r="A2544" s="26">
        <v>115</v>
      </c>
      <c r="B2544" s="26">
        <v>88</v>
      </c>
      <c r="C2544" s="26">
        <v>203</v>
      </c>
      <c r="D2544" s="26" t="s">
        <v>1707</v>
      </c>
      <c r="E2544" s="26">
        <v>8636.4580000000005</v>
      </c>
      <c r="F2544" s="26">
        <v>80.888000000000005</v>
      </c>
      <c r="G2544" s="26">
        <f t="shared" si="39"/>
        <v>8636.4580000000005</v>
      </c>
    </row>
    <row r="2545" spans="1:7" x14ac:dyDescent="0.2">
      <c r="A2545" s="26">
        <v>125</v>
      </c>
      <c r="B2545" s="26">
        <v>79</v>
      </c>
      <c r="C2545" s="26">
        <v>204</v>
      </c>
      <c r="D2545" s="26" t="s">
        <v>1698</v>
      </c>
      <c r="E2545" s="26" t="s">
        <v>691</v>
      </c>
      <c r="F2545" s="26" t="s">
        <v>1478</v>
      </c>
      <c r="G2545" s="26">
        <f t="shared" si="39"/>
        <v>-20750.009999999998</v>
      </c>
    </row>
    <row r="2546" spans="1:7" x14ac:dyDescent="0.2">
      <c r="A2546" s="26">
        <v>124</v>
      </c>
      <c r="B2546" s="26">
        <v>80</v>
      </c>
      <c r="C2546" s="26">
        <v>204</v>
      </c>
      <c r="D2546" s="26" t="s">
        <v>1699</v>
      </c>
      <c r="E2546" s="26">
        <v>-24690.241999999998</v>
      </c>
      <c r="F2546" s="26">
        <v>0.33900000000000002</v>
      </c>
      <c r="G2546" s="26">
        <f t="shared" si="39"/>
        <v>-24690.241999999998</v>
      </c>
    </row>
    <row r="2547" spans="1:7" x14ac:dyDescent="0.2">
      <c r="A2547" s="26">
        <v>123</v>
      </c>
      <c r="B2547" s="26">
        <v>81</v>
      </c>
      <c r="C2547" s="26">
        <v>204</v>
      </c>
      <c r="D2547" s="26" t="s">
        <v>1700</v>
      </c>
      <c r="E2547" s="26">
        <v>-24345.972000000002</v>
      </c>
      <c r="F2547" s="26">
        <v>1.2509999999999999</v>
      </c>
      <c r="G2547" s="26">
        <f t="shared" si="39"/>
        <v>-24345.972000000002</v>
      </c>
    </row>
    <row r="2548" spans="1:7" x14ac:dyDescent="0.2">
      <c r="A2548" s="26">
        <v>122</v>
      </c>
      <c r="B2548" s="26">
        <v>82</v>
      </c>
      <c r="C2548" s="26">
        <v>204</v>
      </c>
      <c r="D2548" s="26" t="s">
        <v>1701</v>
      </c>
      <c r="E2548" s="26">
        <v>-25109.735000000001</v>
      </c>
      <c r="F2548" s="26">
        <v>1.244</v>
      </c>
      <c r="G2548" s="26">
        <f t="shared" si="39"/>
        <v>-25109.735000000001</v>
      </c>
    </row>
    <row r="2549" spans="1:7" x14ac:dyDescent="0.2">
      <c r="A2549" s="26">
        <v>121</v>
      </c>
      <c r="B2549" s="26">
        <v>83</v>
      </c>
      <c r="C2549" s="26">
        <v>204</v>
      </c>
      <c r="D2549" s="26" t="s">
        <v>1702</v>
      </c>
      <c r="E2549" s="26">
        <v>-20667.303</v>
      </c>
      <c r="F2549" s="26">
        <v>25.952999999999999</v>
      </c>
      <c r="G2549" s="26">
        <f t="shared" si="39"/>
        <v>-20667.303</v>
      </c>
    </row>
    <row r="2550" spans="1:7" x14ac:dyDescent="0.2">
      <c r="A2550" s="26">
        <v>120</v>
      </c>
      <c r="B2550" s="26">
        <v>84</v>
      </c>
      <c r="C2550" s="26">
        <v>204</v>
      </c>
      <c r="D2550" s="26" t="s">
        <v>1703</v>
      </c>
      <c r="E2550" s="26">
        <v>-18333.550999999999</v>
      </c>
      <c r="F2550" s="26">
        <v>11.023</v>
      </c>
      <c r="G2550" s="26">
        <f t="shared" si="39"/>
        <v>-18333.550999999999</v>
      </c>
    </row>
    <row r="2551" spans="1:7" x14ac:dyDescent="0.2">
      <c r="A2551" s="26">
        <v>119</v>
      </c>
      <c r="B2551" s="26">
        <v>85</v>
      </c>
      <c r="C2551" s="26">
        <v>204</v>
      </c>
      <c r="D2551" s="26" t="s">
        <v>1704</v>
      </c>
      <c r="E2551" s="26">
        <v>-11875.313</v>
      </c>
      <c r="F2551" s="26">
        <v>23.978999999999999</v>
      </c>
      <c r="G2551" s="26">
        <f t="shared" si="39"/>
        <v>-11875.313</v>
      </c>
    </row>
    <row r="2552" spans="1:7" x14ac:dyDescent="0.2">
      <c r="A2552" s="26">
        <v>118</v>
      </c>
      <c r="B2552" s="26">
        <v>86</v>
      </c>
      <c r="C2552" s="26">
        <v>204</v>
      </c>
      <c r="D2552" s="26" t="s">
        <v>1705</v>
      </c>
      <c r="E2552" s="26">
        <v>-7984.0770000000002</v>
      </c>
      <c r="F2552" s="26">
        <v>14.54</v>
      </c>
      <c r="G2552" s="26">
        <f t="shared" si="39"/>
        <v>-7984.0770000000002</v>
      </c>
    </row>
    <row r="2553" spans="1:7" x14ac:dyDescent="0.2">
      <c r="A2553" s="26">
        <v>117</v>
      </c>
      <c r="B2553" s="26">
        <v>87</v>
      </c>
      <c r="C2553" s="26">
        <v>204</v>
      </c>
      <c r="D2553" s="26" t="s">
        <v>1706</v>
      </c>
      <c r="E2553" s="26">
        <v>608.45600000000002</v>
      </c>
      <c r="F2553" s="26">
        <v>24.593</v>
      </c>
      <c r="G2553" s="26">
        <f t="shared" si="39"/>
        <v>608.45600000000002</v>
      </c>
    </row>
    <row r="2554" spans="1:7" x14ac:dyDescent="0.2">
      <c r="A2554" s="26">
        <v>116</v>
      </c>
      <c r="B2554" s="26">
        <v>88</v>
      </c>
      <c r="C2554" s="26">
        <v>204</v>
      </c>
      <c r="D2554" s="26" t="s">
        <v>1707</v>
      </c>
      <c r="E2554" s="26">
        <v>6054.402</v>
      </c>
      <c r="F2554" s="26">
        <v>15.372999999999999</v>
      </c>
      <c r="G2554" s="26">
        <f t="shared" si="39"/>
        <v>6054.402</v>
      </c>
    </row>
    <row r="2555" spans="1:7" x14ac:dyDescent="0.2">
      <c r="A2555" s="26">
        <v>126</v>
      </c>
      <c r="B2555" s="26">
        <v>79</v>
      </c>
      <c r="C2555" s="26">
        <v>205</v>
      </c>
      <c r="D2555" s="26" t="s">
        <v>1698</v>
      </c>
      <c r="E2555" s="26" t="s">
        <v>692</v>
      </c>
      <c r="F2555" s="26" t="s">
        <v>1730</v>
      </c>
      <c r="G2555" s="26">
        <f t="shared" si="39"/>
        <v>-18751.009999999998</v>
      </c>
    </row>
    <row r="2556" spans="1:7" x14ac:dyDescent="0.2">
      <c r="A2556" s="26">
        <v>125</v>
      </c>
      <c r="B2556" s="26">
        <v>80</v>
      </c>
      <c r="C2556" s="26">
        <v>205</v>
      </c>
      <c r="D2556" s="26" t="s">
        <v>1699</v>
      </c>
      <c r="E2556" s="26">
        <v>-22287.496999999999</v>
      </c>
      <c r="F2556" s="26">
        <v>3.6440000000000001</v>
      </c>
      <c r="G2556" s="26">
        <f t="shared" si="39"/>
        <v>-22287.496999999999</v>
      </c>
    </row>
    <row r="2557" spans="1:7" x14ac:dyDescent="0.2">
      <c r="A2557" s="26">
        <v>124</v>
      </c>
      <c r="B2557" s="26">
        <v>81</v>
      </c>
      <c r="C2557" s="26">
        <v>205</v>
      </c>
      <c r="D2557" s="26" t="s">
        <v>1700</v>
      </c>
      <c r="E2557" s="26">
        <v>-23820.592000000001</v>
      </c>
      <c r="F2557" s="26">
        <v>1.325</v>
      </c>
      <c r="G2557" s="26">
        <f t="shared" si="39"/>
        <v>-23820.592000000001</v>
      </c>
    </row>
    <row r="2558" spans="1:7" x14ac:dyDescent="0.2">
      <c r="A2558" s="26">
        <v>123</v>
      </c>
      <c r="B2558" s="26">
        <v>82</v>
      </c>
      <c r="C2558" s="26">
        <v>205</v>
      </c>
      <c r="D2558" s="26" t="s">
        <v>1701</v>
      </c>
      <c r="E2558" s="26">
        <v>-23770.091</v>
      </c>
      <c r="F2558" s="26">
        <v>1.2410000000000001</v>
      </c>
      <c r="G2558" s="26">
        <f t="shared" si="39"/>
        <v>-23770.091</v>
      </c>
    </row>
    <row r="2559" spans="1:7" x14ac:dyDescent="0.2">
      <c r="A2559" s="26">
        <v>122</v>
      </c>
      <c r="B2559" s="26">
        <v>83</v>
      </c>
      <c r="C2559" s="26">
        <v>205</v>
      </c>
      <c r="D2559" s="26" t="s">
        <v>1702</v>
      </c>
      <c r="E2559" s="26">
        <v>-21061.67</v>
      </c>
      <c r="F2559" s="26">
        <v>7.1790000000000003</v>
      </c>
      <c r="G2559" s="26">
        <f t="shared" si="39"/>
        <v>-21061.67</v>
      </c>
    </row>
    <row r="2560" spans="1:7" x14ac:dyDescent="0.2">
      <c r="A2560" s="26">
        <v>121</v>
      </c>
      <c r="B2560" s="26">
        <v>84</v>
      </c>
      <c r="C2560" s="26">
        <v>205</v>
      </c>
      <c r="D2560" s="26" t="s">
        <v>1703</v>
      </c>
      <c r="E2560" s="26">
        <v>-17508.992999999999</v>
      </c>
      <c r="F2560" s="26">
        <v>19.891999999999999</v>
      </c>
      <c r="G2560" s="26">
        <f t="shared" si="39"/>
        <v>-17508.992999999999</v>
      </c>
    </row>
    <row r="2561" spans="1:7" x14ac:dyDescent="0.2">
      <c r="A2561" s="26">
        <v>120</v>
      </c>
      <c r="B2561" s="26">
        <v>85</v>
      </c>
      <c r="C2561" s="26">
        <v>205</v>
      </c>
      <c r="D2561" s="26" t="s">
        <v>1704</v>
      </c>
      <c r="E2561" s="26">
        <v>-12971.536</v>
      </c>
      <c r="F2561" s="26">
        <v>15.061999999999999</v>
      </c>
      <c r="G2561" s="26">
        <f t="shared" si="39"/>
        <v>-12971.536</v>
      </c>
    </row>
    <row r="2562" spans="1:7" x14ac:dyDescent="0.2">
      <c r="A2562" s="26">
        <v>119</v>
      </c>
      <c r="B2562" s="26">
        <v>86</v>
      </c>
      <c r="C2562" s="26">
        <v>205</v>
      </c>
      <c r="D2562" s="26" t="s">
        <v>1705</v>
      </c>
      <c r="E2562" s="26">
        <v>-7713.8890000000001</v>
      </c>
      <c r="F2562" s="26">
        <v>50.341000000000001</v>
      </c>
      <c r="G2562" s="26">
        <f t="shared" si="39"/>
        <v>-7713.8890000000001</v>
      </c>
    </row>
    <row r="2563" spans="1:7" x14ac:dyDescent="0.2">
      <c r="A2563" s="26">
        <v>118</v>
      </c>
      <c r="B2563" s="26">
        <v>87</v>
      </c>
      <c r="C2563" s="26">
        <v>205</v>
      </c>
      <c r="D2563" s="26" t="s">
        <v>1706</v>
      </c>
      <c r="E2563" s="26">
        <v>-1309.7170000000001</v>
      </c>
      <c r="F2563" s="26">
        <v>7.8239999999999998</v>
      </c>
      <c r="G2563" s="26">
        <f t="shared" si="39"/>
        <v>-1309.7170000000001</v>
      </c>
    </row>
    <row r="2564" spans="1:7" x14ac:dyDescent="0.2">
      <c r="A2564" s="26">
        <v>117</v>
      </c>
      <c r="B2564" s="26">
        <v>88</v>
      </c>
      <c r="C2564" s="26">
        <v>205</v>
      </c>
      <c r="D2564" s="26" t="s">
        <v>1707</v>
      </c>
      <c r="E2564" s="26">
        <v>5839.1360000000004</v>
      </c>
      <c r="F2564" s="26">
        <v>86.456000000000003</v>
      </c>
      <c r="G2564" s="26">
        <f t="shared" si="39"/>
        <v>5839.1360000000004</v>
      </c>
    </row>
    <row r="2565" spans="1:7" x14ac:dyDescent="0.2">
      <c r="A2565" s="26">
        <v>126</v>
      </c>
      <c r="B2565" s="26">
        <v>80</v>
      </c>
      <c r="C2565" s="26">
        <v>206</v>
      </c>
      <c r="D2565" s="26" t="s">
        <v>1699</v>
      </c>
      <c r="E2565" s="26">
        <v>-20945.511999999999</v>
      </c>
      <c r="F2565" s="26">
        <v>20.446000000000002</v>
      </c>
      <c r="G2565" s="26">
        <f t="shared" si="39"/>
        <v>-20945.511999999999</v>
      </c>
    </row>
    <row r="2566" spans="1:7" x14ac:dyDescent="0.2">
      <c r="A2566" s="26">
        <v>125</v>
      </c>
      <c r="B2566" s="26">
        <v>81</v>
      </c>
      <c r="C2566" s="26">
        <v>206</v>
      </c>
      <c r="D2566" s="26" t="s">
        <v>1700</v>
      </c>
      <c r="E2566" s="26">
        <v>-22253.094000000001</v>
      </c>
      <c r="F2566" s="26">
        <v>1.37</v>
      </c>
      <c r="G2566" s="26">
        <f t="shared" si="39"/>
        <v>-22253.094000000001</v>
      </c>
    </row>
    <row r="2567" spans="1:7" x14ac:dyDescent="0.2">
      <c r="A2567" s="26">
        <v>124</v>
      </c>
      <c r="B2567" s="26">
        <v>82</v>
      </c>
      <c r="C2567" s="26">
        <v>206</v>
      </c>
      <c r="D2567" s="26" t="s">
        <v>1701</v>
      </c>
      <c r="E2567" s="26">
        <v>-23785.439999999999</v>
      </c>
      <c r="F2567" s="26">
        <v>1.24</v>
      </c>
      <c r="G2567" s="26">
        <f t="shared" si="39"/>
        <v>-23785.439999999999</v>
      </c>
    </row>
    <row r="2568" spans="1:7" x14ac:dyDescent="0.2">
      <c r="A2568" s="26">
        <v>123</v>
      </c>
      <c r="B2568" s="26">
        <v>83</v>
      </c>
      <c r="C2568" s="26">
        <v>206</v>
      </c>
      <c r="D2568" s="26" t="s">
        <v>1702</v>
      </c>
      <c r="E2568" s="26">
        <v>-20027.931</v>
      </c>
      <c r="F2568" s="26">
        <v>7.782</v>
      </c>
      <c r="G2568" s="26">
        <f t="shared" si="39"/>
        <v>-20027.931</v>
      </c>
    </row>
    <row r="2569" spans="1:7" x14ac:dyDescent="0.2">
      <c r="A2569" s="26">
        <v>122</v>
      </c>
      <c r="B2569" s="26">
        <v>84</v>
      </c>
      <c r="C2569" s="26">
        <v>206</v>
      </c>
      <c r="D2569" s="26" t="s">
        <v>1703</v>
      </c>
      <c r="E2569" s="26">
        <v>-18181.739000000001</v>
      </c>
      <c r="F2569" s="26">
        <v>8.2810000000000006</v>
      </c>
      <c r="G2569" s="26">
        <f t="shared" si="39"/>
        <v>-18181.739000000001</v>
      </c>
    </row>
    <row r="2570" spans="1:7" x14ac:dyDescent="0.2">
      <c r="A2570" s="26">
        <v>121</v>
      </c>
      <c r="B2570" s="26">
        <v>85</v>
      </c>
      <c r="C2570" s="26">
        <v>206</v>
      </c>
      <c r="D2570" s="26" t="s">
        <v>1704</v>
      </c>
      <c r="E2570" s="26">
        <v>-12419.575999999999</v>
      </c>
      <c r="F2570" s="26">
        <v>20.471</v>
      </c>
      <c r="G2570" s="26">
        <f t="shared" ref="G2570:G2633" si="40">IF(ISNUMBER(E2570),E2570,VALUE(SUBSTITUTE(E2570,"#",".01")))</f>
        <v>-12419.575999999999</v>
      </c>
    </row>
    <row r="2571" spans="1:7" x14ac:dyDescent="0.2">
      <c r="A2571" s="26">
        <v>120</v>
      </c>
      <c r="B2571" s="26">
        <v>86</v>
      </c>
      <c r="C2571" s="26">
        <v>206</v>
      </c>
      <c r="D2571" s="26" t="s">
        <v>1705</v>
      </c>
      <c r="E2571" s="26">
        <v>-9115.5030000000006</v>
      </c>
      <c r="F2571" s="26">
        <v>14.769</v>
      </c>
      <c r="G2571" s="26">
        <f t="shared" si="40"/>
        <v>-9115.5030000000006</v>
      </c>
    </row>
    <row r="2572" spans="1:7" x14ac:dyDescent="0.2">
      <c r="A2572" s="26">
        <v>119</v>
      </c>
      <c r="B2572" s="26">
        <v>87</v>
      </c>
      <c r="C2572" s="26">
        <v>206</v>
      </c>
      <c r="D2572" s="26" t="s">
        <v>1706</v>
      </c>
      <c r="E2572" s="26">
        <v>-1242.5509999999999</v>
      </c>
      <c r="F2572" s="26">
        <v>28.196000000000002</v>
      </c>
      <c r="G2572" s="26">
        <f t="shared" si="40"/>
        <v>-1242.5509999999999</v>
      </c>
    </row>
    <row r="2573" spans="1:7" x14ac:dyDescent="0.2">
      <c r="A2573" s="26">
        <v>118</v>
      </c>
      <c r="B2573" s="26">
        <v>88</v>
      </c>
      <c r="C2573" s="26">
        <v>206</v>
      </c>
      <c r="D2573" s="26" t="s">
        <v>1707</v>
      </c>
      <c r="E2573" s="26">
        <v>3565.0790000000002</v>
      </c>
      <c r="F2573" s="26">
        <v>18.03</v>
      </c>
      <c r="G2573" s="26">
        <f t="shared" si="40"/>
        <v>3565.0790000000002</v>
      </c>
    </row>
    <row r="2574" spans="1:7" x14ac:dyDescent="0.2">
      <c r="A2574" s="26">
        <v>117</v>
      </c>
      <c r="B2574" s="26">
        <v>89</v>
      </c>
      <c r="C2574" s="26">
        <v>206</v>
      </c>
      <c r="D2574" s="26" t="s">
        <v>1708</v>
      </c>
      <c r="E2574" s="26">
        <v>13511.303</v>
      </c>
      <c r="F2574" s="26">
        <v>70.352000000000004</v>
      </c>
      <c r="G2574" s="26">
        <f t="shared" si="40"/>
        <v>13511.303</v>
      </c>
    </row>
    <row r="2575" spans="1:7" x14ac:dyDescent="0.2">
      <c r="A2575" s="26">
        <v>127</v>
      </c>
      <c r="B2575" s="26">
        <v>80</v>
      </c>
      <c r="C2575" s="26">
        <v>207</v>
      </c>
      <c r="D2575" s="26" t="s">
        <v>1699</v>
      </c>
      <c r="E2575" s="26">
        <v>-16218.665999999999</v>
      </c>
      <c r="F2575" s="26">
        <v>150.101</v>
      </c>
      <c r="G2575" s="26">
        <f t="shared" si="40"/>
        <v>-16218.665999999999</v>
      </c>
    </row>
    <row r="2576" spans="1:7" x14ac:dyDescent="0.2">
      <c r="A2576" s="26">
        <v>126</v>
      </c>
      <c r="B2576" s="26">
        <v>81</v>
      </c>
      <c r="C2576" s="26">
        <v>207</v>
      </c>
      <c r="D2576" s="26" t="s">
        <v>1700</v>
      </c>
      <c r="E2576" s="26">
        <v>-21033.666000000001</v>
      </c>
      <c r="F2576" s="26">
        <v>5.4969999999999999</v>
      </c>
      <c r="G2576" s="26">
        <f t="shared" si="40"/>
        <v>-21033.666000000001</v>
      </c>
    </row>
    <row r="2577" spans="1:7" x14ac:dyDescent="0.2">
      <c r="A2577" s="26">
        <v>125</v>
      </c>
      <c r="B2577" s="26">
        <v>82</v>
      </c>
      <c r="C2577" s="26">
        <v>207</v>
      </c>
      <c r="D2577" s="26" t="s">
        <v>1701</v>
      </c>
      <c r="E2577" s="26">
        <v>-22451.904999999999</v>
      </c>
      <c r="F2577" s="26">
        <v>1.2430000000000001</v>
      </c>
      <c r="G2577" s="26">
        <f t="shared" si="40"/>
        <v>-22451.904999999999</v>
      </c>
    </row>
    <row r="2578" spans="1:7" x14ac:dyDescent="0.2">
      <c r="A2578" s="26">
        <v>124</v>
      </c>
      <c r="B2578" s="26">
        <v>83</v>
      </c>
      <c r="C2578" s="26">
        <v>207</v>
      </c>
      <c r="D2578" s="26" t="s">
        <v>1702</v>
      </c>
      <c r="E2578" s="26">
        <v>-20054.433000000001</v>
      </c>
      <c r="F2578" s="26">
        <v>2.4449999999999998</v>
      </c>
      <c r="G2578" s="26">
        <f t="shared" si="40"/>
        <v>-20054.433000000001</v>
      </c>
    </row>
    <row r="2579" spans="1:7" x14ac:dyDescent="0.2">
      <c r="A2579" s="26">
        <v>123</v>
      </c>
      <c r="B2579" s="26">
        <v>84</v>
      </c>
      <c r="C2579" s="26">
        <v>207</v>
      </c>
      <c r="D2579" s="26" t="s">
        <v>1703</v>
      </c>
      <c r="E2579" s="26">
        <v>-17145.848999999998</v>
      </c>
      <c r="F2579" s="26">
        <v>6.6379999999999999</v>
      </c>
      <c r="G2579" s="26">
        <f t="shared" si="40"/>
        <v>-17145.848999999998</v>
      </c>
    </row>
    <row r="2580" spans="1:7" x14ac:dyDescent="0.2">
      <c r="A2580" s="26">
        <v>122</v>
      </c>
      <c r="B2580" s="26">
        <v>85</v>
      </c>
      <c r="C2580" s="26">
        <v>207</v>
      </c>
      <c r="D2580" s="26" t="s">
        <v>1704</v>
      </c>
      <c r="E2580" s="26">
        <v>-13242.582</v>
      </c>
      <c r="F2580" s="26">
        <v>21.495000000000001</v>
      </c>
      <c r="G2580" s="26">
        <f t="shared" si="40"/>
        <v>-13242.582</v>
      </c>
    </row>
    <row r="2581" spans="1:7" x14ac:dyDescent="0.2">
      <c r="A2581" s="26">
        <v>121</v>
      </c>
      <c r="B2581" s="26">
        <v>86</v>
      </c>
      <c r="C2581" s="26">
        <v>207</v>
      </c>
      <c r="D2581" s="26" t="s">
        <v>1705</v>
      </c>
      <c r="E2581" s="26">
        <v>-8631.0139999999992</v>
      </c>
      <c r="F2581" s="26">
        <v>25.998000000000001</v>
      </c>
      <c r="G2581" s="26">
        <f t="shared" si="40"/>
        <v>-8631.0139999999992</v>
      </c>
    </row>
    <row r="2582" spans="1:7" x14ac:dyDescent="0.2">
      <c r="A2582" s="26">
        <v>120</v>
      </c>
      <c r="B2582" s="26">
        <v>87</v>
      </c>
      <c r="C2582" s="26">
        <v>207</v>
      </c>
      <c r="D2582" s="26" t="s">
        <v>1706</v>
      </c>
      <c r="E2582" s="26">
        <v>-2841.6019999999999</v>
      </c>
      <c r="F2582" s="26">
        <v>50.707000000000001</v>
      </c>
      <c r="G2582" s="26">
        <f t="shared" si="40"/>
        <v>-2841.6019999999999</v>
      </c>
    </row>
    <row r="2583" spans="1:7" x14ac:dyDescent="0.2">
      <c r="A2583" s="26">
        <v>119</v>
      </c>
      <c r="B2583" s="26">
        <v>88</v>
      </c>
      <c r="C2583" s="26">
        <v>207</v>
      </c>
      <c r="D2583" s="26" t="s">
        <v>1707</v>
      </c>
      <c r="E2583" s="26">
        <v>3537.9119999999998</v>
      </c>
      <c r="F2583" s="26">
        <v>55.276000000000003</v>
      </c>
      <c r="G2583" s="26">
        <f t="shared" si="40"/>
        <v>3537.9119999999998</v>
      </c>
    </row>
    <row r="2584" spans="1:7" x14ac:dyDescent="0.2">
      <c r="A2584" s="26">
        <v>118</v>
      </c>
      <c r="B2584" s="26">
        <v>89</v>
      </c>
      <c r="C2584" s="26">
        <v>207</v>
      </c>
      <c r="D2584" s="26" t="s">
        <v>1708</v>
      </c>
      <c r="E2584" s="26">
        <v>11131.119000000001</v>
      </c>
      <c r="F2584" s="26">
        <v>52.448</v>
      </c>
      <c r="G2584" s="26">
        <f t="shared" si="40"/>
        <v>11131.119000000001</v>
      </c>
    </row>
    <row r="2585" spans="1:7" x14ac:dyDescent="0.2">
      <c r="A2585" s="26">
        <v>128</v>
      </c>
      <c r="B2585" s="26">
        <v>80</v>
      </c>
      <c r="C2585" s="26">
        <v>208</v>
      </c>
      <c r="D2585" s="26" t="s">
        <v>1699</v>
      </c>
      <c r="E2585" s="26" t="s">
        <v>1767</v>
      </c>
      <c r="F2585" s="26" t="s">
        <v>1730</v>
      </c>
      <c r="G2585" s="26">
        <f t="shared" si="40"/>
        <v>-13097.01</v>
      </c>
    </row>
    <row r="2586" spans="1:7" x14ac:dyDescent="0.2">
      <c r="A2586" s="26">
        <v>127</v>
      </c>
      <c r="B2586" s="26">
        <v>81</v>
      </c>
      <c r="C2586" s="26">
        <v>208</v>
      </c>
      <c r="D2586" s="26" t="s">
        <v>1700</v>
      </c>
      <c r="E2586" s="26">
        <v>-16749.473000000002</v>
      </c>
      <c r="F2586" s="26">
        <v>1.99</v>
      </c>
      <c r="G2586" s="26">
        <f t="shared" si="40"/>
        <v>-16749.473000000002</v>
      </c>
    </row>
    <row r="2587" spans="1:7" x14ac:dyDescent="0.2">
      <c r="A2587" s="26">
        <v>126</v>
      </c>
      <c r="B2587" s="26">
        <v>82</v>
      </c>
      <c r="C2587" s="26">
        <v>208</v>
      </c>
      <c r="D2587" s="26" t="s">
        <v>1701</v>
      </c>
      <c r="E2587" s="26">
        <v>-21748.455000000002</v>
      </c>
      <c r="F2587" s="26">
        <v>1.244</v>
      </c>
      <c r="G2587" s="26">
        <f t="shared" si="40"/>
        <v>-21748.455000000002</v>
      </c>
    </row>
    <row r="2588" spans="1:7" x14ac:dyDescent="0.2">
      <c r="A2588" s="26">
        <v>125</v>
      </c>
      <c r="B2588" s="26">
        <v>83</v>
      </c>
      <c r="C2588" s="26">
        <v>208</v>
      </c>
      <c r="D2588" s="26" t="s">
        <v>1702</v>
      </c>
      <c r="E2588" s="26">
        <v>-18870.022000000001</v>
      </c>
      <c r="F2588" s="26">
        <v>2.355</v>
      </c>
      <c r="G2588" s="26">
        <f t="shared" si="40"/>
        <v>-18870.022000000001</v>
      </c>
    </row>
    <row r="2589" spans="1:7" x14ac:dyDescent="0.2">
      <c r="A2589" s="26">
        <v>124</v>
      </c>
      <c r="B2589" s="26">
        <v>84</v>
      </c>
      <c r="C2589" s="26">
        <v>208</v>
      </c>
      <c r="D2589" s="26" t="s">
        <v>1703</v>
      </c>
      <c r="E2589" s="26">
        <v>-17469.516</v>
      </c>
      <c r="F2589" s="26">
        <v>1.802</v>
      </c>
      <c r="G2589" s="26">
        <f t="shared" si="40"/>
        <v>-17469.516</v>
      </c>
    </row>
    <row r="2590" spans="1:7" x14ac:dyDescent="0.2">
      <c r="A2590" s="26">
        <v>123</v>
      </c>
      <c r="B2590" s="26">
        <v>85</v>
      </c>
      <c r="C2590" s="26">
        <v>208</v>
      </c>
      <c r="D2590" s="26" t="s">
        <v>1704</v>
      </c>
      <c r="E2590" s="26">
        <v>-12491.356</v>
      </c>
      <c r="F2590" s="26">
        <v>25.863</v>
      </c>
      <c r="G2590" s="26">
        <f t="shared" si="40"/>
        <v>-12491.356</v>
      </c>
    </row>
    <row r="2591" spans="1:7" x14ac:dyDescent="0.2">
      <c r="A2591" s="26">
        <v>122</v>
      </c>
      <c r="B2591" s="26">
        <v>86</v>
      </c>
      <c r="C2591" s="26">
        <v>208</v>
      </c>
      <c r="D2591" s="26" t="s">
        <v>1705</v>
      </c>
      <c r="E2591" s="26">
        <v>-9647.9760000000006</v>
      </c>
      <c r="F2591" s="26">
        <v>11.148999999999999</v>
      </c>
      <c r="G2591" s="26">
        <f t="shared" si="40"/>
        <v>-9647.9760000000006</v>
      </c>
    </row>
    <row r="2592" spans="1:7" x14ac:dyDescent="0.2">
      <c r="A2592" s="26">
        <v>121</v>
      </c>
      <c r="B2592" s="26">
        <v>87</v>
      </c>
      <c r="C2592" s="26">
        <v>208</v>
      </c>
      <c r="D2592" s="26" t="s">
        <v>1706</v>
      </c>
      <c r="E2592" s="26">
        <v>-2665.2060000000001</v>
      </c>
      <c r="F2592" s="26">
        <v>46.534999999999997</v>
      </c>
      <c r="G2592" s="26">
        <f t="shared" si="40"/>
        <v>-2665.2060000000001</v>
      </c>
    </row>
    <row r="2593" spans="1:7" x14ac:dyDescent="0.2">
      <c r="A2593" s="26">
        <v>120</v>
      </c>
      <c r="B2593" s="26">
        <v>88</v>
      </c>
      <c r="C2593" s="26">
        <v>208</v>
      </c>
      <c r="D2593" s="26" t="s">
        <v>1707</v>
      </c>
      <c r="E2593" s="26">
        <v>1713.894</v>
      </c>
      <c r="F2593" s="26">
        <v>15.407999999999999</v>
      </c>
      <c r="G2593" s="26">
        <f t="shared" si="40"/>
        <v>1713.894</v>
      </c>
    </row>
    <row r="2594" spans="1:7" x14ac:dyDescent="0.2">
      <c r="A2594" s="26">
        <v>119</v>
      </c>
      <c r="B2594" s="26">
        <v>89</v>
      </c>
      <c r="C2594" s="26">
        <v>208</v>
      </c>
      <c r="D2594" s="26" t="s">
        <v>1708</v>
      </c>
      <c r="E2594" s="26">
        <v>10760.200999999999</v>
      </c>
      <c r="F2594" s="26">
        <v>55.720999999999997</v>
      </c>
      <c r="G2594" s="26">
        <f t="shared" si="40"/>
        <v>10760.200999999999</v>
      </c>
    </row>
    <row r="2595" spans="1:7" x14ac:dyDescent="0.2">
      <c r="A2595" s="26">
        <v>129</v>
      </c>
      <c r="B2595" s="26">
        <v>80</v>
      </c>
      <c r="C2595" s="26">
        <v>209</v>
      </c>
      <c r="D2595" s="26" t="s">
        <v>1699</v>
      </c>
      <c r="E2595" s="26" t="s">
        <v>693</v>
      </c>
      <c r="F2595" s="26" t="s">
        <v>1480</v>
      </c>
      <c r="G2595" s="26">
        <f t="shared" si="40"/>
        <v>-8346.01</v>
      </c>
    </row>
    <row r="2596" spans="1:7" x14ac:dyDescent="0.2">
      <c r="A2596" s="26">
        <v>128</v>
      </c>
      <c r="B2596" s="26">
        <v>81</v>
      </c>
      <c r="C2596" s="26">
        <v>209</v>
      </c>
      <c r="D2596" s="26" t="s">
        <v>1700</v>
      </c>
      <c r="E2596" s="26">
        <v>-13638.048000000001</v>
      </c>
      <c r="F2596" s="26">
        <v>7.9009999999999998</v>
      </c>
      <c r="G2596" s="26">
        <f t="shared" si="40"/>
        <v>-13638.048000000001</v>
      </c>
    </row>
    <row r="2597" spans="1:7" x14ac:dyDescent="0.2">
      <c r="A2597" s="26">
        <v>127</v>
      </c>
      <c r="B2597" s="26">
        <v>82</v>
      </c>
      <c r="C2597" s="26">
        <v>209</v>
      </c>
      <c r="D2597" s="26" t="s">
        <v>1701</v>
      </c>
      <c r="E2597" s="26">
        <v>-17614.439999999999</v>
      </c>
      <c r="F2597" s="26">
        <v>1.8129999999999999</v>
      </c>
      <c r="G2597" s="26">
        <f t="shared" si="40"/>
        <v>-17614.439999999999</v>
      </c>
    </row>
    <row r="2598" spans="1:7" x14ac:dyDescent="0.2">
      <c r="A2598" s="26">
        <v>126</v>
      </c>
      <c r="B2598" s="26">
        <v>83</v>
      </c>
      <c r="C2598" s="26">
        <v>209</v>
      </c>
      <c r="D2598" s="26" t="s">
        <v>1702</v>
      </c>
      <c r="E2598" s="26">
        <v>-18258.460999999999</v>
      </c>
      <c r="F2598" s="26">
        <v>1.448</v>
      </c>
      <c r="G2598" s="26">
        <f t="shared" si="40"/>
        <v>-18258.460999999999</v>
      </c>
    </row>
    <row r="2599" spans="1:7" x14ac:dyDescent="0.2">
      <c r="A2599" s="26">
        <v>125</v>
      </c>
      <c r="B2599" s="26">
        <v>84</v>
      </c>
      <c r="C2599" s="26">
        <v>209</v>
      </c>
      <c r="D2599" s="26" t="s">
        <v>1703</v>
      </c>
      <c r="E2599" s="26">
        <v>-16365.944</v>
      </c>
      <c r="F2599" s="26">
        <v>1.8420000000000001</v>
      </c>
      <c r="G2599" s="26">
        <f t="shared" si="40"/>
        <v>-16365.944</v>
      </c>
    </row>
    <row r="2600" spans="1:7" x14ac:dyDescent="0.2">
      <c r="A2600" s="26">
        <v>124</v>
      </c>
      <c r="B2600" s="26">
        <v>85</v>
      </c>
      <c r="C2600" s="26">
        <v>209</v>
      </c>
      <c r="D2600" s="26" t="s">
        <v>1704</v>
      </c>
      <c r="E2600" s="26">
        <v>-12879.634</v>
      </c>
      <c r="F2600" s="26">
        <v>7.4630000000000001</v>
      </c>
      <c r="G2600" s="26">
        <f t="shared" si="40"/>
        <v>-12879.634</v>
      </c>
    </row>
    <row r="2601" spans="1:7" x14ac:dyDescent="0.2">
      <c r="A2601" s="26">
        <v>123</v>
      </c>
      <c r="B2601" s="26">
        <v>86</v>
      </c>
      <c r="C2601" s="26">
        <v>209</v>
      </c>
      <c r="D2601" s="26" t="s">
        <v>1705</v>
      </c>
      <c r="E2601" s="26">
        <v>-8928.61</v>
      </c>
      <c r="F2601" s="26">
        <v>19.988</v>
      </c>
      <c r="G2601" s="26">
        <f t="shared" si="40"/>
        <v>-8928.61</v>
      </c>
    </row>
    <row r="2602" spans="1:7" x14ac:dyDescent="0.2">
      <c r="A2602" s="26">
        <v>122</v>
      </c>
      <c r="B2602" s="26">
        <v>87</v>
      </c>
      <c r="C2602" s="26">
        <v>209</v>
      </c>
      <c r="D2602" s="26" t="s">
        <v>1706</v>
      </c>
      <c r="E2602" s="26">
        <v>-3769.239</v>
      </c>
      <c r="F2602" s="26">
        <v>14.625</v>
      </c>
      <c r="G2602" s="26">
        <f t="shared" si="40"/>
        <v>-3769.239</v>
      </c>
    </row>
    <row r="2603" spans="1:7" x14ac:dyDescent="0.2">
      <c r="A2603" s="26">
        <v>121</v>
      </c>
      <c r="B2603" s="26">
        <v>88</v>
      </c>
      <c r="C2603" s="26">
        <v>209</v>
      </c>
      <c r="D2603" s="26" t="s">
        <v>1707</v>
      </c>
      <c r="E2603" s="26">
        <v>1854.952</v>
      </c>
      <c r="F2603" s="26">
        <v>50.466999999999999</v>
      </c>
      <c r="G2603" s="26">
        <f t="shared" si="40"/>
        <v>1854.952</v>
      </c>
    </row>
    <row r="2604" spans="1:7" x14ac:dyDescent="0.2">
      <c r="A2604" s="26">
        <v>120</v>
      </c>
      <c r="B2604" s="26">
        <v>89</v>
      </c>
      <c r="C2604" s="26">
        <v>209</v>
      </c>
      <c r="D2604" s="26" t="s">
        <v>1708</v>
      </c>
      <c r="E2604" s="26">
        <v>8844.4089999999997</v>
      </c>
      <c r="F2604" s="26">
        <v>50.607999999999997</v>
      </c>
      <c r="G2604" s="26">
        <f t="shared" si="40"/>
        <v>8844.4089999999997</v>
      </c>
    </row>
    <row r="2605" spans="1:7" x14ac:dyDescent="0.2">
      <c r="A2605" s="26">
        <v>119</v>
      </c>
      <c r="B2605" s="26">
        <v>90</v>
      </c>
      <c r="C2605" s="26">
        <v>209</v>
      </c>
      <c r="D2605" s="26" t="s">
        <v>1709</v>
      </c>
      <c r="E2605" s="26">
        <v>16502.052</v>
      </c>
      <c r="F2605" s="26">
        <v>99.873000000000005</v>
      </c>
      <c r="G2605" s="26">
        <f t="shared" si="40"/>
        <v>16502.052</v>
      </c>
    </row>
    <row r="2606" spans="1:7" x14ac:dyDescent="0.2">
      <c r="A2606" s="26">
        <v>130</v>
      </c>
      <c r="B2606" s="26">
        <v>80</v>
      </c>
      <c r="C2606" s="26">
        <v>210</v>
      </c>
      <c r="D2606" s="26" t="s">
        <v>1699</v>
      </c>
      <c r="E2606" s="26" t="s">
        <v>1517</v>
      </c>
      <c r="F2606" s="26" t="s">
        <v>1730</v>
      </c>
      <c r="G2606" s="26">
        <f t="shared" si="40"/>
        <v>-5114.01</v>
      </c>
    </row>
    <row r="2607" spans="1:7" x14ac:dyDescent="0.2">
      <c r="A2607" s="26">
        <v>129</v>
      </c>
      <c r="B2607" s="26">
        <v>81</v>
      </c>
      <c r="C2607" s="26">
        <v>210</v>
      </c>
      <c r="D2607" s="26" t="s">
        <v>1700</v>
      </c>
      <c r="E2607" s="26">
        <v>-9246.2980000000007</v>
      </c>
      <c r="F2607" s="26">
        <v>11.638</v>
      </c>
      <c r="G2607" s="26">
        <f t="shared" si="40"/>
        <v>-9246.2980000000007</v>
      </c>
    </row>
    <row r="2608" spans="1:7" x14ac:dyDescent="0.2">
      <c r="A2608" s="26">
        <v>128</v>
      </c>
      <c r="B2608" s="26">
        <v>82</v>
      </c>
      <c r="C2608" s="26">
        <v>210</v>
      </c>
      <c r="D2608" s="26" t="s">
        <v>1701</v>
      </c>
      <c r="E2608" s="26">
        <v>-14728.291999999999</v>
      </c>
      <c r="F2608" s="26">
        <v>1.5269999999999999</v>
      </c>
      <c r="G2608" s="26">
        <f t="shared" si="40"/>
        <v>-14728.291999999999</v>
      </c>
    </row>
    <row r="2609" spans="1:7" x14ac:dyDescent="0.2">
      <c r="A2609" s="26">
        <v>127</v>
      </c>
      <c r="B2609" s="26">
        <v>83</v>
      </c>
      <c r="C2609" s="26">
        <v>210</v>
      </c>
      <c r="D2609" s="26" t="s">
        <v>1702</v>
      </c>
      <c r="E2609" s="26">
        <v>-14791.778</v>
      </c>
      <c r="F2609" s="26">
        <v>1.446</v>
      </c>
      <c r="G2609" s="26">
        <f t="shared" si="40"/>
        <v>-14791.778</v>
      </c>
    </row>
    <row r="2610" spans="1:7" x14ac:dyDescent="0.2">
      <c r="A2610" s="26">
        <v>126</v>
      </c>
      <c r="B2610" s="26">
        <v>84</v>
      </c>
      <c r="C2610" s="26">
        <v>210</v>
      </c>
      <c r="D2610" s="26" t="s">
        <v>1703</v>
      </c>
      <c r="E2610" s="26">
        <v>-15953.071</v>
      </c>
      <c r="F2610" s="26">
        <v>1.242</v>
      </c>
      <c r="G2610" s="26">
        <f t="shared" si="40"/>
        <v>-15953.071</v>
      </c>
    </row>
    <row r="2611" spans="1:7" x14ac:dyDescent="0.2">
      <c r="A2611" s="26">
        <v>125</v>
      </c>
      <c r="B2611" s="26">
        <v>85</v>
      </c>
      <c r="C2611" s="26">
        <v>210</v>
      </c>
      <c r="D2611" s="26" t="s">
        <v>1704</v>
      </c>
      <c r="E2611" s="26">
        <v>-11971.83</v>
      </c>
      <c r="F2611" s="26">
        <v>7.843</v>
      </c>
      <c r="G2611" s="26">
        <f t="shared" si="40"/>
        <v>-11971.83</v>
      </c>
    </row>
    <row r="2612" spans="1:7" x14ac:dyDescent="0.2">
      <c r="A2612" s="26">
        <v>124</v>
      </c>
      <c r="B2612" s="26">
        <v>86</v>
      </c>
      <c r="C2612" s="26">
        <v>210</v>
      </c>
      <c r="D2612" s="26" t="s">
        <v>1705</v>
      </c>
      <c r="E2612" s="26">
        <v>-9597.9130000000005</v>
      </c>
      <c r="F2612" s="26">
        <v>8.5579999999999998</v>
      </c>
      <c r="G2612" s="26">
        <f t="shared" si="40"/>
        <v>-9597.9130000000005</v>
      </c>
    </row>
    <row r="2613" spans="1:7" x14ac:dyDescent="0.2">
      <c r="A2613" s="26">
        <v>123</v>
      </c>
      <c r="B2613" s="26">
        <v>87</v>
      </c>
      <c r="C2613" s="26">
        <v>210</v>
      </c>
      <c r="D2613" s="26" t="s">
        <v>1706</v>
      </c>
      <c r="E2613" s="26">
        <v>-3346.17</v>
      </c>
      <c r="F2613" s="26">
        <v>22.231999999999999</v>
      </c>
      <c r="G2613" s="26">
        <f t="shared" si="40"/>
        <v>-3346.17</v>
      </c>
    </row>
    <row r="2614" spans="1:7" x14ac:dyDescent="0.2">
      <c r="A2614" s="26">
        <v>122</v>
      </c>
      <c r="B2614" s="26">
        <v>88</v>
      </c>
      <c r="C2614" s="26">
        <v>210</v>
      </c>
      <c r="D2614" s="26" t="s">
        <v>1707</v>
      </c>
      <c r="E2614" s="26">
        <v>461.06900000000002</v>
      </c>
      <c r="F2614" s="26">
        <v>15.195</v>
      </c>
      <c r="G2614" s="26">
        <f t="shared" si="40"/>
        <v>461.06900000000002</v>
      </c>
    </row>
    <row r="2615" spans="1:7" x14ac:dyDescent="0.2">
      <c r="A2615" s="26">
        <v>121</v>
      </c>
      <c r="B2615" s="26">
        <v>89</v>
      </c>
      <c r="C2615" s="26">
        <v>210</v>
      </c>
      <c r="D2615" s="26" t="s">
        <v>1708</v>
      </c>
      <c r="E2615" s="26">
        <v>8789.5650000000005</v>
      </c>
      <c r="F2615" s="26">
        <v>57.402000000000001</v>
      </c>
      <c r="G2615" s="26">
        <f t="shared" si="40"/>
        <v>8789.5650000000005</v>
      </c>
    </row>
    <row r="2616" spans="1:7" x14ac:dyDescent="0.2">
      <c r="A2616" s="26">
        <v>120</v>
      </c>
      <c r="B2616" s="26">
        <v>90</v>
      </c>
      <c r="C2616" s="26">
        <v>210</v>
      </c>
      <c r="D2616" s="26" t="s">
        <v>1709</v>
      </c>
      <c r="E2616" s="26">
        <v>14042.591</v>
      </c>
      <c r="F2616" s="26">
        <v>25.007999999999999</v>
      </c>
      <c r="G2616" s="26">
        <f t="shared" si="40"/>
        <v>14042.591</v>
      </c>
    </row>
    <row r="2617" spans="1:7" x14ac:dyDescent="0.2">
      <c r="A2617" s="26">
        <v>130</v>
      </c>
      <c r="B2617" s="26">
        <v>81</v>
      </c>
      <c r="C2617" s="26">
        <v>211</v>
      </c>
      <c r="D2617" s="26" t="s">
        <v>1700</v>
      </c>
      <c r="E2617" s="26" t="s">
        <v>694</v>
      </c>
      <c r="F2617" s="26" t="s">
        <v>1325</v>
      </c>
      <c r="G2617" s="26">
        <f t="shared" si="40"/>
        <v>-6076.01</v>
      </c>
    </row>
    <row r="2618" spans="1:7" x14ac:dyDescent="0.2">
      <c r="A2618" s="26">
        <v>129</v>
      </c>
      <c r="B2618" s="26">
        <v>82</v>
      </c>
      <c r="C2618" s="26">
        <v>211</v>
      </c>
      <c r="D2618" s="26" t="s">
        <v>1701</v>
      </c>
      <c r="E2618" s="26">
        <v>-10491.45</v>
      </c>
      <c r="F2618" s="26">
        <v>2.661</v>
      </c>
      <c r="G2618" s="26">
        <f t="shared" si="40"/>
        <v>-10491.45</v>
      </c>
    </row>
    <row r="2619" spans="1:7" x14ac:dyDescent="0.2">
      <c r="A2619" s="26">
        <v>128</v>
      </c>
      <c r="B2619" s="26">
        <v>83</v>
      </c>
      <c r="C2619" s="26">
        <v>211</v>
      </c>
      <c r="D2619" s="26" t="s">
        <v>1702</v>
      </c>
      <c r="E2619" s="26">
        <v>-11858.421</v>
      </c>
      <c r="F2619" s="26">
        <v>5.5</v>
      </c>
      <c r="G2619" s="26">
        <f t="shared" si="40"/>
        <v>-11858.421</v>
      </c>
    </row>
    <row r="2620" spans="1:7" x14ac:dyDescent="0.2">
      <c r="A2620" s="26">
        <v>127</v>
      </c>
      <c r="B2620" s="26">
        <v>84</v>
      </c>
      <c r="C2620" s="26">
        <v>211</v>
      </c>
      <c r="D2620" s="26" t="s">
        <v>1703</v>
      </c>
      <c r="E2620" s="26">
        <v>-12432.507</v>
      </c>
      <c r="F2620" s="26">
        <v>1.343</v>
      </c>
      <c r="G2620" s="26">
        <f t="shared" si="40"/>
        <v>-12432.507</v>
      </c>
    </row>
    <row r="2621" spans="1:7" x14ac:dyDescent="0.2">
      <c r="A2621" s="26">
        <v>126</v>
      </c>
      <c r="B2621" s="26">
        <v>85</v>
      </c>
      <c r="C2621" s="26">
        <v>211</v>
      </c>
      <c r="D2621" s="26" t="s">
        <v>1704</v>
      </c>
      <c r="E2621" s="26">
        <v>-11647.147999999999</v>
      </c>
      <c r="F2621" s="26">
        <v>2.7709999999999999</v>
      </c>
      <c r="G2621" s="26">
        <f t="shared" si="40"/>
        <v>-11647.147999999999</v>
      </c>
    </row>
    <row r="2622" spans="1:7" x14ac:dyDescent="0.2">
      <c r="A2622" s="26">
        <v>125</v>
      </c>
      <c r="B2622" s="26">
        <v>86</v>
      </c>
      <c r="C2622" s="26">
        <v>211</v>
      </c>
      <c r="D2622" s="26" t="s">
        <v>1705</v>
      </c>
      <c r="E2622" s="26">
        <v>-8755.5560000000005</v>
      </c>
      <c r="F2622" s="26">
        <v>6.7930000000000001</v>
      </c>
      <c r="G2622" s="26">
        <f t="shared" si="40"/>
        <v>-8755.5560000000005</v>
      </c>
    </row>
    <row r="2623" spans="1:7" x14ac:dyDescent="0.2">
      <c r="A2623" s="26">
        <v>124</v>
      </c>
      <c r="B2623" s="26">
        <v>87</v>
      </c>
      <c r="C2623" s="26">
        <v>211</v>
      </c>
      <c r="D2623" s="26" t="s">
        <v>1706</v>
      </c>
      <c r="E2623" s="26">
        <v>-4157.6819999999998</v>
      </c>
      <c r="F2623" s="26">
        <v>21.100999999999999</v>
      </c>
      <c r="G2623" s="26">
        <f t="shared" si="40"/>
        <v>-4157.6819999999998</v>
      </c>
    </row>
    <row r="2624" spans="1:7" x14ac:dyDescent="0.2">
      <c r="A2624" s="26">
        <v>123</v>
      </c>
      <c r="B2624" s="26">
        <v>88</v>
      </c>
      <c r="C2624" s="26">
        <v>211</v>
      </c>
      <c r="D2624" s="26" t="s">
        <v>1707</v>
      </c>
      <c r="E2624" s="26">
        <v>836.47</v>
      </c>
      <c r="F2624" s="26">
        <v>26.242000000000001</v>
      </c>
      <c r="G2624" s="26">
        <f t="shared" si="40"/>
        <v>836.47</v>
      </c>
    </row>
    <row r="2625" spans="1:7" x14ac:dyDescent="0.2">
      <c r="A2625" s="26">
        <v>122</v>
      </c>
      <c r="B2625" s="26">
        <v>89</v>
      </c>
      <c r="C2625" s="26">
        <v>211</v>
      </c>
      <c r="D2625" s="26" t="s">
        <v>1708</v>
      </c>
      <c r="E2625" s="26">
        <v>7204.9530000000004</v>
      </c>
      <c r="F2625" s="26">
        <v>71.212000000000003</v>
      </c>
      <c r="G2625" s="26">
        <f t="shared" si="40"/>
        <v>7204.9530000000004</v>
      </c>
    </row>
    <row r="2626" spans="1:7" x14ac:dyDescent="0.2">
      <c r="A2626" s="26">
        <v>121</v>
      </c>
      <c r="B2626" s="26">
        <v>90</v>
      </c>
      <c r="C2626" s="26">
        <v>211</v>
      </c>
      <c r="D2626" s="26" t="s">
        <v>1709</v>
      </c>
      <c r="E2626" s="26">
        <v>13905.727999999999</v>
      </c>
      <c r="F2626" s="26">
        <v>74.534000000000006</v>
      </c>
      <c r="G2626" s="26">
        <f t="shared" si="40"/>
        <v>13905.727999999999</v>
      </c>
    </row>
    <row r="2627" spans="1:7" x14ac:dyDescent="0.2">
      <c r="A2627" s="26">
        <v>131</v>
      </c>
      <c r="B2627" s="26">
        <v>81</v>
      </c>
      <c r="C2627" s="26">
        <v>212</v>
      </c>
      <c r="D2627" s="26" t="s">
        <v>1700</v>
      </c>
      <c r="E2627" s="26" t="s">
        <v>695</v>
      </c>
      <c r="F2627" s="26" t="s">
        <v>1258</v>
      </c>
      <c r="G2627" s="26">
        <f t="shared" si="40"/>
        <v>-1651.01</v>
      </c>
    </row>
    <row r="2628" spans="1:7" x14ac:dyDescent="0.2">
      <c r="A2628" s="26">
        <v>130</v>
      </c>
      <c r="B2628" s="26">
        <v>82</v>
      </c>
      <c r="C2628" s="26">
        <v>212</v>
      </c>
      <c r="D2628" s="26" t="s">
        <v>1701</v>
      </c>
      <c r="E2628" s="26">
        <v>-7547.3890000000001</v>
      </c>
      <c r="F2628" s="26">
        <v>2.2090000000000001</v>
      </c>
      <c r="G2628" s="26">
        <f t="shared" si="40"/>
        <v>-7547.3890000000001</v>
      </c>
    </row>
    <row r="2629" spans="1:7" x14ac:dyDescent="0.2">
      <c r="A2629" s="26">
        <v>129</v>
      </c>
      <c r="B2629" s="26">
        <v>83</v>
      </c>
      <c r="C2629" s="26">
        <v>212</v>
      </c>
      <c r="D2629" s="26" t="s">
        <v>1702</v>
      </c>
      <c r="E2629" s="26">
        <v>-8117.2950000000001</v>
      </c>
      <c r="F2629" s="26">
        <v>1.99</v>
      </c>
      <c r="G2629" s="26">
        <f t="shared" si="40"/>
        <v>-8117.2950000000001</v>
      </c>
    </row>
    <row r="2630" spans="1:7" x14ac:dyDescent="0.2">
      <c r="A2630" s="26">
        <v>128</v>
      </c>
      <c r="B2630" s="26">
        <v>84</v>
      </c>
      <c r="C2630" s="26">
        <v>212</v>
      </c>
      <c r="D2630" s="26" t="s">
        <v>1703</v>
      </c>
      <c r="E2630" s="26">
        <v>-10369.42</v>
      </c>
      <c r="F2630" s="26">
        <v>1.248</v>
      </c>
      <c r="G2630" s="26">
        <f t="shared" si="40"/>
        <v>-10369.42</v>
      </c>
    </row>
    <row r="2631" spans="1:7" x14ac:dyDescent="0.2">
      <c r="A2631" s="26">
        <v>127</v>
      </c>
      <c r="B2631" s="26">
        <v>85</v>
      </c>
      <c r="C2631" s="26">
        <v>212</v>
      </c>
      <c r="D2631" s="26" t="s">
        <v>1704</v>
      </c>
      <c r="E2631" s="26">
        <v>-8621.19</v>
      </c>
      <c r="F2631" s="26">
        <v>7.2140000000000004</v>
      </c>
      <c r="G2631" s="26">
        <f t="shared" si="40"/>
        <v>-8621.19</v>
      </c>
    </row>
    <row r="2632" spans="1:7" x14ac:dyDescent="0.2">
      <c r="A2632" s="26">
        <v>126</v>
      </c>
      <c r="B2632" s="26">
        <v>86</v>
      </c>
      <c r="C2632" s="26">
        <v>212</v>
      </c>
      <c r="D2632" s="26" t="s">
        <v>1705</v>
      </c>
      <c r="E2632" s="26">
        <v>-8659.6059999999998</v>
      </c>
      <c r="F2632" s="26">
        <v>3.1819999999999999</v>
      </c>
      <c r="G2632" s="26">
        <f t="shared" si="40"/>
        <v>-8659.6059999999998</v>
      </c>
    </row>
    <row r="2633" spans="1:7" x14ac:dyDescent="0.2">
      <c r="A2633" s="26">
        <v>125</v>
      </c>
      <c r="B2633" s="26">
        <v>87</v>
      </c>
      <c r="C2633" s="26">
        <v>212</v>
      </c>
      <c r="D2633" s="26" t="s">
        <v>1706</v>
      </c>
      <c r="E2633" s="26">
        <v>-3537.587</v>
      </c>
      <c r="F2633" s="26">
        <v>25.803000000000001</v>
      </c>
      <c r="G2633" s="26">
        <f t="shared" si="40"/>
        <v>-3537.587</v>
      </c>
    </row>
    <row r="2634" spans="1:7" x14ac:dyDescent="0.2">
      <c r="A2634" s="26">
        <v>124</v>
      </c>
      <c r="B2634" s="26">
        <v>88</v>
      </c>
      <c r="C2634" s="26">
        <v>212</v>
      </c>
      <c r="D2634" s="26" t="s">
        <v>1707</v>
      </c>
      <c r="E2634" s="26">
        <v>-191.422</v>
      </c>
      <c r="F2634" s="26">
        <v>11.273</v>
      </c>
      <c r="G2634" s="26">
        <f t="shared" ref="G2634:G2697" si="41">IF(ISNUMBER(E2634),E2634,VALUE(SUBSTITUTE(E2634,"#",".01")))</f>
        <v>-191.422</v>
      </c>
    </row>
    <row r="2635" spans="1:7" x14ac:dyDescent="0.2">
      <c r="A2635" s="26">
        <v>123</v>
      </c>
      <c r="B2635" s="26">
        <v>89</v>
      </c>
      <c r="C2635" s="26">
        <v>212</v>
      </c>
      <c r="D2635" s="26" t="s">
        <v>1708</v>
      </c>
      <c r="E2635" s="26">
        <v>7278.5290000000005</v>
      </c>
      <c r="F2635" s="26">
        <v>68.305000000000007</v>
      </c>
      <c r="G2635" s="26">
        <f t="shared" si="41"/>
        <v>7278.5290000000005</v>
      </c>
    </row>
    <row r="2636" spans="1:7" x14ac:dyDescent="0.2">
      <c r="A2636" s="26">
        <v>122</v>
      </c>
      <c r="B2636" s="26">
        <v>90</v>
      </c>
      <c r="C2636" s="26">
        <v>212</v>
      </c>
      <c r="D2636" s="26" t="s">
        <v>1709</v>
      </c>
      <c r="E2636" s="26">
        <v>12091.061</v>
      </c>
      <c r="F2636" s="26">
        <v>18.474</v>
      </c>
      <c r="G2636" s="26">
        <f t="shared" si="41"/>
        <v>12091.061</v>
      </c>
    </row>
    <row r="2637" spans="1:7" x14ac:dyDescent="0.2">
      <c r="A2637" s="26">
        <v>121</v>
      </c>
      <c r="B2637" s="26">
        <v>91</v>
      </c>
      <c r="C2637" s="26">
        <v>212</v>
      </c>
      <c r="D2637" s="26" t="s">
        <v>1710</v>
      </c>
      <c r="E2637" s="26">
        <v>21614.516</v>
      </c>
      <c r="F2637" s="26">
        <v>74.864999999999995</v>
      </c>
      <c r="G2637" s="26">
        <f t="shared" si="41"/>
        <v>21614.516</v>
      </c>
    </row>
    <row r="2638" spans="1:7" x14ac:dyDescent="0.2">
      <c r="A2638" s="26">
        <v>131</v>
      </c>
      <c r="B2638" s="26">
        <v>82</v>
      </c>
      <c r="C2638" s="26">
        <v>213</v>
      </c>
      <c r="D2638" s="26" t="s">
        <v>1701</v>
      </c>
      <c r="E2638" s="26">
        <v>-3184.3130000000001</v>
      </c>
      <c r="F2638" s="26">
        <v>7.7960000000000003</v>
      </c>
      <c r="G2638" s="26">
        <f t="shared" si="41"/>
        <v>-3184.3130000000001</v>
      </c>
    </row>
    <row r="2639" spans="1:7" x14ac:dyDescent="0.2">
      <c r="A2639" s="26">
        <v>130</v>
      </c>
      <c r="B2639" s="26">
        <v>83</v>
      </c>
      <c r="C2639" s="26">
        <v>213</v>
      </c>
      <c r="D2639" s="26" t="s">
        <v>1702</v>
      </c>
      <c r="E2639" s="26">
        <v>-5230.6490000000003</v>
      </c>
      <c r="F2639" s="26">
        <v>5.0030000000000001</v>
      </c>
      <c r="G2639" s="26">
        <f t="shared" si="41"/>
        <v>-5230.6490000000003</v>
      </c>
    </row>
    <row r="2640" spans="1:7" x14ac:dyDescent="0.2">
      <c r="A2640" s="26">
        <v>129</v>
      </c>
      <c r="B2640" s="26">
        <v>84</v>
      </c>
      <c r="C2640" s="26">
        <v>213</v>
      </c>
      <c r="D2640" s="26" t="s">
        <v>1703</v>
      </c>
      <c r="E2640" s="26">
        <v>-6653.4</v>
      </c>
      <c r="F2640" s="26">
        <v>3.0920000000000001</v>
      </c>
      <c r="G2640" s="26">
        <f t="shared" si="41"/>
        <v>-6653.4</v>
      </c>
    </row>
    <row r="2641" spans="1:7" x14ac:dyDescent="0.2">
      <c r="A2641" s="26">
        <v>128</v>
      </c>
      <c r="B2641" s="26">
        <v>85</v>
      </c>
      <c r="C2641" s="26">
        <v>213</v>
      </c>
      <c r="D2641" s="26" t="s">
        <v>1704</v>
      </c>
      <c r="E2641" s="26">
        <v>-6579.4719999999998</v>
      </c>
      <c r="F2641" s="26">
        <v>4.9219999999999997</v>
      </c>
      <c r="G2641" s="26">
        <f t="shared" si="41"/>
        <v>-6579.4719999999998</v>
      </c>
    </row>
    <row r="2642" spans="1:7" x14ac:dyDescent="0.2">
      <c r="A2642" s="26">
        <v>127</v>
      </c>
      <c r="B2642" s="26">
        <v>86</v>
      </c>
      <c r="C2642" s="26">
        <v>213</v>
      </c>
      <c r="D2642" s="26" t="s">
        <v>1705</v>
      </c>
      <c r="E2642" s="26">
        <v>-5698.2579999999998</v>
      </c>
      <c r="F2642" s="26">
        <v>5.6779999999999999</v>
      </c>
      <c r="G2642" s="26">
        <f t="shared" si="41"/>
        <v>-5698.2579999999998</v>
      </c>
    </row>
    <row r="2643" spans="1:7" x14ac:dyDescent="0.2">
      <c r="A2643" s="26">
        <v>126</v>
      </c>
      <c r="B2643" s="26">
        <v>87</v>
      </c>
      <c r="C2643" s="26">
        <v>213</v>
      </c>
      <c r="D2643" s="26" t="s">
        <v>1706</v>
      </c>
      <c r="E2643" s="26">
        <v>-3549.848</v>
      </c>
      <c r="F2643" s="26">
        <v>7.6710000000000003</v>
      </c>
      <c r="G2643" s="26">
        <f t="shared" si="41"/>
        <v>-3549.848</v>
      </c>
    </row>
    <row r="2644" spans="1:7" x14ac:dyDescent="0.2">
      <c r="A2644" s="26">
        <v>125</v>
      </c>
      <c r="B2644" s="26">
        <v>88</v>
      </c>
      <c r="C2644" s="26">
        <v>213</v>
      </c>
      <c r="D2644" s="26" t="s">
        <v>1707</v>
      </c>
      <c r="E2644" s="26">
        <v>357.65600000000001</v>
      </c>
      <c r="F2644" s="26">
        <v>20.298999999999999</v>
      </c>
      <c r="G2644" s="26">
        <f t="shared" si="41"/>
        <v>357.65600000000001</v>
      </c>
    </row>
    <row r="2645" spans="1:7" x14ac:dyDescent="0.2">
      <c r="A2645" s="26">
        <v>124</v>
      </c>
      <c r="B2645" s="26">
        <v>89</v>
      </c>
      <c r="C2645" s="26">
        <v>213</v>
      </c>
      <c r="D2645" s="26" t="s">
        <v>1708</v>
      </c>
      <c r="E2645" s="26">
        <v>6154.98</v>
      </c>
      <c r="F2645" s="26">
        <v>52.094999999999999</v>
      </c>
      <c r="G2645" s="26">
        <f t="shared" si="41"/>
        <v>6154.98</v>
      </c>
    </row>
    <row r="2646" spans="1:7" x14ac:dyDescent="0.2">
      <c r="A2646" s="26">
        <v>123</v>
      </c>
      <c r="B2646" s="26">
        <v>90</v>
      </c>
      <c r="C2646" s="26">
        <v>213</v>
      </c>
      <c r="D2646" s="26" t="s">
        <v>1709</v>
      </c>
      <c r="E2646" s="26">
        <v>12118.868</v>
      </c>
      <c r="F2646" s="26">
        <v>71.042000000000002</v>
      </c>
      <c r="G2646" s="26">
        <f t="shared" si="41"/>
        <v>12118.868</v>
      </c>
    </row>
    <row r="2647" spans="1:7" x14ac:dyDescent="0.2">
      <c r="A2647" s="26">
        <v>122</v>
      </c>
      <c r="B2647" s="26">
        <v>91</v>
      </c>
      <c r="C2647" s="26">
        <v>213</v>
      </c>
      <c r="D2647" s="26" t="s">
        <v>1710</v>
      </c>
      <c r="E2647" s="26">
        <v>19663.223999999998</v>
      </c>
      <c r="F2647" s="26">
        <v>71.141999999999996</v>
      </c>
      <c r="G2647" s="26">
        <f t="shared" si="41"/>
        <v>19663.223999999998</v>
      </c>
    </row>
    <row r="2648" spans="1:7" x14ac:dyDescent="0.2">
      <c r="A2648" s="26">
        <v>132</v>
      </c>
      <c r="B2648" s="26">
        <v>82</v>
      </c>
      <c r="C2648" s="26">
        <v>214</v>
      </c>
      <c r="D2648" s="26" t="s">
        <v>1701</v>
      </c>
      <c r="E2648" s="26">
        <v>-181.261</v>
      </c>
      <c r="F2648" s="26">
        <v>2.3809999999999998</v>
      </c>
      <c r="G2648" s="26">
        <f t="shared" si="41"/>
        <v>-181.261</v>
      </c>
    </row>
    <row r="2649" spans="1:7" x14ac:dyDescent="0.2">
      <c r="A2649" s="26">
        <v>131</v>
      </c>
      <c r="B2649" s="26">
        <v>83</v>
      </c>
      <c r="C2649" s="26">
        <v>214</v>
      </c>
      <c r="D2649" s="26" t="s">
        <v>1702</v>
      </c>
      <c r="E2649" s="26">
        <v>-1200.193</v>
      </c>
      <c r="F2649" s="26">
        <v>11.228999999999999</v>
      </c>
      <c r="G2649" s="26">
        <f t="shared" si="41"/>
        <v>-1200.193</v>
      </c>
    </row>
    <row r="2650" spans="1:7" x14ac:dyDescent="0.2">
      <c r="A2650" s="26">
        <v>130</v>
      </c>
      <c r="B2650" s="26">
        <v>84</v>
      </c>
      <c r="C2650" s="26">
        <v>214</v>
      </c>
      <c r="D2650" s="26" t="s">
        <v>1703</v>
      </c>
      <c r="E2650" s="26">
        <v>-4469.9129999999996</v>
      </c>
      <c r="F2650" s="26">
        <v>1.528</v>
      </c>
      <c r="G2650" s="26">
        <f t="shared" si="41"/>
        <v>-4469.9129999999996</v>
      </c>
    </row>
    <row r="2651" spans="1:7" x14ac:dyDescent="0.2">
      <c r="A2651" s="26">
        <v>129</v>
      </c>
      <c r="B2651" s="26">
        <v>85</v>
      </c>
      <c r="C2651" s="26">
        <v>214</v>
      </c>
      <c r="D2651" s="26" t="s">
        <v>1704</v>
      </c>
      <c r="E2651" s="26">
        <v>-3379.7080000000001</v>
      </c>
      <c r="F2651" s="26">
        <v>4.3250000000000002</v>
      </c>
      <c r="G2651" s="26">
        <f t="shared" si="41"/>
        <v>-3379.7080000000001</v>
      </c>
    </row>
    <row r="2652" spans="1:7" x14ac:dyDescent="0.2">
      <c r="A2652" s="26">
        <v>128</v>
      </c>
      <c r="B2652" s="26">
        <v>86</v>
      </c>
      <c r="C2652" s="26">
        <v>214</v>
      </c>
      <c r="D2652" s="26" t="s">
        <v>1705</v>
      </c>
      <c r="E2652" s="26">
        <v>-4319.7529999999997</v>
      </c>
      <c r="F2652" s="26">
        <v>9.1989999999999998</v>
      </c>
      <c r="G2652" s="26">
        <f t="shared" si="41"/>
        <v>-4319.7529999999997</v>
      </c>
    </row>
    <row r="2653" spans="1:7" x14ac:dyDescent="0.2">
      <c r="A2653" s="26">
        <v>127</v>
      </c>
      <c r="B2653" s="26">
        <v>87</v>
      </c>
      <c r="C2653" s="26">
        <v>214</v>
      </c>
      <c r="D2653" s="26" t="s">
        <v>1706</v>
      </c>
      <c r="E2653" s="26">
        <v>-958.37199999999996</v>
      </c>
      <c r="F2653" s="26">
        <v>8.766</v>
      </c>
      <c r="G2653" s="26">
        <f t="shared" si="41"/>
        <v>-958.37199999999996</v>
      </c>
    </row>
    <row r="2654" spans="1:7" x14ac:dyDescent="0.2">
      <c r="A2654" s="26">
        <v>126</v>
      </c>
      <c r="B2654" s="26">
        <v>88</v>
      </c>
      <c r="C2654" s="26">
        <v>214</v>
      </c>
      <c r="D2654" s="26" t="s">
        <v>1707</v>
      </c>
      <c r="E2654" s="26">
        <v>100.503</v>
      </c>
      <c r="F2654" s="26">
        <v>9.2050000000000001</v>
      </c>
      <c r="G2654" s="26">
        <f t="shared" si="41"/>
        <v>100.503</v>
      </c>
    </row>
    <row r="2655" spans="1:7" x14ac:dyDescent="0.2">
      <c r="A2655" s="26">
        <v>125</v>
      </c>
      <c r="B2655" s="26">
        <v>89</v>
      </c>
      <c r="C2655" s="26">
        <v>214</v>
      </c>
      <c r="D2655" s="26" t="s">
        <v>1708</v>
      </c>
      <c r="E2655" s="26">
        <v>6428.9840000000004</v>
      </c>
      <c r="F2655" s="26">
        <v>22.49</v>
      </c>
      <c r="G2655" s="26">
        <f t="shared" si="41"/>
        <v>6428.9840000000004</v>
      </c>
    </row>
    <row r="2656" spans="1:7" x14ac:dyDescent="0.2">
      <c r="A2656" s="26">
        <v>124</v>
      </c>
      <c r="B2656" s="26">
        <v>90</v>
      </c>
      <c r="C2656" s="26">
        <v>214</v>
      </c>
      <c r="D2656" s="26" t="s">
        <v>1709</v>
      </c>
      <c r="E2656" s="26">
        <v>10711.967000000001</v>
      </c>
      <c r="F2656" s="26">
        <v>16.817</v>
      </c>
      <c r="G2656" s="26">
        <f t="shared" si="41"/>
        <v>10711.967000000001</v>
      </c>
    </row>
    <row r="2657" spans="1:7" x14ac:dyDescent="0.2">
      <c r="A2657" s="26">
        <v>123</v>
      </c>
      <c r="B2657" s="26">
        <v>91</v>
      </c>
      <c r="C2657" s="26">
        <v>214</v>
      </c>
      <c r="D2657" s="26" t="s">
        <v>1710</v>
      </c>
      <c r="E2657" s="26">
        <v>19485.38</v>
      </c>
      <c r="F2657" s="26">
        <v>76.125</v>
      </c>
      <c r="G2657" s="26">
        <f t="shared" si="41"/>
        <v>19485.38</v>
      </c>
    </row>
    <row r="2658" spans="1:7" x14ac:dyDescent="0.2">
      <c r="A2658" s="26">
        <v>133</v>
      </c>
      <c r="B2658" s="26">
        <v>82</v>
      </c>
      <c r="C2658" s="26">
        <v>215</v>
      </c>
      <c r="D2658" s="26" t="s">
        <v>1701</v>
      </c>
      <c r="E2658" s="26" t="s">
        <v>696</v>
      </c>
      <c r="F2658" s="26" t="s">
        <v>697</v>
      </c>
      <c r="G2658" s="26">
        <f t="shared" si="41"/>
        <v>4477.01</v>
      </c>
    </row>
    <row r="2659" spans="1:7" x14ac:dyDescent="0.2">
      <c r="A2659" s="26">
        <v>132</v>
      </c>
      <c r="B2659" s="26">
        <v>83</v>
      </c>
      <c r="C2659" s="26">
        <v>215</v>
      </c>
      <c r="D2659" s="26" t="s">
        <v>1702</v>
      </c>
      <c r="E2659" s="26">
        <v>1648.537</v>
      </c>
      <c r="F2659" s="26">
        <v>14.904</v>
      </c>
      <c r="G2659" s="26">
        <f t="shared" si="41"/>
        <v>1648.537</v>
      </c>
    </row>
    <row r="2660" spans="1:7" x14ac:dyDescent="0.2">
      <c r="A2660" s="26">
        <v>131</v>
      </c>
      <c r="B2660" s="26">
        <v>84</v>
      </c>
      <c r="C2660" s="26">
        <v>215</v>
      </c>
      <c r="D2660" s="26" t="s">
        <v>1703</v>
      </c>
      <c r="E2660" s="26">
        <v>-540.27700000000004</v>
      </c>
      <c r="F2660" s="26">
        <v>2.5470000000000002</v>
      </c>
      <c r="G2660" s="26">
        <f t="shared" si="41"/>
        <v>-540.27700000000004</v>
      </c>
    </row>
    <row r="2661" spans="1:7" x14ac:dyDescent="0.2">
      <c r="A2661" s="26">
        <v>130</v>
      </c>
      <c r="B2661" s="26">
        <v>85</v>
      </c>
      <c r="C2661" s="26">
        <v>215</v>
      </c>
      <c r="D2661" s="26" t="s">
        <v>1704</v>
      </c>
      <c r="E2661" s="26">
        <v>-1255.123</v>
      </c>
      <c r="F2661" s="26">
        <v>6.8460000000000001</v>
      </c>
      <c r="G2661" s="26">
        <f t="shared" si="41"/>
        <v>-1255.123</v>
      </c>
    </row>
    <row r="2662" spans="1:7" x14ac:dyDescent="0.2">
      <c r="A2662" s="26">
        <v>129</v>
      </c>
      <c r="B2662" s="26">
        <v>86</v>
      </c>
      <c r="C2662" s="26">
        <v>215</v>
      </c>
      <c r="D2662" s="26" t="s">
        <v>1705</v>
      </c>
      <c r="E2662" s="26">
        <v>-1168.5740000000001</v>
      </c>
      <c r="F2662" s="26">
        <v>7.6870000000000003</v>
      </c>
      <c r="G2662" s="26">
        <f t="shared" si="41"/>
        <v>-1168.5740000000001</v>
      </c>
    </row>
    <row r="2663" spans="1:7" x14ac:dyDescent="0.2">
      <c r="A2663" s="26">
        <v>128</v>
      </c>
      <c r="B2663" s="26">
        <v>87</v>
      </c>
      <c r="C2663" s="26">
        <v>215</v>
      </c>
      <c r="D2663" s="26" t="s">
        <v>1706</v>
      </c>
      <c r="E2663" s="26">
        <v>318.10300000000001</v>
      </c>
      <c r="F2663" s="26">
        <v>7.0819999999999999</v>
      </c>
      <c r="G2663" s="26">
        <f t="shared" si="41"/>
        <v>318.10300000000001</v>
      </c>
    </row>
    <row r="2664" spans="1:7" x14ac:dyDescent="0.2">
      <c r="A2664" s="26">
        <v>127</v>
      </c>
      <c r="B2664" s="26">
        <v>88</v>
      </c>
      <c r="C2664" s="26">
        <v>215</v>
      </c>
      <c r="D2664" s="26" t="s">
        <v>1707</v>
      </c>
      <c r="E2664" s="26">
        <v>2533.509</v>
      </c>
      <c r="F2664" s="26">
        <v>7.5940000000000003</v>
      </c>
      <c r="G2664" s="26">
        <f t="shared" si="41"/>
        <v>2533.509</v>
      </c>
    </row>
    <row r="2665" spans="1:7" x14ac:dyDescent="0.2">
      <c r="A2665" s="26">
        <v>126</v>
      </c>
      <c r="B2665" s="26">
        <v>89</v>
      </c>
      <c r="C2665" s="26">
        <v>215</v>
      </c>
      <c r="D2665" s="26" t="s">
        <v>1708</v>
      </c>
      <c r="E2665" s="26">
        <v>6011.5140000000001</v>
      </c>
      <c r="F2665" s="26">
        <v>21.405999999999999</v>
      </c>
      <c r="G2665" s="26">
        <f t="shared" si="41"/>
        <v>6011.5140000000001</v>
      </c>
    </row>
    <row r="2666" spans="1:7" x14ac:dyDescent="0.2">
      <c r="A2666" s="26">
        <v>125</v>
      </c>
      <c r="B2666" s="26">
        <v>90</v>
      </c>
      <c r="C2666" s="26">
        <v>215</v>
      </c>
      <c r="D2666" s="26" t="s">
        <v>1709</v>
      </c>
      <c r="E2666" s="26">
        <v>10926.733</v>
      </c>
      <c r="F2666" s="26">
        <v>26.888999999999999</v>
      </c>
      <c r="G2666" s="26">
        <f t="shared" si="41"/>
        <v>10926.733</v>
      </c>
    </row>
    <row r="2667" spans="1:7" x14ac:dyDescent="0.2">
      <c r="A2667" s="26">
        <v>124</v>
      </c>
      <c r="B2667" s="26">
        <v>91</v>
      </c>
      <c r="C2667" s="26">
        <v>215</v>
      </c>
      <c r="D2667" s="26" t="s">
        <v>1710</v>
      </c>
      <c r="E2667" s="26">
        <v>17871.519</v>
      </c>
      <c r="F2667" s="26">
        <v>87.012</v>
      </c>
      <c r="G2667" s="26">
        <f t="shared" si="41"/>
        <v>17871.519</v>
      </c>
    </row>
    <row r="2668" spans="1:7" x14ac:dyDescent="0.2">
      <c r="A2668" s="26">
        <v>133</v>
      </c>
      <c r="B2668" s="26">
        <v>83</v>
      </c>
      <c r="C2668" s="26">
        <v>216</v>
      </c>
      <c r="D2668" s="26" t="s">
        <v>1702</v>
      </c>
      <c r="E2668" s="26">
        <v>5873.9480000000003</v>
      </c>
      <c r="F2668" s="26">
        <v>11.178000000000001</v>
      </c>
      <c r="G2668" s="26">
        <f t="shared" si="41"/>
        <v>5873.9480000000003</v>
      </c>
    </row>
    <row r="2669" spans="1:7" x14ac:dyDescent="0.2">
      <c r="A2669" s="26">
        <v>132</v>
      </c>
      <c r="B2669" s="26">
        <v>84</v>
      </c>
      <c r="C2669" s="26">
        <v>216</v>
      </c>
      <c r="D2669" s="26" t="s">
        <v>1703</v>
      </c>
      <c r="E2669" s="26">
        <v>1783.8440000000001</v>
      </c>
      <c r="F2669" s="26">
        <v>2.2029999999999998</v>
      </c>
      <c r="G2669" s="26">
        <f t="shared" si="41"/>
        <v>1783.8440000000001</v>
      </c>
    </row>
    <row r="2670" spans="1:7" x14ac:dyDescent="0.2">
      <c r="A2670" s="26">
        <v>131</v>
      </c>
      <c r="B2670" s="26">
        <v>85</v>
      </c>
      <c r="C2670" s="26">
        <v>216</v>
      </c>
      <c r="D2670" s="26" t="s">
        <v>1704</v>
      </c>
      <c r="E2670" s="26">
        <v>2257.25</v>
      </c>
      <c r="F2670" s="26">
        <v>3.6469999999999998</v>
      </c>
      <c r="G2670" s="26">
        <f t="shared" si="41"/>
        <v>2257.25</v>
      </c>
    </row>
    <row r="2671" spans="1:7" x14ac:dyDescent="0.2">
      <c r="A2671" s="26">
        <v>130</v>
      </c>
      <c r="B2671" s="26">
        <v>86</v>
      </c>
      <c r="C2671" s="26">
        <v>216</v>
      </c>
      <c r="D2671" s="26" t="s">
        <v>1705</v>
      </c>
      <c r="E2671" s="26">
        <v>255.57400000000001</v>
      </c>
      <c r="F2671" s="26">
        <v>7.3120000000000003</v>
      </c>
      <c r="G2671" s="26">
        <f t="shared" si="41"/>
        <v>255.57400000000001</v>
      </c>
    </row>
    <row r="2672" spans="1:7" x14ac:dyDescent="0.2">
      <c r="A2672" s="26">
        <v>129</v>
      </c>
      <c r="B2672" s="26">
        <v>87</v>
      </c>
      <c r="C2672" s="26">
        <v>216</v>
      </c>
      <c r="D2672" s="26" t="s">
        <v>1706</v>
      </c>
      <c r="E2672" s="26">
        <v>2978.9090000000001</v>
      </c>
      <c r="F2672" s="26">
        <v>14.196</v>
      </c>
      <c r="G2672" s="26">
        <f t="shared" si="41"/>
        <v>2978.9090000000001</v>
      </c>
    </row>
    <row r="2673" spans="1:7" x14ac:dyDescent="0.2">
      <c r="A2673" s="26">
        <v>128</v>
      </c>
      <c r="B2673" s="26">
        <v>88</v>
      </c>
      <c r="C2673" s="26">
        <v>216</v>
      </c>
      <c r="D2673" s="26" t="s">
        <v>1707</v>
      </c>
      <c r="E2673" s="26">
        <v>3291.002</v>
      </c>
      <c r="F2673" s="26">
        <v>8.75</v>
      </c>
      <c r="G2673" s="26">
        <f t="shared" si="41"/>
        <v>3291.002</v>
      </c>
    </row>
    <row r="2674" spans="1:7" x14ac:dyDescent="0.2">
      <c r="A2674" s="26">
        <v>127</v>
      </c>
      <c r="B2674" s="26">
        <v>89</v>
      </c>
      <c r="C2674" s="26">
        <v>216</v>
      </c>
      <c r="D2674" s="26" t="s">
        <v>1708</v>
      </c>
      <c r="E2674" s="26">
        <v>8122.6980000000003</v>
      </c>
      <c r="F2674" s="26">
        <v>26.577000000000002</v>
      </c>
      <c r="G2674" s="26">
        <f t="shared" si="41"/>
        <v>8122.6980000000003</v>
      </c>
    </row>
    <row r="2675" spans="1:7" x14ac:dyDescent="0.2">
      <c r="A2675" s="26">
        <v>126</v>
      </c>
      <c r="B2675" s="26">
        <v>90</v>
      </c>
      <c r="C2675" s="26">
        <v>216</v>
      </c>
      <c r="D2675" s="26" t="s">
        <v>1709</v>
      </c>
      <c r="E2675" s="26">
        <v>10304.294</v>
      </c>
      <c r="F2675" s="26">
        <v>12.923</v>
      </c>
      <c r="G2675" s="26">
        <f t="shared" si="41"/>
        <v>10304.294</v>
      </c>
    </row>
    <row r="2676" spans="1:7" x14ac:dyDescent="0.2">
      <c r="A2676" s="26">
        <v>125</v>
      </c>
      <c r="B2676" s="26">
        <v>91</v>
      </c>
      <c r="C2676" s="26">
        <v>216</v>
      </c>
      <c r="D2676" s="26" t="s">
        <v>1710</v>
      </c>
      <c r="E2676" s="26">
        <v>17800.445</v>
      </c>
      <c r="F2676" s="26">
        <v>69.932000000000002</v>
      </c>
      <c r="G2676" s="26">
        <f t="shared" si="41"/>
        <v>17800.445</v>
      </c>
    </row>
    <row r="2677" spans="1:7" x14ac:dyDescent="0.2">
      <c r="A2677" s="26">
        <v>134</v>
      </c>
      <c r="B2677" s="26">
        <v>83</v>
      </c>
      <c r="C2677" s="26">
        <v>217</v>
      </c>
      <c r="D2677" s="26" t="s">
        <v>1702</v>
      </c>
      <c r="E2677" s="26" t="s">
        <v>698</v>
      </c>
      <c r="F2677" s="26" t="s">
        <v>1480</v>
      </c>
      <c r="G2677" s="26">
        <f t="shared" si="41"/>
        <v>8821.01</v>
      </c>
    </row>
    <row r="2678" spans="1:7" x14ac:dyDescent="0.2">
      <c r="A2678" s="26">
        <v>133</v>
      </c>
      <c r="B2678" s="26">
        <v>84</v>
      </c>
      <c r="C2678" s="26">
        <v>217</v>
      </c>
      <c r="D2678" s="26" t="s">
        <v>1703</v>
      </c>
      <c r="E2678" s="26">
        <v>5900.8249999999998</v>
      </c>
      <c r="F2678" s="26">
        <v>6.6459999999999999</v>
      </c>
      <c r="G2678" s="26">
        <f t="shared" si="41"/>
        <v>5900.8249999999998</v>
      </c>
    </row>
    <row r="2679" spans="1:7" x14ac:dyDescent="0.2">
      <c r="A2679" s="26">
        <v>132</v>
      </c>
      <c r="B2679" s="26">
        <v>85</v>
      </c>
      <c r="C2679" s="26">
        <v>217</v>
      </c>
      <c r="D2679" s="26" t="s">
        <v>1704</v>
      </c>
      <c r="E2679" s="26">
        <v>4395.5550000000003</v>
      </c>
      <c r="F2679" s="26">
        <v>4.9169999999999998</v>
      </c>
      <c r="G2679" s="26">
        <f t="shared" si="41"/>
        <v>4395.5550000000003</v>
      </c>
    </row>
    <row r="2680" spans="1:7" x14ac:dyDescent="0.2">
      <c r="A2680" s="26">
        <v>131</v>
      </c>
      <c r="B2680" s="26">
        <v>86</v>
      </c>
      <c r="C2680" s="26">
        <v>217</v>
      </c>
      <c r="D2680" s="26" t="s">
        <v>1705</v>
      </c>
      <c r="E2680" s="26">
        <v>3658.607</v>
      </c>
      <c r="F2680" s="26">
        <v>4.226</v>
      </c>
      <c r="G2680" s="26">
        <f t="shared" si="41"/>
        <v>3658.607</v>
      </c>
    </row>
    <row r="2681" spans="1:7" x14ac:dyDescent="0.2">
      <c r="A2681" s="26">
        <v>130</v>
      </c>
      <c r="B2681" s="26">
        <v>87</v>
      </c>
      <c r="C2681" s="26">
        <v>217</v>
      </c>
      <c r="D2681" s="26" t="s">
        <v>1706</v>
      </c>
      <c r="E2681" s="26">
        <v>4314.6350000000002</v>
      </c>
      <c r="F2681" s="26">
        <v>6.548</v>
      </c>
      <c r="G2681" s="26">
        <f t="shared" si="41"/>
        <v>4314.6350000000002</v>
      </c>
    </row>
    <row r="2682" spans="1:7" x14ac:dyDescent="0.2">
      <c r="A2682" s="26">
        <v>129</v>
      </c>
      <c r="B2682" s="26">
        <v>88</v>
      </c>
      <c r="C2682" s="26">
        <v>217</v>
      </c>
      <c r="D2682" s="26" t="s">
        <v>1707</v>
      </c>
      <c r="E2682" s="26">
        <v>5887.3469999999998</v>
      </c>
      <c r="F2682" s="26">
        <v>8.5289999999999999</v>
      </c>
      <c r="G2682" s="26">
        <f t="shared" si="41"/>
        <v>5887.3469999999998</v>
      </c>
    </row>
    <row r="2683" spans="1:7" x14ac:dyDescent="0.2">
      <c r="A2683" s="26">
        <v>128</v>
      </c>
      <c r="B2683" s="26">
        <v>89</v>
      </c>
      <c r="C2683" s="26">
        <v>217</v>
      </c>
      <c r="D2683" s="26" t="s">
        <v>1708</v>
      </c>
      <c r="E2683" s="26">
        <v>8706.5949999999993</v>
      </c>
      <c r="F2683" s="26">
        <v>12.753</v>
      </c>
      <c r="G2683" s="26">
        <f t="shared" si="41"/>
        <v>8706.5949999999993</v>
      </c>
    </row>
    <row r="2684" spans="1:7" x14ac:dyDescent="0.2">
      <c r="A2684" s="26">
        <v>127</v>
      </c>
      <c r="B2684" s="26">
        <v>90</v>
      </c>
      <c r="C2684" s="26">
        <v>217</v>
      </c>
      <c r="D2684" s="26" t="s">
        <v>1709</v>
      </c>
      <c r="E2684" s="26">
        <v>12215.918</v>
      </c>
      <c r="F2684" s="26">
        <v>20.789000000000001</v>
      </c>
      <c r="G2684" s="26">
        <f t="shared" si="41"/>
        <v>12215.918</v>
      </c>
    </row>
    <row r="2685" spans="1:7" x14ac:dyDescent="0.2">
      <c r="A2685" s="26">
        <v>126</v>
      </c>
      <c r="B2685" s="26">
        <v>91</v>
      </c>
      <c r="C2685" s="26">
        <v>217</v>
      </c>
      <c r="D2685" s="26" t="s">
        <v>1710</v>
      </c>
      <c r="E2685" s="26">
        <v>17068.683000000001</v>
      </c>
      <c r="F2685" s="26">
        <v>52.287999999999997</v>
      </c>
      <c r="G2685" s="26">
        <f t="shared" si="41"/>
        <v>17068.683000000001</v>
      </c>
    </row>
    <row r="2686" spans="1:7" x14ac:dyDescent="0.2">
      <c r="A2686" s="26">
        <v>125</v>
      </c>
      <c r="B2686" s="26">
        <v>92</v>
      </c>
      <c r="C2686" s="26">
        <v>217</v>
      </c>
      <c r="D2686" s="26" t="s">
        <v>1711</v>
      </c>
      <c r="E2686" s="26">
        <v>22699.383000000002</v>
      </c>
      <c r="F2686" s="26">
        <v>86.873000000000005</v>
      </c>
      <c r="G2686" s="26">
        <f t="shared" si="41"/>
        <v>22699.383000000002</v>
      </c>
    </row>
    <row r="2687" spans="1:7" x14ac:dyDescent="0.2">
      <c r="A2687" s="26">
        <v>135</v>
      </c>
      <c r="B2687" s="26">
        <v>83</v>
      </c>
      <c r="C2687" s="26">
        <v>218</v>
      </c>
      <c r="D2687" s="26" t="s">
        <v>1702</v>
      </c>
      <c r="E2687" s="26" t="s">
        <v>699</v>
      </c>
      <c r="F2687" s="26" t="s">
        <v>1320</v>
      </c>
      <c r="G2687" s="26">
        <f t="shared" si="41"/>
        <v>13335.01</v>
      </c>
    </row>
    <row r="2688" spans="1:7" x14ac:dyDescent="0.2">
      <c r="A2688" s="26">
        <v>134</v>
      </c>
      <c r="B2688" s="26">
        <v>84</v>
      </c>
      <c r="C2688" s="26">
        <v>218</v>
      </c>
      <c r="D2688" s="26" t="s">
        <v>1703</v>
      </c>
      <c r="E2688" s="26">
        <v>8358.3310000000001</v>
      </c>
      <c r="F2688" s="26">
        <v>2.379</v>
      </c>
      <c r="G2688" s="26">
        <f t="shared" si="41"/>
        <v>8358.3310000000001</v>
      </c>
    </row>
    <row r="2689" spans="1:7" x14ac:dyDescent="0.2">
      <c r="A2689" s="26">
        <v>133</v>
      </c>
      <c r="B2689" s="26">
        <v>85</v>
      </c>
      <c r="C2689" s="26">
        <v>218</v>
      </c>
      <c r="D2689" s="26" t="s">
        <v>1704</v>
      </c>
      <c r="E2689" s="26">
        <v>8098.7219999999998</v>
      </c>
      <c r="F2689" s="26">
        <v>11.622999999999999</v>
      </c>
      <c r="G2689" s="26">
        <f t="shared" si="41"/>
        <v>8098.7219999999998</v>
      </c>
    </row>
    <row r="2690" spans="1:7" x14ac:dyDescent="0.2">
      <c r="A2690" s="26">
        <v>132</v>
      </c>
      <c r="B2690" s="26">
        <v>86</v>
      </c>
      <c r="C2690" s="26">
        <v>218</v>
      </c>
      <c r="D2690" s="26" t="s">
        <v>1705</v>
      </c>
      <c r="E2690" s="26">
        <v>5217.5370000000003</v>
      </c>
      <c r="F2690" s="26">
        <v>2.3730000000000002</v>
      </c>
      <c r="G2690" s="26">
        <f t="shared" si="41"/>
        <v>5217.5370000000003</v>
      </c>
    </row>
    <row r="2691" spans="1:7" x14ac:dyDescent="0.2">
      <c r="A2691" s="26">
        <v>131</v>
      </c>
      <c r="B2691" s="26">
        <v>87</v>
      </c>
      <c r="C2691" s="26">
        <v>218</v>
      </c>
      <c r="D2691" s="26" t="s">
        <v>1706</v>
      </c>
      <c r="E2691" s="26">
        <v>7059.1620000000003</v>
      </c>
      <c r="F2691" s="26">
        <v>4.7809999999999997</v>
      </c>
      <c r="G2691" s="26">
        <f t="shared" si="41"/>
        <v>7059.1620000000003</v>
      </c>
    </row>
    <row r="2692" spans="1:7" x14ac:dyDescent="0.2">
      <c r="A2692" s="26">
        <v>130</v>
      </c>
      <c r="B2692" s="26">
        <v>88</v>
      </c>
      <c r="C2692" s="26">
        <v>218</v>
      </c>
      <c r="D2692" s="26" t="s">
        <v>1707</v>
      </c>
      <c r="E2692" s="26">
        <v>6651.0820000000003</v>
      </c>
      <c r="F2692" s="26">
        <v>11.186</v>
      </c>
      <c r="G2692" s="26">
        <f t="shared" si="41"/>
        <v>6651.0820000000003</v>
      </c>
    </row>
    <row r="2693" spans="1:7" x14ac:dyDescent="0.2">
      <c r="A2693" s="26">
        <v>129</v>
      </c>
      <c r="B2693" s="26">
        <v>89</v>
      </c>
      <c r="C2693" s="26">
        <v>218</v>
      </c>
      <c r="D2693" s="26" t="s">
        <v>1708</v>
      </c>
      <c r="E2693" s="26">
        <v>10843.944</v>
      </c>
      <c r="F2693" s="26">
        <v>50.762999999999998</v>
      </c>
      <c r="G2693" s="26">
        <f t="shared" si="41"/>
        <v>10843.944</v>
      </c>
    </row>
    <row r="2694" spans="1:7" x14ac:dyDescent="0.2">
      <c r="A2694" s="26">
        <v>128</v>
      </c>
      <c r="B2694" s="26">
        <v>90</v>
      </c>
      <c r="C2694" s="26">
        <v>218</v>
      </c>
      <c r="D2694" s="26" t="s">
        <v>1709</v>
      </c>
      <c r="E2694" s="26">
        <v>12374.432000000001</v>
      </c>
      <c r="F2694" s="26">
        <v>12.952</v>
      </c>
      <c r="G2694" s="26">
        <f t="shared" si="41"/>
        <v>12374.432000000001</v>
      </c>
    </row>
    <row r="2695" spans="1:7" x14ac:dyDescent="0.2">
      <c r="A2695" s="26">
        <v>127</v>
      </c>
      <c r="B2695" s="26">
        <v>91</v>
      </c>
      <c r="C2695" s="26">
        <v>218</v>
      </c>
      <c r="D2695" s="26" t="s">
        <v>1710</v>
      </c>
      <c r="E2695" s="26">
        <v>18668.900000000001</v>
      </c>
      <c r="F2695" s="26">
        <v>24.613</v>
      </c>
      <c r="G2695" s="26">
        <f t="shared" si="41"/>
        <v>18668.900000000001</v>
      </c>
    </row>
    <row r="2696" spans="1:7" x14ac:dyDescent="0.2">
      <c r="A2696" s="26">
        <v>126</v>
      </c>
      <c r="B2696" s="26">
        <v>92</v>
      </c>
      <c r="C2696" s="26">
        <v>218</v>
      </c>
      <c r="D2696" s="26" t="s">
        <v>1711</v>
      </c>
      <c r="E2696" s="26">
        <v>21923.337</v>
      </c>
      <c r="F2696" s="26">
        <v>30.518999999999998</v>
      </c>
      <c r="G2696" s="26">
        <f t="shared" si="41"/>
        <v>21923.337</v>
      </c>
    </row>
    <row r="2697" spans="1:7" x14ac:dyDescent="0.2">
      <c r="A2697" s="26">
        <v>135</v>
      </c>
      <c r="B2697" s="26">
        <v>84</v>
      </c>
      <c r="C2697" s="26">
        <v>219</v>
      </c>
      <c r="D2697" s="26" t="s">
        <v>1703</v>
      </c>
      <c r="E2697" s="26" t="s">
        <v>700</v>
      </c>
      <c r="F2697" s="26" t="s">
        <v>1320</v>
      </c>
      <c r="G2697" s="26">
        <f t="shared" si="41"/>
        <v>12802.01</v>
      </c>
    </row>
    <row r="2698" spans="1:7" x14ac:dyDescent="0.2">
      <c r="A2698" s="26">
        <v>134</v>
      </c>
      <c r="B2698" s="26">
        <v>85</v>
      </c>
      <c r="C2698" s="26">
        <v>219</v>
      </c>
      <c r="D2698" s="26" t="s">
        <v>1704</v>
      </c>
      <c r="E2698" s="26">
        <v>10397.048000000001</v>
      </c>
      <c r="F2698" s="26">
        <v>3.883</v>
      </c>
      <c r="G2698" s="26">
        <f t="shared" ref="G2698:G2761" si="42">IF(ISNUMBER(E2698),E2698,VALUE(SUBSTITUTE(E2698,"#",".01")))</f>
        <v>10397.048000000001</v>
      </c>
    </row>
    <row r="2699" spans="1:7" x14ac:dyDescent="0.2">
      <c r="A2699" s="26">
        <v>133</v>
      </c>
      <c r="B2699" s="26">
        <v>86</v>
      </c>
      <c r="C2699" s="26">
        <v>219</v>
      </c>
      <c r="D2699" s="26" t="s">
        <v>1705</v>
      </c>
      <c r="E2699" s="26">
        <v>8830.7540000000008</v>
      </c>
      <c r="F2699" s="26">
        <v>2.5310000000000001</v>
      </c>
      <c r="G2699" s="26">
        <f t="shared" si="42"/>
        <v>8830.7540000000008</v>
      </c>
    </row>
    <row r="2700" spans="1:7" x14ac:dyDescent="0.2">
      <c r="A2700" s="26">
        <v>132</v>
      </c>
      <c r="B2700" s="26">
        <v>87</v>
      </c>
      <c r="C2700" s="26">
        <v>219</v>
      </c>
      <c r="D2700" s="26" t="s">
        <v>1706</v>
      </c>
      <c r="E2700" s="26">
        <v>8618.3220000000001</v>
      </c>
      <c r="F2700" s="26">
        <v>7.0839999999999996</v>
      </c>
      <c r="G2700" s="26">
        <f t="shared" si="42"/>
        <v>8618.3220000000001</v>
      </c>
    </row>
    <row r="2701" spans="1:7" x14ac:dyDescent="0.2">
      <c r="A2701" s="26">
        <v>131</v>
      </c>
      <c r="B2701" s="26">
        <v>88</v>
      </c>
      <c r="C2701" s="26">
        <v>219</v>
      </c>
      <c r="D2701" s="26" t="s">
        <v>1707</v>
      </c>
      <c r="E2701" s="26">
        <v>9394.19</v>
      </c>
      <c r="F2701" s="26">
        <v>8.2720000000000002</v>
      </c>
      <c r="G2701" s="26">
        <f t="shared" si="42"/>
        <v>9394.19</v>
      </c>
    </row>
    <row r="2702" spans="1:7" x14ac:dyDescent="0.2">
      <c r="A2702" s="26">
        <v>130</v>
      </c>
      <c r="B2702" s="26">
        <v>89</v>
      </c>
      <c r="C2702" s="26">
        <v>219</v>
      </c>
      <c r="D2702" s="26" t="s">
        <v>1708</v>
      </c>
      <c r="E2702" s="26">
        <v>11569.518</v>
      </c>
      <c r="F2702" s="26">
        <v>50.499000000000002</v>
      </c>
      <c r="G2702" s="26">
        <f t="shared" si="42"/>
        <v>11569.518</v>
      </c>
    </row>
    <row r="2703" spans="1:7" x14ac:dyDescent="0.2">
      <c r="A2703" s="26">
        <v>129</v>
      </c>
      <c r="B2703" s="26">
        <v>90</v>
      </c>
      <c r="C2703" s="26">
        <v>219</v>
      </c>
      <c r="D2703" s="26" t="s">
        <v>1709</v>
      </c>
      <c r="E2703" s="26">
        <v>14472.525</v>
      </c>
      <c r="F2703" s="26">
        <v>50.573</v>
      </c>
      <c r="G2703" s="26">
        <f t="shared" si="42"/>
        <v>14472.525</v>
      </c>
    </row>
    <row r="2704" spans="1:7" x14ac:dyDescent="0.2">
      <c r="A2704" s="26">
        <v>128</v>
      </c>
      <c r="B2704" s="26">
        <v>91</v>
      </c>
      <c r="C2704" s="26">
        <v>219</v>
      </c>
      <c r="D2704" s="26" t="s">
        <v>1710</v>
      </c>
      <c r="E2704" s="26">
        <v>18521.028999999999</v>
      </c>
      <c r="F2704" s="26">
        <v>54.39</v>
      </c>
      <c r="G2704" s="26">
        <f t="shared" si="42"/>
        <v>18521.028999999999</v>
      </c>
    </row>
    <row r="2705" spans="1:7" x14ac:dyDescent="0.2">
      <c r="A2705" s="26">
        <v>127</v>
      </c>
      <c r="B2705" s="26">
        <v>92</v>
      </c>
      <c r="C2705" s="26">
        <v>219</v>
      </c>
      <c r="D2705" s="26" t="s">
        <v>1711</v>
      </c>
      <c r="E2705" s="26">
        <v>23212.047999999999</v>
      </c>
      <c r="F2705" s="26">
        <v>56.771000000000001</v>
      </c>
      <c r="G2705" s="26">
        <f t="shared" si="42"/>
        <v>23212.047999999999</v>
      </c>
    </row>
    <row r="2706" spans="1:7" x14ac:dyDescent="0.2">
      <c r="A2706" s="26">
        <v>136</v>
      </c>
      <c r="B2706" s="26">
        <v>84</v>
      </c>
      <c r="C2706" s="26">
        <v>220</v>
      </c>
      <c r="D2706" s="26" t="s">
        <v>1703</v>
      </c>
      <c r="E2706" s="26" t="s">
        <v>701</v>
      </c>
      <c r="F2706" s="26" t="s">
        <v>1320</v>
      </c>
      <c r="G2706" s="26">
        <f t="shared" si="42"/>
        <v>15465.01</v>
      </c>
    </row>
    <row r="2707" spans="1:7" x14ac:dyDescent="0.2">
      <c r="A2707" s="26">
        <v>135</v>
      </c>
      <c r="B2707" s="26">
        <v>85</v>
      </c>
      <c r="C2707" s="26">
        <v>220</v>
      </c>
      <c r="D2707" s="26" t="s">
        <v>1704</v>
      </c>
      <c r="E2707" s="26">
        <v>14352.164000000001</v>
      </c>
      <c r="F2707" s="26">
        <v>51.234000000000002</v>
      </c>
      <c r="G2707" s="26">
        <f t="shared" si="42"/>
        <v>14352.164000000001</v>
      </c>
    </row>
    <row r="2708" spans="1:7" x14ac:dyDescent="0.2">
      <c r="A2708" s="26">
        <v>134</v>
      </c>
      <c r="B2708" s="26">
        <v>86</v>
      </c>
      <c r="C2708" s="26">
        <v>220</v>
      </c>
      <c r="D2708" s="26" t="s">
        <v>1705</v>
      </c>
      <c r="E2708" s="26">
        <v>10613.425999999999</v>
      </c>
      <c r="F2708" s="26">
        <v>2.2029999999999998</v>
      </c>
      <c r="G2708" s="26">
        <f t="shared" si="42"/>
        <v>10613.425999999999</v>
      </c>
    </row>
    <row r="2709" spans="1:7" x14ac:dyDescent="0.2">
      <c r="A2709" s="26">
        <v>133</v>
      </c>
      <c r="B2709" s="26">
        <v>87</v>
      </c>
      <c r="C2709" s="26">
        <v>220</v>
      </c>
      <c r="D2709" s="26" t="s">
        <v>1706</v>
      </c>
      <c r="E2709" s="26">
        <v>11482.904</v>
      </c>
      <c r="F2709" s="26">
        <v>4.093</v>
      </c>
      <c r="G2709" s="26">
        <f t="shared" si="42"/>
        <v>11482.904</v>
      </c>
    </row>
    <row r="2710" spans="1:7" x14ac:dyDescent="0.2">
      <c r="A2710" s="26">
        <v>132</v>
      </c>
      <c r="B2710" s="26">
        <v>88</v>
      </c>
      <c r="C2710" s="26">
        <v>220</v>
      </c>
      <c r="D2710" s="26" t="s">
        <v>1707</v>
      </c>
      <c r="E2710" s="26">
        <v>10272.874</v>
      </c>
      <c r="F2710" s="26">
        <v>9.2409999999999997</v>
      </c>
      <c r="G2710" s="26">
        <f t="shared" si="42"/>
        <v>10272.874</v>
      </c>
    </row>
    <row r="2711" spans="1:7" x14ac:dyDescent="0.2">
      <c r="A2711" s="26">
        <v>131</v>
      </c>
      <c r="B2711" s="26">
        <v>89</v>
      </c>
      <c r="C2711" s="26">
        <v>220</v>
      </c>
      <c r="D2711" s="26" t="s">
        <v>1708</v>
      </c>
      <c r="E2711" s="26">
        <v>13751.627</v>
      </c>
      <c r="F2711" s="26">
        <v>14.888999999999999</v>
      </c>
      <c r="G2711" s="26">
        <f t="shared" si="42"/>
        <v>13751.627</v>
      </c>
    </row>
    <row r="2712" spans="1:7" x14ac:dyDescent="0.2">
      <c r="A2712" s="26">
        <v>130</v>
      </c>
      <c r="B2712" s="26">
        <v>90</v>
      </c>
      <c r="C2712" s="26">
        <v>220</v>
      </c>
      <c r="D2712" s="26" t="s">
        <v>1709</v>
      </c>
      <c r="E2712" s="26">
        <v>14668.946</v>
      </c>
      <c r="F2712" s="26">
        <v>22.170999999999999</v>
      </c>
      <c r="G2712" s="26">
        <f t="shared" si="42"/>
        <v>14668.946</v>
      </c>
    </row>
    <row r="2713" spans="1:7" x14ac:dyDescent="0.2">
      <c r="A2713" s="26">
        <v>129</v>
      </c>
      <c r="B2713" s="26">
        <v>91</v>
      </c>
      <c r="C2713" s="26">
        <v>220</v>
      </c>
      <c r="D2713" s="26" t="s">
        <v>1710</v>
      </c>
      <c r="E2713" s="26">
        <v>20376.714</v>
      </c>
      <c r="F2713" s="26">
        <v>56.624000000000002</v>
      </c>
      <c r="G2713" s="26">
        <f t="shared" si="42"/>
        <v>20376.714</v>
      </c>
    </row>
    <row r="2714" spans="1:7" x14ac:dyDescent="0.2">
      <c r="A2714" s="26">
        <v>128</v>
      </c>
      <c r="B2714" s="26">
        <v>92</v>
      </c>
      <c r="C2714" s="26">
        <v>220</v>
      </c>
      <c r="D2714" s="26" t="s">
        <v>1711</v>
      </c>
      <c r="E2714" s="26" t="s">
        <v>702</v>
      </c>
      <c r="F2714" s="26" t="s">
        <v>1478</v>
      </c>
      <c r="G2714" s="26">
        <f t="shared" si="42"/>
        <v>23029.01</v>
      </c>
    </row>
    <row r="2715" spans="1:7" x14ac:dyDescent="0.2">
      <c r="A2715" s="26">
        <v>136</v>
      </c>
      <c r="B2715" s="26">
        <v>85</v>
      </c>
      <c r="C2715" s="26">
        <v>221</v>
      </c>
      <c r="D2715" s="26" t="s">
        <v>1704</v>
      </c>
      <c r="E2715" s="26" t="s">
        <v>703</v>
      </c>
      <c r="F2715" s="26" t="s">
        <v>1480</v>
      </c>
      <c r="G2715" s="26">
        <f t="shared" si="42"/>
        <v>16813.009999999998</v>
      </c>
    </row>
    <row r="2716" spans="1:7" x14ac:dyDescent="0.2">
      <c r="A2716" s="26">
        <v>135</v>
      </c>
      <c r="B2716" s="26">
        <v>86</v>
      </c>
      <c r="C2716" s="26">
        <v>221</v>
      </c>
      <c r="D2716" s="26" t="s">
        <v>1705</v>
      </c>
      <c r="E2716" s="26">
        <v>14472.42</v>
      </c>
      <c r="F2716" s="26">
        <v>5.9020000000000001</v>
      </c>
      <c r="G2716" s="26">
        <f t="shared" si="42"/>
        <v>14472.42</v>
      </c>
    </row>
    <row r="2717" spans="1:7" x14ac:dyDescent="0.2">
      <c r="A2717" s="26">
        <v>134</v>
      </c>
      <c r="B2717" s="26">
        <v>87</v>
      </c>
      <c r="C2717" s="26">
        <v>221</v>
      </c>
      <c r="D2717" s="26" t="s">
        <v>1706</v>
      </c>
      <c r="E2717" s="26">
        <v>13278.226000000001</v>
      </c>
      <c r="F2717" s="26">
        <v>4.7960000000000003</v>
      </c>
      <c r="G2717" s="26">
        <f t="shared" si="42"/>
        <v>13278.226000000001</v>
      </c>
    </row>
    <row r="2718" spans="1:7" x14ac:dyDescent="0.2">
      <c r="A2718" s="26">
        <v>133</v>
      </c>
      <c r="B2718" s="26">
        <v>88</v>
      </c>
      <c r="C2718" s="26">
        <v>221</v>
      </c>
      <c r="D2718" s="26" t="s">
        <v>1707</v>
      </c>
      <c r="E2718" s="26">
        <v>12963.916999999999</v>
      </c>
      <c r="F2718" s="26">
        <v>4.6559999999999997</v>
      </c>
      <c r="G2718" s="26">
        <f t="shared" si="42"/>
        <v>12963.916999999999</v>
      </c>
    </row>
    <row r="2719" spans="1:7" x14ac:dyDescent="0.2">
      <c r="A2719" s="26">
        <v>132</v>
      </c>
      <c r="B2719" s="26">
        <v>89</v>
      </c>
      <c r="C2719" s="26">
        <v>221</v>
      </c>
      <c r="D2719" s="26" t="s">
        <v>1708</v>
      </c>
      <c r="E2719" s="26">
        <v>14523.155000000001</v>
      </c>
      <c r="F2719" s="26">
        <v>50.427</v>
      </c>
      <c r="G2719" s="26">
        <f t="shared" si="42"/>
        <v>14523.155000000001</v>
      </c>
    </row>
    <row r="2720" spans="1:7" x14ac:dyDescent="0.2">
      <c r="A2720" s="26">
        <v>131</v>
      </c>
      <c r="B2720" s="26">
        <v>90</v>
      </c>
      <c r="C2720" s="26">
        <v>221</v>
      </c>
      <c r="D2720" s="26" t="s">
        <v>1709</v>
      </c>
      <c r="E2720" s="26">
        <v>16937.984</v>
      </c>
      <c r="F2720" s="26">
        <v>9.3569999999999993</v>
      </c>
      <c r="G2720" s="26">
        <f t="shared" si="42"/>
        <v>16937.984</v>
      </c>
    </row>
    <row r="2721" spans="1:7" x14ac:dyDescent="0.2">
      <c r="A2721" s="26">
        <v>130</v>
      </c>
      <c r="B2721" s="26">
        <v>91</v>
      </c>
      <c r="C2721" s="26">
        <v>221</v>
      </c>
      <c r="D2721" s="26" t="s">
        <v>1710</v>
      </c>
      <c r="E2721" s="26">
        <v>20379.210999999999</v>
      </c>
      <c r="F2721" s="26">
        <v>51.600999999999999</v>
      </c>
      <c r="G2721" s="26">
        <f t="shared" si="42"/>
        <v>20379.210999999999</v>
      </c>
    </row>
    <row r="2722" spans="1:7" x14ac:dyDescent="0.2">
      <c r="A2722" s="26">
        <v>129</v>
      </c>
      <c r="B2722" s="26">
        <v>92</v>
      </c>
      <c r="C2722" s="26">
        <v>221</v>
      </c>
      <c r="D2722" s="26" t="s">
        <v>1711</v>
      </c>
      <c r="E2722" s="26" t="s">
        <v>704</v>
      </c>
      <c r="F2722" s="26" t="s">
        <v>1516</v>
      </c>
      <c r="G2722" s="26">
        <f t="shared" si="42"/>
        <v>24591.01</v>
      </c>
    </row>
    <row r="2723" spans="1:7" x14ac:dyDescent="0.2">
      <c r="A2723" s="26">
        <v>137</v>
      </c>
      <c r="B2723" s="26">
        <v>85</v>
      </c>
      <c r="C2723" s="26">
        <v>222</v>
      </c>
      <c r="D2723" s="26" t="s">
        <v>1704</v>
      </c>
      <c r="E2723" s="26" t="s">
        <v>1445</v>
      </c>
      <c r="F2723" s="26" t="s">
        <v>1730</v>
      </c>
      <c r="G2723" s="26">
        <f t="shared" si="42"/>
        <v>20800.009999999998</v>
      </c>
    </row>
    <row r="2724" spans="1:7" x14ac:dyDescent="0.2">
      <c r="A2724" s="26">
        <v>136</v>
      </c>
      <c r="B2724" s="26">
        <v>86</v>
      </c>
      <c r="C2724" s="26">
        <v>222</v>
      </c>
      <c r="D2724" s="26" t="s">
        <v>1705</v>
      </c>
      <c r="E2724" s="26">
        <v>16373.558000000001</v>
      </c>
      <c r="F2724" s="26">
        <v>2.36</v>
      </c>
      <c r="G2724" s="26">
        <f t="shared" si="42"/>
        <v>16373.558000000001</v>
      </c>
    </row>
    <row r="2725" spans="1:7" x14ac:dyDescent="0.2">
      <c r="A2725" s="26">
        <v>135</v>
      </c>
      <c r="B2725" s="26">
        <v>87</v>
      </c>
      <c r="C2725" s="26">
        <v>222</v>
      </c>
      <c r="D2725" s="26" t="s">
        <v>1706</v>
      </c>
      <c r="E2725" s="26">
        <v>16349.332</v>
      </c>
      <c r="F2725" s="26">
        <v>21.222999999999999</v>
      </c>
      <c r="G2725" s="26">
        <f t="shared" si="42"/>
        <v>16349.332</v>
      </c>
    </row>
    <row r="2726" spans="1:7" x14ac:dyDescent="0.2">
      <c r="A2726" s="26">
        <v>134</v>
      </c>
      <c r="B2726" s="26">
        <v>88</v>
      </c>
      <c r="C2726" s="26">
        <v>222</v>
      </c>
      <c r="D2726" s="26" t="s">
        <v>1707</v>
      </c>
      <c r="E2726" s="26">
        <v>14321.282999999999</v>
      </c>
      <c r="F2726" s="26">
        <v>4.5709999999999997</v>
      </c>
      <c r="G2726" s="26">
        <f t="shared" si="42"/>
        <v>14321.282999999999</v>
      </c>
    </row>
    <row r="2727" spans="1:7" x14ac:dyDescent="0.2">
      <c r="A2727" s="26">
        <v>133</v>
      </c>
      <c r="B2727" s="26">
        <v>89</v>
      </c>
      <c r="C2727" s="26">
        <v>222</v>
      </c>
      <c r="D2727" s="26" t="s">
        <v>1708</v>
      </c>
      <c r="E2727" s="26">
        <v>16621.440999999999</v>
      </c>
      <c r="F2727" s="26">
        <v>5.1970000000000001</v>
      </c>
      <c r="G2727" s="26">
        <f t="shared" si="42"/>
        <v>16621.440999999999</v>
      </c>
    </row>
    <row r="2728" spans="1:7" x14ac:dyDescent="0.2">
      <c r="A2728" s="26">
        <v>132</v>
      </c>
      <c r="B2728" s="26">
        <v>90</v>
      </c>
      <c r="C2728" s="26">
        <v>222</v>
      </c>
      <c r="D2728" s="26" t="s">
        <v>1709</v>
      </c>
      <c r="E2728" s="26">
        <v>17202.945</v>
      </c>
      <c r="F2728" s="26">
        <v>12.288</v>
      </c>
      <c r="G2728" s="26">
        <f t="shared" si="42"/>
        <v>17202.945</v>
      </c>
    </row>
    <row r="2729" spans="1:7" x14ac:dyDescent="0.2">
      <c r="A2729" s="26">
        <v>131</v>
      </c>
      <c r="B2729" s="26">
        <v>91</v>
      </c>
      <c r="C2729" s="26">
        <v>222</v>
      </c>
      <c r="D2729" s="26" t="s">
        <v>1710</v>
      </c>
      <c r="E2729" s="26" t="s">
        <v>705</v>
      </c>
      <c r="F2729" s="26" t="s">
        <v>706</v>
      </c>
      <c r="G2729" s="26">
        <f t="shared" si="42"/>
        <v>22116.01</v>
      </c>
    </row>
    <row r="2730" spans="1:7" x14ac:dyDescent="0.2">
      <c r="A2730" s="26">
        <v>130</v>
      </c>
      <c r="B2730" s="26">
        <v>92</v>
      </c>
      <c r="C2730" s="26">
        <v>222</v>
      </c>
      <c r="D2730" s="26" t="s">
        <v>1711</v>
      </c>
      <c r="E2730" s="26" t="s">
        <v>707</v>
      </c>
      <c r="F2730" s="26" t="s">
        <v>782</v>
      </c>
      <c r="G2730" s="26">
        <f t="shared" si="42"/>
        <v>24299.01</v>
      </c>
    </row>
    <row r="2731" spans="1:7" x14ac:dyDescent="0.2">
      <c r="A2731" s="26">
        <v>138</v>
      </c>
      <c r="B2731" s="26">
        <v>85</v>
      </c>
      <c r="C2731" s="26">
        <v>223</v>
      </c>
      <c r="D2731" s="26" t="s">
        <v>1704</v>
      </c>
      <c r="E2731" s="26" t="s">
        <v>708</v>
      </c>
      <c r="F2731" s="26" t="s">
        <v>1723</v>
      </c>
      <c r="G2731" s="26">
        <f t="shared" si="42"/>
        <v>23464.01</v>
      </c>
    </row>
    <row r="2732" spans="1:7" x14ac:dyDescent="0.2">
      <c r="A2732" s="26">
        <v>137</v>
      </c>
      <c r="B2732" s="26">
        <v>86</v>
      </c>
      <c r="C2732" s="26">
        <v>223</v>
      </c>
      <c r="D2732" s="26" t="s">
        <v>1705</v>
      </c>
      <c r="E2732" s="26" t="s">
        <v>1446</v>
      </c>
      <c r="F2732" s="26" t="s">
        <v>1730</v>
      </c>
      <c r="G2732" s="26">
        <f t="shared" si="42"/>
        <v>20297.009999999998</v>
      </c>
    </row>
    <row r="2733" spans="1:7" x14ac:dyDescent="0.2">
      <c r="A2733" s="26">
        <v>136</v>
      </c>
      <c r="B2733" s="26">
        <v>87</v>
      </c>
      <c r="C2733" s="26">
        <v>223</v>
      </c>
      <c r="D2733" s="26" t="s">
        <v>1706</v>
      </c>
      <c r="E2733" s="26">
        <v>18383.832999999999</v>
      </c>
      <c r="F2733" s="26">
        <v>2.3969999999999998</v>
      </c>
      <c r="G2733" s="26">
        <f t="shared" si="42"/>
        <v>18383.832999999999</v>
      </c>
    </row>
    <row r="2734" spans="1:7" x14ac:dyDescent="0.2">
      <c r="A2734" s="26">
        <v>135</v>
      </c>
      <c r="B2734" s="26">
        <v>88</v>
      </c>
      <c r="C2734" s="26">
        <v>223</v>
      </c>
      <c r="D2734" s="26" t="s">
        <v>1707</v>
      </c>
      <c r="E2734" s="26">
        <v>17234.662</v>
      </c>
      <c r="F2734" s="26">
        <v>2.5230000000000001</v>
      </c>
      <c r="G2734" s="26">
        <f t="shared" si="42"/>
        <v>17234.662</v>
      </c>
    </row>
    <row r="2735" spans="1:7" x14ac:dyDescent="0.2">
      <c r="A2735" s="26">
        <v>134</v>
      </c>
      <c r="B2735" s="26">
        <v>89</v>
      </c>
      <c r="C2735" s="26">
        <v>223</v>
      </c>
      <c r="D2735" s="26" t="s">
        <v>1708</v>
      </c>
      <c r="E2735" s="26">
        <v>17826.437000000002</v>
      </c>
      <c r="F2735" s="26">
        <v>7.1539999999999999</v>
      </c>
      <c r="G2735" s="26">
        <f t="shared" si="42"/>
        <v>17826.437000000002</v>
      </c>
    </row>
    <row r="2736" spans="1:7" x14ac:dyDescent="0.2">
      <c r="A2736" s="26">
        <v>133</v>
      </c>
      <c r="B2736" s="26">
        <v>90</v>
      </c>
      <c r="C2736" s="26">
        <v>223</v>
      </c>
      <c r="D2736" s="26" t="s">
        <v>1709</v>
      </c>
      <c r="E2736" s="26">
        <v>19385.739000000001</v>
      </c>
      <c r="F2736" s="26">
        <v>9.2249999999999996</v>
      </c>
      <c r="G2736" s="26">
        <f t="shared" si="42"/>
        <v>19385.739000000001</v>
      </c>
    </row>
    <row r="2737" spans="1:7" x14ac:dyDescent="0.2">
      <c r="A2737" s="26">
        <v>132</v>
      </c>
      <c r="B2737" s="26">
        <v>91</v>
      </c>
      <c r="C2737" s="26">
        <v>223</v>
      </c>
      <c r="D2737" s="26" t="s">
        <v>1710</v>
      </c>
      <c r="E2737" s="26">
        <v>22320.714</v>
      </c>
      <c r="F2737" s="26">
        <v>71.063999999999993</v>
      </c>
      <c r="G2737" s="26">
        <f t="shared" si="42"/>
        <v>22320.714</v>
      </c>
    </row>
    <row r="2738" spans="1:7" x14ac:dyDescent="0.2">
      <c r="A2738" s="26">
        <v>131</v>
      </c>
      <c r="B2738" s="26">
        <v>92</v>
      </c>
      <c r="C2738" s="26">
        <v>223</v>
      </c>
      <c r="D2738" s="26" t="s">
        <v>1711</v>
      </c>
      <c r="E2738" s="26">
        <v>25838.34</v>
      </c>
      <c r="F2738" s="26">
        <v>71.117000000000004</v>
      </c>
      <c r="G2738" s="26">
        <f t="shared" si="42"/>
        <v>25838.34</v>
      </c>
    </row>
    <row r="2739" spans="1:7" x14ac:dyDescent="0.2">
      <c r="A2739" s="26">
        <v>138</v>
      </c>
      <c r="B2739" s="26">
        <v>86</v>
      </c>
      <c r="C2739" s="26">
        <v>224</v>
      </c>
      <c r="D2739" s="26" t="s">
        <v>1705</v>
      </c>
      <c r="E2739" s="26" t="s">
        <v>1447</v>
      </c>
      <c r="F2739" s="26" t="s">
        <v>1730</v>
      </c>
      <c r="G2739" s="26">
        <f t="shared" si="42"/>
        <v>22440.01</v>
      </c>
    </row>
    <row r="2740" spans="1:7" x14ac:dyDescent="0.2">
      <c r="A2740" s="26">
        <v>137</v>
      </c>
      <c r="B2740" s="26">
        <v>87</v>
      </c>
      <c r="C2740" s="26">
        <v>224</v>
      </c>
      <c r="D2740" s="26" t="s">
        <v>1706</v>
      </c>
      <c r="E2740" s="26">
        <v>21657.19</v>
      </c>
      <c r="F2740" s="26">
        <v>50.048000000000002</v>
      </c>
      <c r="G2740" s="26">
        <f t="shared" si="42"/>
        <v>21657.19</v>
      </c>
    </row>
    <row r="2741" spans="1:7" x14ac:dyDescent="0.2">
      <c r="A2741" s="26">
        <v>136</v>
      </c>
      <c r="B2741" s="26">
        <v>88</v>
      </c>
      <c r="C2741" s="26">
        <v>224</v>
      </c>
      <c r="D2741" s="26" t="s">
        <v>1707</v>
      </c>
      <c r="E2741" s="26">
        <v>18827.189999999999</v>
      </c>
      <c r="F2741" s="26">
        <v>2.2029999999999998</v>
      </c>
      <c r="G2741" s="26">
        <f t="shared" si="42"/>
        <v>18827.189999999999</v>
      </c>
    </row>
    <row r="2742" spans="1:7" x14ac:dyDescent="0.2">
      <c r="A2742" s="26">
        <v>135</v>
      </c>
      <c r="B2742" s="26">
        <v>89</v>
      </c>
      <c r="C2742" s="26">
        <v>224</v>
      </c>
      <c r="D2742" s="26" t="s">
        <v>1708</v>
      </c>
      <c r="E2742" s="26">
        <v>20234.72</v>
      </c>
      <c r="F2742" s="26">
        <v>4.1520000000000001</v>
      </c>
      <c r="G2742" s="26">
        <f t="shared" si="42"/>
        <v>20234.72</v>
      </c>
    </row>
    <row r="2743" spans="1:7" x14ac:dyDescent="0.2">
      <c r="A2743" s="26">
        <v>134</v>
      </c>
      <c r="B2743" s="26">
        <v>90</v>
      </c>
      <c r="C2743" s="26">
        <v>224</v>
      </c>
      <c r="D2743" s="26" t="s">
        <v>1709</v>
      </c>
      <c r="E2743" s="26">
        <v>19996.285</v>
      </c>
      <c r="F2743" s="26">
        <v>10.952</v>
      </c>
      <c r="G2743" s="26">
        <f t="shared" si="42"/>
        <v>19996.285</v>
      </c>
    </row>
    <row r="2744" spans="1:7" x14ac:dyDescent="0.2">
      <c r="A2744" s="26">
        <v>133</v>
      </c>
      <c r="B2744" s="26">
        <v>91</v>
      </c>
      <c r="C2744" s="26">
        <v>224</v>
      </c>
      <c r="D2744" s="26" t="s">
        <v>1710</v>
      </c>
      <c r="E2744" s="26">
        <v>23870.222000000002</v>
      </c>
      <c r="F2744" s="26">
        <v>15.545999999999999</v>
      </c>
      <c r="G2744" s="26">
        <f t="shared" si="42"/>
        <v>23870.222000000002</v>
      </c>
    </row>
    <row r="2745" spans="1:7" x14ac:dyDescent="0.2">
      <c r="A2745" s="26">
        <v>132</v>
      </c>
      <c r="B2745" s="26">
        <v>92</v>
      </c>
      <c r="C2745" s="26">
        <v>224</v>
      </c>
      <c r="D2745" s="26" t="s">
        <v>1711</v>
      </c>
      <c r="E2745" s="26">
        <v>25713.685000000001</v>
      </c>
      <c r="F2745" s="26">
        <v>25.315000000000001</v>
      </c>
      <c r="G2745" s="26">
        <f t="shared" si="42"/>
        <v>25713.685000000001</v>
      </c>
    </row>
    <row r="2746" spans="1:7" x14ac:dyDescent="0.2">
      <c r="A2746" s="26">
        <v>139</v>
      </c>
      <c r="B2746" s="26">
        <v>86</v>
      </c>
      <c r="C2746" s="26">
        <v>225</v>
      </c>
      <c r="D2746" s="26" t="s">
        <v>1705</v>
      </c>
      <c r="E2746" s="26" t="s">
        <v>1448</v>
      </c>
      <c r="F2746" s="26" t="s">
        <v>1730</v>
      </c>
      <c r="G2746" s="26">
        <f t="shared" si="42"/>
        <v>26492.01</v>
      </c>
    </row>
    <row r="2747" spans="1:7" x14ac:dyDescent="0.2">
      <c r="A2747" s="26">
        <v>138</v>
      </c>
      <c r="B2747" s="26">
        <v>87</v>
      </c>
      <c r="C2747" s="26">
        <v>225</v>
      </c>
      <c r="D2747" s="26" t="s">
        <v>1706</v>
      </c>
      <c r="E2747" s="26">
        <v>23814.030999999999</v>
      </c>
      <c r="F2747" s="26">
        <v>30.148</v>
      </c>
      <c r="G2747" s="26">
        <f t="shared" si="42"/>
        <v>23814.030999999999</v>
      </c>
    </row>
    <row r="2748" spans="1:7" x14ac:dyDescent="0.2">
      <c r="A2748" s="26">
        <v>137</v>
      </c>
      <c r="B2748" s="26">
        <v>88</v>
      </c>
      <c r="C2748" s="26">
        <v>225</v>
      </c>
      <c r="D2748" s="26" t="s">
        <v>1707</v>
      </c>
      <c r="E2748" s="26">
        <v>21994.030999999999</v>
      </c>
      <c r="F2748" s="26">
        <v>2.9860000000000002</v>
      </c>
      <c r="G2748" s="26">
        <f t="shared" si="42"/>
        <v>21994.030999999999</v>
      </c>
    </row>
    <row r="2749" spans="1:7" x14ac:dyDescent="0.2">
      <c r="A2749" s="26">
        <v>136</v>
      </c>
      <c r="B2749" s="26">
        <v>89</v>
      </c>
      <c r="C2749" s="26">
        <v>225</v>
      </c>
      <c r="D2749" s="26" t="s">
        <v>1708</v>
      </c>
      <c r="E2749" s="26">
        <v>21638.22</v>
      </c>
      <c r="F2749" s="26">
        <v>4.66</v>
      </c>
      <c r="G2749" s="26">
        <f t="shared" si="42"/>
        <v>21638.22</v>
      </c>
    </row>
    <row r="2750" spans="1:7" x14ac:dyDescent="0.2">
      <c r="A2750" s="26">
        <v>135</v>
      </c>
      <c r="B2750" s="26">
        <v>90</v>
      </c>
      <c r="C2750" s="26">
        <v>225</v>
      </c>
      <c r="D2750" s="26" t="s">
        <v>1709</v>
      </c>
      <c r="E2750" s="26">
        <v>22310.233</v>
      </c>
      <c r="F2750" s="26">
        <v>5.1159999999999997</v>
      </c>
      <c r="G2750" s="26">
        <f t="shared" si="42"/>
        <v>22310.233</v>
      </c>
    </row>
    <row r="2751" spans="1:7" x14ac:dyDescent="0.2">
      <c r="A2751" s="26">
        <v>134</v>
      </c>
      <c r="B2751" s="26">
        <v>91</v>
      </c>
      <c r="C2751" s="26">
        <v>225</v>
      </c>
      <c r="D2751" s="26" t="s">
        <v>1710</v>
      </c>
      <c r="E2751" s="26">
        <v>24340.57</v>
      </c>
      <c r="F2751" s="26">
        <v>71.013000000000005</v>
      </c>
      <c r="G2751" s="26">
        <f t="shared" si="42"/>
        <v>24340.57</v>
      </c>
    </row>
    <row r="2752" spans="1:7" x14ac:dyDescent="0.2">
      <c r="A2752" s="26">
        <v>133</v>
      </c>
      <c r="B2752" s="26">
        <v>92</v>
      </c>
      <c r="C2752" s="26">
        <v>225</v>
      </c>
      <c r="D2752" s="26" t="s">
        <v>1711</v>
      </c>
      <c r="E2752" s="26">
        <v>27377.276999999998</v>
      </c>
      <c r="F2752" s="26">
        <v>11.577</v>
      </c>
      <c r="G2752" s="26">
        <f t="shared" si="42"/>
        <v>27377.276999999998</v>
      </c>
    </row>
    <row r="2753" spans="1:7" x14ac:dyDescent="0.2">
      <c r="A2753" s="26">
        <v>132</v>
      </c>
      <c r="B2753" s="26">
        <v>93</v>
      </c>
      <c r="C2753" s="26">
        <v>225</v>
      </c>
      <c r="D2753" s="26" t="s">
        <v>1449</v>
      </c>
      <c r="E2753" s="26">
        <v>31590.626</v>
      </c>
      <c r="F2753" s="26">
        <v>71.850999999999999</v>
      </c>
      <c r="G2753" s="26">
        <f t="shared" si="42"/>
        <v>31590.626</v>
      </c>
    </row>
    <row r="2754" spans="1:7" x14ac:dyDescent="0.2">
      <c r="A2754" s="26">
        <v>140</v>
      </c>
      <c r="B2754" s="26">
        <v>86</v>
      </c>
      <c r="C2754" s="26">
        <v>226</v>
      </c>
      <c r="D2754" s="26" t="s">
        <v>1705</v>
      </c>
      <c r="E2754" s="26" t="s">
        <v>1450</v>
      </c>
      <c r="F2754" s="26" t="s">
        <v>1723</v>
      </c>
      <c r="G2754" s="26">
        <f t="shared" si="42"/>
        <v>28774.01</v>
      </c>
    </row>
    <row r="2755" spans="1:7" x14ac:dyDescent="0.2">
      <c r="A2755" s="26">
        <v>139</v>
      </c>
      <c r="B2755" s="26">
        <v>87</v>
      </c>
      <c r="C2755" s="26">
        <v>226</v>
      </c>
      <c r="D2755" s="26" t="s">
        <v>1706</v>
      </c>
      <c r="E2755" s="26">
        <v>27373.098999999998</v>
      </c>
      <c r="F2755" s="26">
        <v>100.02800000000001</v>
      </c>
      <c r="G2755" s="26">
        <f t="shared" si="42"/>
        <v>27373.098999999998</v>
      </c>
    </row>
    <row r="2756" spans="1:7" x14ac:dyDescent="0.2">
      <c r="A2756" s="26">
        <v>138</v>
      </c>
      <c r="B2756" s="26">
        <v>88</v>
      </c>
      <c r="C2756" s="26">
        <v>226</v>
      </c>
      <c r="D2756" s="26" t="s">
        <v>1707</v>
      </c>
      <c r="E2756" s="26">
        <v>23669.098999999998</v>
      </c>
      <c r="F2756" s="26">
        <v>2.3460000000000001</v>
      </c>
      <c r="G2756" s="26">
        <f t="shared" si="42"/>
        <v>23669.098999999998</v>
      </c>
    </row>
    <row r="2757" spans="1:7" x14ac:dyDescent="0.2">
      <c r="A2757" s="26">
        <v>137</v>
      </c>
      <c r="B2757" s="26">
        <v>89</v>
      </c>
      <c r="C2757" s="26">
        <v>226</v>
      </c>
      <c r="D2757" s="26" t="s">
        <v>1708</v>
      </c>
      <c r="E2757" s="26">
        <v>24310.214</v>
      </c>
      <c r="F2757" s="26">
        <v>3.3330000000000002</v>
      </c>
      <c r="G2757" s="26">
        <f t="shared" si="42"/>
        <v>24310.214</v>
      </c>
    </row>
    <row r="2758" spans="1:7" x14ac:dyDescent="0.2">
      <c r="A2758" s="26">
        <v>136</v>
      </c>
      <c r="B2758" s="26">
        <v>90</v>
      </c>
      <c r="C2758" s="26">
        <v>226</v>
      </c>
      <c r="D2758" s="26" t="s">
        <v>1709</v>
      </c>
      <c r="E2758" s="26">
        <v>23197.06</v>
      </c>
      <c r="F2758" s="26">
        <v>4.7069999999999999</v>
      </c>
      <c r="G2758" s="26">
        <f t="shared" si="42"/>
        <v>23197.06</v>
      </c>
    </row>
    <row r="2759" spans="1:7" x14ac:dyDescent="0.2">
      <c r="A2759" s="26">
        <v>135</v>
      </c>
      <c r="B2759" s="26">
        <v>91</v>
      </c>
      <c r="C2759" s="26">
        <v>226</v>
      </c>
      <c r="D2759" s="26" t="s">
        <v>1710</v>
      </c>
      <c r="E2759" s="26">
        <v>26033.165000000001</v>
      </c>
      <c r="F2759" s="26">
        <v>11.43</v>
      </c>
      <c r="G2759" s="26">
        <f t="shared" si="42"/>
        <v>26033.165000000001</v>
      </c>
    </row>
    <row r="2760" spans="1:7" x14ac:dyDescent="0.2">
      <c r="A2760" s="26">
        <v>134</v>
      </c>
      <c r="B2760" s="26">
        <v>92</v>
      </c>
      <c r="C2760" s="26">
        <v>226</v>
      </c>
      <c r="D2760" s="26" t="s">
        <v>1711</v>
      </c>
      <c r="E2760" s="26">
        <v>27328.826000000001</v>
      </c>
      <c r="F2760" s="26">
        <v>13.04</v>
      </c>
      <c r="G2760" s="26">
        <f t="shared" si="42"/>
        <v>27328.826000000001</v>
      </c>
    </row>
    <row r="2761" spans="1:7" x14ac:dyDescent="0.2">
      <c r="A2761" s="26">
        <v>133</v>
      </c>
      <c r="B2761" s="26">
        <v>93</v>
      </c>
      <c r="C2761" s="26">
        <v>226</v>
      </c>
      <c r="D2761" s="26" t="s">
        <v>1449</v>
      </c>
      <c r="E2761" s="26" t="s">
        <v>709</v>
      </c>
      <c r="F2761" s="26" t="s">
        <v>638</v>
      </c>
      <c r="G2761" s="26">
        <f t="shared" si="42"/>
        <v>32738.01</v>
      </c>
    </row>
    <row r="2762" spans="1:7" x14ac:dyDescent="0.2">
      <c r="A2762" s="26">
        <v>141</v>
      </c>
      <c r="B2762" s="26">
        <v>86</v>
      </c>
      <c r="C2762" s="26">
        <v>227</v>
      </c>
      <c r="D2762" s="26" t="s">
        <v>1705</v>
      </c>
      <c r="E2762" s="26" t="s">
        <v>1451</v>
      </c>
      <c r="F2762" s="26" t="s">
        <v>710</v>
      </c>
      <c r="G2762" s="26">
        <f t="shared" ref="G2762:G2825" si="43">IF(ISNUMBER(E2762),E2762,VALUE(SUBSTITUTE(E2762,"#",".01")))</f>
        <v>32981.01</v>
      </c>
    </row>
    <row r="2763" spans="1:7" x14ac:dyDescent="0.2">
      <c r="A2763" s="26">
        <v>140</v>
      </c>
      <c r="B2763" s="26">
        <v>87</v>
      </c>
      <c r="C2763" s="26">
        <v>227</v>
      </c>
      <c r="D2763" s="26" t="s">
        <v>1706</v>
      </c>
      <c r="E2763" s="26">
        <v>29654.986000000001</v>
      </c>
      <c r="F2763" s="26">
        <v>100.02800000000001</v>
      </c>
      <c r="G2763" s="26">
        <f t="shared" si="43"/>
        <v>29654.986000000001</v>
      </c>
    </row>
    <row r="2764" spans="1:7" x14ac:dyDescent="0.2">
      <c r="A2764" s="26">
        <v>139</v>
      </c>
      <c r="B2764" s="26">
        <v>88</v>
      </c>
      <c r="C2764" s="26">
        <v>227</v>
      </c>
      <c r="D2764" s="26" t="s">
        <v>1707</v>
      </c>
      <c r="E2764" s="26">
        <v>27178.986000000001</v>
      </c>
      <c r="F2764" s="26">
        <v>2.3620000000000001</v>
      </c>
      <c r="G2764" s="26">
        <f t="shared" si="43"/>
        <v>27178.986000000001</v>
      </c>
    </row>
    <row r="2765" spans="1:7" x14ac:dyDescent="0.2">
      <c r="A2765" s="26">
        <v>138</v>
      </c>
      <c r="B2765" s="26">
        <v>89</v>
      </c>
      <c r="C2765" s="26">
        <v>227</v>
      </c>
      <c r="D2765" s="26" t="s">
        <v>1708</v>
      </c>
      <c r="E2765" s="26">
        <v>25850.940999999999</v>
      </c>
      <c r="F2765" s="26">
        <v>2.3929999999999998</v>
      </c>
      <c r="G2765" s="26">
        <f t="shared" si="43"/>
        <v>25850.940999999999</v>
      </c>
    </row>
    <row r="2766" spans="1:7" x14ac:dyDescent="0.2">
      <c r="A2766" s="26">
        <v>137</v>
      </c>
      <c r="B2766" s="26">
        <v>90</v>
      </c>
      <c r="C2766" s="26">
        <v>227</v>
      </c>
      <c r="D2766" s="26" t="s">
        <v>1709</v>
      </c>
      <c r="E2766" s="26">
        <v>25806.175999999999</v>
      </c>
      <c r="F2766" s="26">
        <v>2.5209999999999999</v>
      </c>
      <c r="G2766" s="26">
        <f t="shared" si="43"/>
        <v>25806.175999999999</v>
      </c>
    </row>
    <row r="2767" spans="1:7" x14ac:dyDescent="0.2">
      <c r="A2767" s="26">
        <v>136</v>
      </c>
      <c r="B2767" s="26">
        <v>91</v>
      </c>
      <c r="C2767" s="26">
        <v>227</v>
      </c>
      <c r="D2767" s="26" t="s">
        <v>1710</v>
      </c>
      <c r="E2767" s="26">
        <v>26831.753000000001</v>
      </c>
      <c r="F2767" s="26">
        <v>7.4619999999999997</v>
      </c>
      <c r="G2767" s="26">
        <f t="shared" si="43"/>
        <v>26831.753000000001</v>
      </c>
    </row>
    <row r="2768" spans="1:7" x14ac:dyDescent="0.2">
      <c r="A2768" s="26">
        <v>135</v>
      </c>
      <c r="B2768" s="26">
        <v>92</v>
      </c>
      <c r="C2768" s="26">
        <v>227</v>
      </c>
      <c r="D2768" s="26" t="s">
        <v>1711</v>
      </c>
      <c r="E2768" s="26">
        <v>29021.97</v>
      </c>
      <c r="F2768" s="26">
        <v>16.864000000000001</v>
      </c>
      <c r="G2768" s="26">
        <f t="shared" si="43"/>
        <v>29021.97</v>
      </c>
    </row>
    <row r="2769" spans="1:7" x14ac:dyDescent="0.2">
      <c r="A2769" s="26">
        <v>134</v>
      </c>
      <c r="B2769" s="26">
        <v>93</v>
      </c>
      <c r="C2769" s="26">
        <v>227</v>
      </c>
      <c r="D2769" s="26" t="s">
        <v>1449</v>
      </c>
      <c r="E2769" s="26">
        <v>32562.04</v>
      </c>
      <c r="F2769" s="26">
        <v>72.507999999999996</v>
      </c>
      <c r="G2769" s="26">
        <f t="shared" si="43"/>
        <v>32562.04</v>
      </c>
    </row>
    <row r="2770" spans="1:7" x14ac:dyDescent="0.2">
      <c r="A2770" s="26">
        <v>142</v>
      </c>
      <c r="B2770" s="26">
        <v>86</v>
      </c>
      <c r="C2770" s="26">
        <v>228</v>
      </c>
      <c r="D2770" s="26" t="s">
        <v>1705</v>
      </c>
      <c r="E2770" s="26" t="s">
        <v>711</v>
      </c>
      <c r="F2770" s="26" t="s">
        <v>712</v>
      </c>
      <c r="G2770" s="26">
        <f t="shared" si="43"/>
        <v>35384.01</v>
      </c>
    </row>
    <row r="2771" spans="1:7" x14ac:dyDescent="0.2">
      <c r="A2771" s="26">
        <v>141</v>
      </c>
      <c r="B2771" s="26">
        <v>87</v>
      </c>
      <c r="C2771" s="26">
        <v>228</v>
      </c>
      <c r="D2771" s="26" t="s">
        <v>1706</v>
      </c>
      <c r="E2771" s="26" t="s">
        <v>713</v>
      </c>
      <c r="F2771" s="26" t="s">
        <v>1478</v>
      </c>
      <c r="G2771" s="26">
        <f t="shared" si="43"/>
        <v>33282.01</v>
      </c>
    </row>
    <row r="2772" spans="1:7" x14ac:dyDescent="0.2">
      <c r="A2772" s="26">
        <v>140</v>
      </c>
      <c r="B2772" s="26">
        <v>88</v>
      </c>
      <c r="C2772" s="26">
        <v>228</v>
      </c>
      <c r="D2772" s="26" t="s">
        <v>1707</v>
      </c>
      <c r="E2772" s="26">
        <v>28941.792000000001</v>
      </c>
      <c r="F2772" s="26">
        <v>2.4340000000000002</v>
      </c>
      <c r="G2772" s="26">
        <f t="shared" si="43"/>
        <v>28941.792000000001</v>
      </c>
    </row>
    <row r="2773" spans="1:7" x14ac:dyDescent="0.2">
      <c r="A2773" s="26">
        <v>139</v>
      </c>
      <c r="B2773" s="26">
        <v>89</v>
      </c>
      <c r="C2773" s="26">
        <v>228</v>
      </c>
      <c r="D2773" s="26" t="s">
        <v>1708</v>
      </c>
      <c r="E2773" s="26">
        <v>28895.981</v>
      </c>
      <c r="F2773" s="26">
        <v>2.5230000000000001</v>
      </c>
      <c r="G2773" s="26">
        <f t="shared" si="43"/>
        <v>28895.981</v>
      </c>
    </row>
    <row r="2774" spans="1:7" x14ac:dyDescent="0.2">
      <c r="A2774" s="26">
        <v>138</v>
      </c>
      <c r="B2774" s="26">
        <v>90</v>
      </c>
      <c r="C2774" s="26">
        <v>228</v>
      </c>
      <c r="D2774" s="26" t="s">
        <v>1709</v>
      </c>
      <c r="E2774" s="26">
        <v>26772.187999999998</v>
      </c>
      <c r="F2774" s="26">
        <v>2.2010000000000001</v>
      </c>
      <c r="G2774" s="26">
        <f t="shared" si="43"/>
        <v>26772.187999999998</v>
      </c>
    </row>
    <row r="2775" spans="1:7" x14ac:dyDescent="0.2">
      <c r="A2775" s="26">
        <v>137</v>
      </c>
      <c r="B2775" s="26">
        <v>91</v>
      </c>
      <c r="C2775" s="26">
        <v>228</v>
      </c>
      <c r="D2775" s="26" t="s">
        <v>1710</v>
      </c>
      <c r="E2775" s="26">
        <v>28924.170999999998</v>
      </c>
      <c r="F2775" s="26">
        <v>4.4000000000000004</v>
      </c>
      <c r="G2775" s="26">
        <f t="shared" si="43"/>
        <v>28924.170999999998</v>
      </c>
    </row>
    <row r="2776" spans="1:7" x14ac:dyDescent="0.2">
      <c r="A2776" s="26">
        <v>136</v>
      </c>
      <c r="B2776" s="26">
        <v>92</v>
      </c>
      <c r="C2776" s="26">
        <v>228</v>
      </c>
      <c r="D2776" s="26" t="s">
        <v>1711</v>
      </c>
      <c r="E2776" s="26">
        <v>29224.699000000001</v>
      </c>
      <c r="F2776" s="26">
        <v>14.952</v>
      </c>
      <c r="G2776" s="26">
        <f t="shared" si="43"/>
        <v>29224.699000000001</v>
      </c>
    </row>
    <row r="2777" spans="1:7" x14ac:dyDescent="0.2">
      <c r="A2777" s="26">
        <v>135</v>
      </c>
      <c r="B2777" s="26">
        <v>93</v>
      </c>
      <c r="C2777" s="26">
        <v>228</v>
      </c>
      <c r="D2777" s="26" t="s">
        <v>1449</v>
      </c>
      <c r="E2777" s="26" t="s">
        <v>1452</v>
      </c>
      <c r="F2777" s="26" t="s">
        <v>1480</v>
      </c>
      <c r="G2777" s="26">
        <f t="shared" si="43"/>
        <v>33701.01</v>
      </c>
    </row>
    <row r="2778" spans="1:7" x14ac:dyDescent="0.2">
      <c r="A2778" s="26">
        <v>134</v>
      </c>
      <c r="B2778" s="26">
        <v>94</v>
      </c>
      <c r="C2778" s="26">
        <v>228</v>
      </c>
      <c r="D2778" s="26" t="s">
        <v>1453</v>
      </c>
      <c r="E2778" s="26">
        <v>36088.247000000003</v>
      </c>
      <c r="F2778" s="26">
        <v>32.484999999999999</v>
      </c>
      <c r="G2778" s="26">
        <f t="shared" si="43"/>
        <v>36088.247000000003</v>
      </c>
    </row>
    <row r="2779" spans="1:7" x14ac:dyDescent="0.2">
      <c r="A2779" s="26">
        <v>142</v>
      </c>
      <c r="B2779" s="26">
        <v>87</v>
      </c>
      <c r="C2779" s="26">
        <v>229</v>
      </c>
      <c r="D2779" s="26" t="s">
        <v>1706</v>
      </c>
      <c r="E2779" s="26">
        <v>35816.156999999999</v>
      </c>
      <c r="F2779" s="26">
        <v>37.26</v>
      </c>
      <c r="G2779" s="26">
        <f t="shared" si="43"/>
        <v>35816.156999999999</v>
      </c>
    </row>
    <row r="2780" spans="1:7" x14ac:dyDescent="0.2">
      <c r="A2780" s="26">
        <v>141</v>
      </c>
      <c r="B2780" s="26">
        <v>88</v>
      </c>
      <c r="C2780" s="26">
        <v>229</v>
      </c>
      <c r="D2780" s="26" t="s">
        <v>1707</v>
      </c>
      <c r="E2780" s="26">
        <v>32562.774000000001</v>
      </c>
      <c r="F2780" s="26">
        <v>18.709</v>
      </c>
      <c r="G2780" s="26">
        <f t="shared" si="43"/>
        <v>32562.774000000001</v>
      </c>
    </row>
    <row r="2781" spans="1:7" x14ac:dyDescent="0.2">
      <c r="A2781" s="26">
        <v>140</v>
      </c>
      <c r="B2781" s="26">
        <v>89</v>
      </c>
      <c r="C2781" s="26">
        <v>229</v>
      </c>
      <c r="D2781" s="26" t="s">
        <v>1708</v>
      </c>
      <c r="E2781" s="26">
        <v>30753.502</v>
      </c>
      <c r="F2781" s="26">
        <v>33.276000000000003</v>
      </c>
      <c r="G2781" s="26">
        <f t="shared" si="43"/>
        <v>30753.502</v>
      </c>
    </row>
    <row r="2782" spans="1:7" x14ac:dyDescent="0.2">
      <c r="A2782" s="26">
        <v>139</v>
      </c>
      <c r="B2782" s="26">
        <v>90</v>
      </c>
      <c r="C2782" s="26">
        <v>229</v>
      </c>
      <c r="D2782" s="26" t="s">
        <v>1709</v>
      </c>
      <c r="E2782" s="26">
        <v>29586.513999999999</v>
      </c>
      <c r="F2782" s="26">
        <v>2.8210000000000002</v>
      </c>
      <c r="G2782" s="26">
        <f t="shared" si="43"/>
        <v>29586.513999999999</v>
      </c>
    </row>
    <row r="2783" spans="1:7" x14ac:dyDescent="0.2">
      <c r="A2783" s="26">
        <v>138</v>
      </c>
      <c r="B2783" s="26">
        <v>91</v>
      </c>
      <c r="C2783" s="26">
        <v>229</v>
      </c>
      <c r="D2783" s="26" t="s">
        <v>1710</v>
      </c>
      <c r="E2783" s="26">
        <v>29897.971000000001</v>
      </c>
      <c r="F2783" s="26">
        <v>2.7490000000000001</v>
      </c>
      <c r="G2783" s="26">
        <f t="shared" si="43"/>
        <v>29897.971000000001</v>
      </c>
    </row>
    <row r="2784" spans="1:7" x14ac:dyDescent="0.2">
      <c r="A2784" s="26">
        <v>137</v>
      </c>
      <c r="B2784" s="26">
        <v>92</v>
      </c>
      <c r="C2784" s="26">
        <v>229</v>
      </c>
      <c r="D2784" s="26" t="s">
        <v>1711</v>
      </c>
      <c r="E2784" s="26">
        <v>31210.581999999999</v>
      </c>
      <c r="F2784" s="26">
        <v>5.9580000000000002</v>
      </c>
      <c r="G2784" s="26">
        <f t="shared" si="43"/>
        <v>31210.581999999999</v>
      </c>
    </row>
    <row r="2785" spans="1:7" x14ac:dyDescent="0.2">
      <c r="A2785" s="26">
        <v>136</v>
      </c>
      <c r="B2785" s="26">
        <v>93</v>
      </c>
      <c r="C2785" s="26">
        <v>229</v>
      </c>
      <c r="D2785" s="26" t="s">
        <v>1449</v>
      </c>
      <c r="E2785" s="26">
        <v>33779.521000000001</v>
      </c>
      <c r="F2785" s="26">
        <v>86.85</v>
      </c>
      <c r="G2785" s="26">
        <f t="shared" si="43"/>
        <v>33779.521000000001</v>
      </c>
    </row>
    <row r="2786" spans="1:7" x14ac:dyDescent="0.2">
      <c r="A2786" s="26">
        <v>135</v>
      </c>
      <c r="B2786" s="26">
        <v>94</v>
      </c>
      <c r="C2786" s="26">
        <v>229</v>
      </c>
      <c r="D2786" s="26" t="s">
        <v>1453</v>
      </c>
      <c r="E2786" s="26">
        <v>37399.682999999997</v>
      </c>
      <c r="F2786" s="26">
        <v>51.323</v>
      </c>
      <c r="G2786" s="26">
        <f t="shared" si="43"/>
        <v>37399.682999999997</v>
      </c>
    </row>
    <row r="2787" spans="1:7" x14ac:dyDescent="0.2">
      <c r="A2787" s="26">
        <v>143</v>
      </c>
      <c r="B2787" s="26">
        <v>87</v>
      </c>
      <c r="C2787" s="26">
        <v>230</v>
      </c>
      <c r="D2787" s="26" t="s">
        <v>1706</v>
      </c>
      <c r="E2787" s="26" t="s">
        <v>1454</v>
      </c>
      <c r="F2787" s="26" t="s">
        <v>1338</v>
      </c>
      <c r="G2787" s="26">
        <f t="shared" si="43"/>
        <v>39598.01</v>
      </c>
    </row>
    <row r="2788" spans="1:7" x14ac:dyDescent="0.2">
      <c r="A2788" s="26">
        <v>142</v>
      </c>
      <c r="B2788" s="26">
        <v>88</v>
      </c>
      <c r="C2788" s="26">
        <v>230</v>
      </c>
      <c r="D2788" s="26" t="s">
        <v>1707</v>
      </c>
      <c r="E2788" s="26">
        <v>34517.809000000001</v>
      </c>
      <c r="F2788" s="26">
        <v>12.109</v>
      </c>
      <c r="G2788" s="26">
        <f t="shared" si="43"/>
        <v>34517.809000000001</v>
      </c>
    </row>
    <row r="2789" spans="1:7" x14ac:dyDescent="0.2">
      <c r="A2789" s="26">
        <v>141</v>
      </c>
      <c r="B2789" s="26">
        <v>89</v>
      </c>
      <c r="C2789" s="26">
        <v>230</v>
      </c>
      <c r="D2789" s="26" t="s">
        <v>1708</v>
      </c>
      <c r="E2789" s="26">
        <v>33807.809000000001</v>
      </c>
      <c r="F2789" s="26">
        <v>300.24400000000003</v>
      </c>
      <c r="G2789" s="26">
        <f t="shared" si="43"/>
        <v>33807.809000000001</v>
      </c>
    </row>
    <row r="2790" spans="1:7" x14ac:dyDescent="0.2">
      <c r="A2790" s="26">
        <v>140</v>
      </c>
      <c r="B2790" s="26">
        <v>90</v>
      </c>
      <c r="C2790" s="26">
        <v>230</v>
      </c>
      <c r="D2790" s="26" t="s">
        <v>1709</v>
      </c>
      <c r="E2790" s="26">
        <v>30863.975999999999</v>
      </c>
      <c r="F2790" s="26">
        <v>1.792</v>
      </c>
      <c r="G2790" s="26">
        <f t="shared" si="43"/>
        <v>30863.975999999999</v>
      </c>
    </row>
    <row r="2791" spans="1:7" x14ac:dyDescent="0.2">
      <c r="A2791" s="26">
        <v>139</v>
      </c>
      <c r="B2791" s="26">
        <v>91</v>
      </c>
      <c r="C2791" s="26">
        <v>230</v>
      </c>
      <c r="D2791" s="26" t="s">
        <v>1710</v>
      </c>
      <c r="E2791" s="26">
        <v>32174.506000000001</v>
      </c>
      <c r="F2791" s="26">
        <v>3.2770000000000001</v>
      </c>
      <c r="G2791" s="26">
        <f t="shared" si="43"/>
        <v>32174.506000000001</v>
      </c>
    </row>
    <row r="2792" spans="1:7" x14ac:dyDescent="0.2">
      <c r="A2792" s="26">
        <v>138</v>
      </c>
      <c r="B2792" s="26">
        <v>92</v>
      </c>
      <c r="C2792" s="26">
        <v>230</v>
      </c>
      <c r="D2792" s="26" t="s">
        <v>1711</v>
      </c>
      <c r="E2792" s="26">
        <v>31614.705999999998</v>
      </c>
      <c r="F2792" s="26">
        <v>4.7610000000000001</v>
      </c>
      <c r="G2792" s="26">
        <f t="shared" si="43"/>
        <v>31614.705999999998</v>
      </c>
    </row>
    <row r="2793" spans="1:7" x14ac:dyDescent="0.2">
      <c r="A2793" s="26">
        <v>137</v>
      </c>
      <c r="B2793" s="26">
        <v>93</v>
      </c>
      <c r="C2793" s="26">
        <v>230</v>
      </c>
      <c r="D2793" s="26" t="s">
        <v>1449</v>
      </c>
      <c r="E2793" s="26">
        <v>35236.180999999997</v>
      </c>
      <c r="F2793" s="26">
        <v>51.29</v>
      </c>
      <c r="G2793" s="26">
        <f t="shared" si="43"/>
        <v>35236.180999999997</v>
      </c>
    </row>
    <row r="2794" spans="1:7" x14ac:dyDescent="0.2">
      <c r="A2794" s="26">
        <v>136</v>
      </c>
      <c r="B2794" s="26">
        <v>94</v>
      </c>
      <c r="C2794" s="26">
        <v>230</v>
      </c>
      <c r="D2794" s="26" t="s">
        <v>1453</v>
      </c>
      <c r="E2794" s="26">
        <v>36933.631999999998</v>
      </c>
      <c r="F2794" s="26">
        <v>15.096</v>
      </c>
      <c r="G2794" s="26">
        <f t="shared" si="43"/>
        <v>36933.631999999998</v>
      </c>
    </row>
    <row r="2795" spans="1:7" x14ac:dyDescent="0.2">
      <c r="A2795" s="26">
        <v>144</v>
      </c>
      <c r="B2795" s="26">
        <v>87</v>
      </c>
      <c r="C2795" s="26">
        <v>231</v>
      </c>
      <c r="D2795" s="26" t="s">
        <v>1706</v>
      </c>
      <c r="E2795" s="26" t="s">
        <v>714</v>
      </c>
      <c r="F2795" s="26" t="s">
        <v>715</v>
      </c>
      <c r="G2795" s="26">
        <f t="shared" si="43"/>
        <v>42328.01</v>
      </c>
    </row>
    <row r="2796" spans="1:7" x14ac:dyDescent="0.2">
      <c r="A2796" s="26">
        <v>143</v>
      </c>
      <c r="B2796" s="26">
        <v>88</v>
      </c>
      <c r="C2796" s="26">
        <v>231</v>
      </c>
      <c r="D2796" s="26" t="s">
        <v>1707</v>
      </c>
      <c r="E2796" s="26" t="s">
        <v>1455</v>
      </c>
      <c r="F2796" s="26" t="s">
        <v>1730</v>
      </c>
      <c r="G2796" s="26">
        <f t="shared" si="43"/>
        <v>38396.01</v>
      </c>
    </row>
    <row r="2797" spans="1:7" x14ac:dyDescent="0.2">
      <c r="A2797" s="26">
        <v>142</v>
      </c>
      <c r="B2797" s="26">
        <v>89</v>
      </c>
      <c r="C2797" s="26">
        <v>231</v>
      </c>
      <c r="D2797" s="26" t="s">
        <v>1708</v>
      </c>
      <c r="E2797" s="26">
        <v>35917.277999999998</v>
      </c>
      <c r="F2797" s="26">
        <v>100.01600000000001</v>
      </c>
      <c r="G2797" s="26">
        <f t="shared" si="43"/>
        <v>35917.277999999998</v>
      </c>
    </row>
    <row r="2798" spans="1:7" x14ac:dyDescent="0.2">
      <c r="A2798" s="26">
        <v>141</v>
      </c>
      <c r="B2798" s="26">
        <v>90</v>
      </c>
      <c r="C2798" s="26">
        <v>231</v>
      </c>
      <c r="D2798" s="26" t="s">
        <v>1709</v>
      </c>
      <c r="E2798" s="26">
        <v>33817.277999999998</v>
      </c>
      <c r="F2798" s="26">
        <v>1.8</v>
      </c>
      <c r="G2798" s="26">
        <f t="shared" si="43"/>
        <v>33817.277999999998</v>
      </c>
    </row>
    <row r="2799" spans="1:7" x14ac:dyDescent="0.2">
      <c r="A2799" s="26">
        <v>140</v>
      </c>
      <c r="B2799" s="26">
        <v>91</v>
      </c>
      <c r="C2799" s="26">
        <v>231</v>
      </c>
      <c r="D2799" s="26" t="s">
        <v>1710</v>
      </c>
      <c r="E2799" s="26">
        <v>33425.722000000002</v>
      </c>
      <c r="F2799" s="26">
        <v>2.2570000000000001</v>
      </c>
      <c r="G2799" s="26">
        <f t="shared" si="43"/>
        <v>33425.722000000002</v>
      </c>
    </row>
    <row r="2800" spans="1:7" x14ac:dyDescent="0.2">
      <c r="A2800" s="26">
        <v>139</v>
      </c>
      <c r="B2800" s="26">
        <v>92</v>
      </c>
      <c r="C2800" s="26">
        <v>231</v>
      </c>
      <c r="D2800" s="26" t="s">
        <v>1711</v>
      </c>
      <c r="E2800" s="26">
        <v>33807.368000000002</v>
      </c>
      <c r="F2800" s="26">
        <v>3.0209999999999999</v>
      </c>
      <c r="G2800" s="26">
        <f t="shared" si="43"/>
        <v>33807.368000000002</v>
      </c>
    </row>
    <row r="2801" spans="1:7" x14ac:dyDescent="0.2">
      <c r="A2801" s="26">
        <v>138</v>
      </c>
      <c r="B2801" s="26">
        <v>93</v>
      </c>
      <c r="C2801" s="26">
        <v>231</v>
      </c>
      <c r="D2801" s="26" t="s">
        <v>1449</v>
      </c>
      <c r="E2801" s="26">
        <v>35625.067999999999</v>
      </c>
      <c r="F2801" s="26">
        <v>50.554000000000002</v>
      </c>
      <c r="G2801" s="26">
        <f t="shared" si="43"/>
        <v>35625.067999999999</v>
      </c>
    </row>
    <row r="2802" spans="1:7" x14ac:dyDescent="0.2">
      <c r="A2802" s="26">
        <v>137</v>
      </c>
      <c r="B2802" s="26">
        <v>94</v>
      </c>
      <c r="C2802" s="26">
        <v>231</v>
      </c>
      <c r="D2802" s="26" t="s">
        <v>1453</v>
      </c>
      <c r="E2802" s="26">
        <v>38285.434999999998</v>
      </c>
      <c r="F2802" s="26">
        <v>26.431999999999999</v>
      </c>
      <c r="G2802" s="26">
        <f t="shared" si="43"/>
        <v>38285.434999999998</v>
      </c>
    </row>
    <row r="2803" spans="1:7" x14ac:dyDescent="0.2">
      <c r="A2803" s="26">
        <v>136</v>
      </c>
      <c r="B2803" s="26">
        <v>95</v>
      </c>
      <c r="C2803" s="26">
        <v>231</v>
      </c>
      <c r="D2803" s="26" t="s">
        <v>1456</v>
      </c>
      <c r="E2803" s="26" t="s">
        <v>1457</v>
      </c>
      <c r="F2803" s="26" t="s">
        <v>1730</v>
      </c>
      <c r="G2803" s="26">
        <f t="shared" si="43"/>
        <v>42439.01</v>
      </c>
    </row>
    <row r="2804" spans="1:7" x14ac:dyDescent="0.2">
      <c r="A2804" s="26">
        <v>145</v>
      </c>
      <c r="B2804" s="26">
        <v>87</v>
      </c>
      <c r="C2804" s="26">
        <v>232</v>
      </c>
      <c r="D2804" s="26" t="s">
        <v>1706</v>
      </c>
      <c r="E2804" s="26" t="s">
        <v>716</v>
      </c>
      <c r="F2804" s="26" t="s">
        <v>717</v>
      </c>
      <c r="G2804" s="26">
        <f t="shared" si="43"/>
        <v>46363.01</v>
      </c>
    </row>
    <row r="2805" spans="1:7" x14ac:dyDescent="0.2">
      <c r="A2805" s="26">
        <v>144</v>
      </c>
      <c r="B2805" s="26">
        <v>88</v>
      </c>
      <c r="C2805" s="26">
        <v>232</v>
      </c>
      <c r="D2805" s="26" t="s">
        <v>1707</v>
      </c>
      <c r="E2805" s="26" t="s">
        <v>718</v>
      </c>
      <c r="F2805" s="26" t="s">
        <v>1008</v>
      </c>
      <c r="G2805" s="26">
        <f t="shared" si="43"/>
        <v>40649.01</v>
      </c>
    </row>
    <row r="2806" spans="1:7" x14ac:dyDescent="0.2">
      <c r="A2806" s="26">
        <v>143</v>
      </c>
      <c r="B2806" s="26">
        <v>89</v>
      </c>
      <c r="C2806" s="26">
        <v>232</v>
      </c>
      <c r="D2806" s="26" t="s">
        <v>1708</v>
      </c>
      <c r="E2806" s="26">
        <v>39148.307000000001</v>
      </c>
      <c r="F2806" s="26">
        <v>100.02</v>
      </c>
      <c r="G2806" s="26">
        <f t="shared" si="43"/>
        <v>39148.307000000001</v>
      </c>
    </row>
    <row r="2807" spans="1:7" x14ac:dyDescent="0.2">
      <c r="A2807" s="26">
        <v>142</v>
      </c>
      <c r="B2807" s="26">
        <v>90</v>
      </c>
      <c r="C2807" s="26">
        <v>232</v>
      </c>
      <c r="D2807" s="26" t="s">
        <v>1709</v>
      </c>
      <c r="E2807" s="26">
        <v>35448.307000000001</v>
      </c>
      <c r="F2807" s="26">
        <v>1.9910000000000001</v>
      </c>
      <c r="G2807" s="26">
        <f t="shared" si="43"/>
        <v>35448.307000000001</v>
      </c>
    </row>
    <row r="2808" spans="1:7" x14ac:dyDescent="0.2">
      <c r="A2808" s="26">
        <v>141</v>
      </c>
      <c r="B2808" s="26">
        <v>91</v>
      </c>
      <c r="C2808" s="26">
        <v>232</v>
      </c>
      <c r="D2808" s="26" t="s">
        <v>1710</v>
      </c>
      <c r="E2808" s="26">
        <v>35947.837</v>
      </c>
      <c r="F2808" s="26">
        <v>7.7480000000000002</v>
      </c>
      <c r="G2808" s="26">
        <f t="shared" si="43"/>
        <v>35947.837</v>
      </c>
    </row>
    <row r="2809" spans="1:7" x14ac:dyDescent="0.2">
      <c r="A2809" s="26">
        <v>140</v>
      </c>
      <c r="B2809" s="26">
        <v>92</v>
      </c>
      <c r="C2809" s="26">
        <v>232</v>
      </c>
      <c r="D2809" s="26" t="s">
        <v>1711</v>
      </c>
      <c r="E2809" s="26">
        <v>34610.733999999997</v>
      </c>
      <c r="F2809" s="26">
        <v>2.2029999999999998</v>
      </c>
      <c r="G2809" s="26">
        <f t="shared" si="43"/>
        <v>34610.733999999997</v>
      </c>
    </row>
    <row r="2810" spans="1:7" x14ac:dyDescent="0.2">
      <c r="A2810" s="26">
        <v>139</v>
      </c>
      <c r="B2810" s="26">
        <v>93</v>
      </c>
      <c r="C2810" s="26">
        <v>232</v>
      </c>
      <c r="D2810" s="26" t="s">
        <v>1449</v>
      </c>
      <c r="E2810" s="26" t="s">
        <v>719</v>
      </c>
      <c r="F2810" s="26" t="s">
        <v>1538</v>
      </c>
      <c r="G2810" s="26">
        <f t="shared" si="43"/>
        <v>37361.01</v>
      </c>
    </row>
    <row r="2811" spans="1:7" x14ac:dyDescent="0.2">
      <c r="A2811" s="26">
        <v>138</v>
      </c>
      <c r="B2811" s="26">
        <v>94</v>
      </c>
      <c r="C2811" s="26">
        <v>232</v>
      </c>
      <c r="D2811" s="26" t="s">
        <v>1453</v>
      </c>
      <c r="E2811" s="26">
        <v>38365.534</v>
      </c>
      <c r="F2811" s="26">
        <v>18.085999999999999</v>
      </c>
      <c r="G2811" s="26">
        <f t="shared" si="43"/>
        <v>38365.534</v>
      </c>
    </row>
    <row r="2812" spans="1:7" x14ac:dyDescent="0.2">
      <c r="A2812" s="26">
        <v>137</v>
      </c>
      <c r="B2812" s="26">
        <v>95</v>
      </c>
      <c r="C2812" s="26">
        <v>232</v>
      </c>
      <c r="D2812" s="26" t="s">
        <v>1456</v>
      </c>
      <c r="E2812" s="26" t="s">
        <v>1458</v>
      </c>
      <c r="F2812" s="26" t="s">
        <v>1730</v>
      </c>
      <c r="G2812" s="26">
        <f t="shared" si="43"/>
        <v>43398.01</v>
      </c>
    </row>
    <row r="2813" spans="1:7" x14ac:dyDescent="0.2">
      <c r="A2813" s="26">
        <v>145</v>
      </c>
      <c r="B2813" s="26">
        <v>88</v>
      </c>
      <c r="C2813" s="26">
        <v>233</v>
      </c>
      <c r="D2813" s="26" t="s">
        <v>1707</v>
      </c>
      <c r="E2813" s="26" t="s">
        <v>720</v>
      </c>
      <c r="F2813" s="26" t="s">
        <v>721</v>
      </c>
      <c r="G2813" s="26">
        <f t="shared" si="43"/>
        <v>44767.01</v>
      </c>
    </row>
    <row r="2814" spans="1:7" x14ac:dyDescent="0.2">
      <c r="A2814" s="26">
        <v>144</v>
      </c>
      <c r="B2814" s="26">
        <v>89</v>
      </c>
      <c r="C2814" s="26">
        <v>233</v>
      </c>
      <c r="D2814" s="26" t="s">
        <v>1708</v>
      </c>
      <c r="E2814" s="26" t="s">
        <v>1459</v>
      </c>
      <c r="F2814" s="26" t="s">
        <v>1730</v>
      </c>
      <c r="G2814" s="26">
        <f t="shared" si="43"/>
        <v>41498.01</v>
      </c>
    </row>
    <row r="2815" spans="1:7" x14ac:dyDescent="0.2">
      <c r="A2815" s="26">
        <v>143</v>
      </c>
      <c r="B2815" s="26">
        <v>90</v>
      </c>
      <c r="C2815" s="26">
        <v>233</v>
      </c>
      <c r="D2815" s="26" t="s">
        <v>1709</v>
      </c>
      <c r="E2815" s="26">
        <v>38733.237999999998</v>
      </c>
      <c r="F2815" s="26">
        <v>1.9930000000000001</v>
      </c>
      <c r="G2815" s="26">
        <f t="shared" si="43"/>
        <v>38733.237999999998</v>
      </c>
    </row>
    <row r="2816" spans="1:7" x14ac:dyDescent="0.2">
      <c r="A2816" s="26">
        <v>142</v>
      </c>
      <c r="B2816" s="26">
        <v>91</v>
      </c>
      <c r="C2816" s="26">
        <v>233</v>
      </c>
      <c r="D2816" s="26" t="s">
        <v>1710</v>
      </c>
      <c r="E2816" s="26">
        <v>37490.097999999998</v>
      </c>
      <c r="F2816" s="26">
        <v>2.161</v>
      </c>
      <c r="G2816" s="26">
        <f t="shared" si="43"/>
        <v>37490.097999999998</v>
      </c>
    </row>
    <row r="2817" spans="1:7" x14ac:dyDescent="0.2">
      <c r="A2817" s="26">
        <v>141</v>
      </c>
      <c r="B2817" s="26">
        <v>92</v>
      </c>
      <c r="C2817" s="26">
        <v>233</v>
      </c>
      <c r="D2817" s="26" t="s">
        <v>1711</v>
      </c>
      <c r="E2817" s="26">
        <v>36919.957999999999</v>
      </c>
      <c r="F2817" s="26">
        <v>2.7050000000000001</v>
      </c>
      <c r="G2817" s="26">
        <f t="shared" si="43"/>
        <v>36919.957999999999</v>
      </c>
    </row>
    <row r="2818" spans="1:7" x14ac:dyDescent="0.2">
      <c r="A2818" s="26">
        <v>140</v>
      </c>
      <c r="B2818" s="26">
        <v>93</v>
      </c>
      <c r="C2818" s="26">
        <v>233</v>
      </c>
      <c r="D2818" s="26" t="s">
        <v>1449</v>
      </c>
      <c r="E2818" s="26">
        <v>37949.574999999997</v>
      </c>
      <c r="F2818" s="26">
        <v>50.948</v>
      </c>
      <c r="G2818" s="26">
        <f t="shared" si="43"/>
        <v>37949.574999999997</v>
      </c>
    </row>
    <row r="2819" spans="1:7" x14ac:dyDescent="0.2">
      <c r="A2819" s="26">
        <v>139</v>
      </c>
      <c r="B2819" s="26">
        <v>94</v>
      </c>
      <c r="C2819" s="26">
        <v>233</v>
      </c>
      <c r="D2819" s="26" t="s">
        <v>1453</v>
      </c>
      <c r="E2819" s="26">
        <v>40051.796999999999</v>
      </c>
      <c r="F2819" s="26">
        <v>50.353999999999999</v>
      </c>
      <c r="G2819" s="26">
        <f t="shared" si="43"/>
        <v>40051.796999999999</v>
      </c>
    </row>
    <row r="2820" spans="1:7" x14ac:dyDescent="0.2">
      <c r="A2820" s="26">
        <v>138</v>
      </c>
      <c r="B2820" s="26">
        <v>95</v>
      </c>
      <c r="C2820" s="26">
        <v>233</v>
      </c>
      <c r="D2820" s="26" t="s">
        <v>1456</v>
      </c>
      <c r="E2820" s="26" t="s">
        <v>722</v>
      </c>
      <c r="F2820" s="26" t="s">
        <v>1516</v>
      </c>
      <c r="G2820" s="26">
        <f t="shared" si="43"/>
        <v>43173.01</v>
      </c>
    </row>
    <row r="2821" spans="1:7" x14ac:dyDescent="0.2">
      <c r="A2821" s="26">
        <v>137</v>
      </c>
      <c r="B2821" s="26">
        <v>96</v>
      </c>
      <c r="C2821" s="26">
        <v>233</v>
      </c>
      <c r="D2821" s="26" t="s">
        <v>1460</v>
      </c>
      <c r="E2821" s="26">
        <v>47293.097999999998</v>
      </c>
      <c r="F2821" s="26">
        <v>71.652000000000001</v>
      </c>
      <c r="G2821" s="26">
        <f t="shared" si="43"/>
        <v>47293.097999999998</v>
      </c>
    </row>
    <row r="2822" spans="1:7" x14ac:dyDescent="0.2">
      <c r="A2822" s="26">
        <v>146</v>
      </c>
      <c r="B2822" s="26">
        <v>88</v>
      </c>
      <c r="C2822" s="26">
        <v>234</v>
      </c>
      <c r="D2822" s="26" t="s">
        <v>1707</v>
      </c>
      <c r="E2822" s="26" t="s">
        <v>723</v>
      </c>
      <c r="F2822" s="26" t="s">
        <v>724</v>
      </c>
      <c r="G2822" s="26">
        <f t="shared" si="43"/>
        <v>47230.01</v>
      </c>
    </row>
    <row r="2823" spans="1:7" x14ac:dyDescent="0.2">
      <c r="A2823" s="26">
        <v>145</v>
      </c>
      <c r="B2823" s="26">
        <v>89</v>
      </c>
      <c r="C2823" s="26">
        <v>234</v>
      </c>
      <c r="D2823" s="26" t="s">
        <v>1708</v>
      </c>
      <c r="E2823" s="26" t="s">
        <v>1461</v>
      </c>
      <c r="F2823" s="26" t="s">
        <v>1723</v>
      </c>
      <c r="G2823" s="26">
        <f t="shared" si="43"/>
        <v>45103.01</v>
      </c>
    </row>
    <row r="2824" spans="1:7" x14ac:dyDescent="0.2">
      <c r="A2824" s="26">
        <v>144</v>
      </c>
      <c r="B2824" s="26">
        <v>90</v>
      </c>
      <c r="C2824" s="26">
        <v>234</v>
      </c>
      <c r="D2824" s="26" t="s">
        <v>1709</v>
      </c>
      <c r="E2824" s="26">
        <v>40614.285000000003</v>
      </c>
      <c r="F2824" s="26">
        <v>3.5</v>
      </c>
      <c r="G2824" s="26">
        <f t="shared" si="43"/>
        <v>40614.285000000003</v>
      </c>
    </row>
    <row r="2825" spans="1:7" x14ac:dyDescent="0.2">
      <c r="A2825" s="26">
        <v>143</v>
      </c>
      <c r="B2825" s="26">
        <v>91</v>
      </c>
      <c r="C2825" s="26">
        <v>234</v>
      </c>
      <c r="D2825" s="26" t="s">
        <v>1710</v>
      </c>
      <c r="E2825" s="26">
        <v>40341.197</v>
      </c>
      <c r="F2825" s="26">
        <v>4.7229999999999999</v>
      </c>
      <c r="G2825" s="26">
        <f t="shared" si="43"/>
        <v>40341.197</v>
      </c>
    </row>
    <row r="2826" spans="1:7" x14ac:dyDescent="0.2">
      <c r="A2826" s="26">
        <v>142</v>
      </c>
      <c r="B2826" s="26">
        <v>92</v>
      </c>
      <c r="C2826" s="26">
        <v>234</v>
      </c>
      <c r="D2826" s="26" t="s">
        <v>1711</v>
      </c>
      <c r="E2826" s="26">
        <v>38146.625</v>
      </c>
      <c r="F2826" s="26">
        <v>1.827</v>
      </c>
      <c r="G2826" s="26">
        <f t="shared" ref="G2826:G2889" si="44">IF(ISNUMBER(E2826),E2826,VALUE(SUBSTITUTE(E2826,"#",".01")))</f>
        <v>38146.625</v>
      </c>
    </row>
    <row r="2827" spans="1:7" x14ac:dyDescent="0.2">
      <c r="A2827" s="26">
        <v>141</v>
      </c>
      <c r="B2827" s="26">
        <v>93</v>
      </c>
      <c r="C2827" s="26">
        <v>234</v>
      </c>
      <c r="D2827" s="26" t="s">
        <v>1449</v>
      </c>
      <c r="E2827" s="26">
        <v>39956.470999999998</v>
      </c>
      <c r="F2827" s="26">
        <v>8.5190000000000001</v>
      </c>
      <c r="G2827" s="26">
        <f t="shared" si="44"/>
        <v>39956.470999999998</v>
      </c>
    </row>
    <row r="2828" spans="1:7" x14ac:dyDescent="0.2">
      <c r="A2828" s="26">
        <v>140</v>
      </c>
      <c r="B2828" s="26">
        <v>94</v>
      </c>
      <c r="C2828" s="26">
        <v>234</v>
      </c>
      <c r="D2828" s="26" t="s">
        <v>1453</v>
      </c>
      <c r="E2828" s="26">
        <v>40349.597000000002</v>
      </c>
      <c r="F2828" s="26">
        <v>6.9669999999999996</v>
      </c>
      <c r="G2828" s="26">
        <f t="shared" si="44"/>
        <v>40349.597000000002</v>
      </c>
    </row>
    <row r="2829" spans="1:7" x14ac:dyDescent="0.2">
      <c r="A2829" s="26">
        <v>139</v>
      </c>
      <c r="B2829" s="26">
        <v>95</v>
      </c>
      <c r="C2829" s="26">
        <v>234</v>
      </c>
      <c r="D2829" s="26" t="s">
        <v>1456</v>
      </c>
      <c r="E2829" s="26" t="s">
        <v>725</v>
      </c>
      <c r="F2829" s="26" t="s">
        <v>1336</v>
      </c>
      <c r="G2829" s="26">
        <f t="shared" si="44"/>
        <v>44534.01</v>
      </c>
    </row>
    <row r="2830" spans="1:7" x14ac:dyDescent="0.2">
      <c r="A2830" s="26">
        <v>138</v>
      </c>
      <c r="B2830" s="26">
        <v>96</v>
      </c>
      <c r="C2830" s="26">
        <v>234</v>
      </c>
      <c r="D2830" s="26" t="s">
        <v>1460</v>
      </c>
      <c r="E2830" s="26">
        <v>46723.591999999997</v>
      </c>
      <c r="F2830" s="26">
        <v>18.204000000000001</v>
      </c>
      <c r="G2830" s="26">
        <f t="shared" si="44"/>
        <v>46723.591999999997</v>
      </c>
    </row>
    <row r="2831" spans="1:7" x14ac:dyDescent="0.2">
      <c r="A2831" s="26">
        <v>146</v>
      </c>
      <c r="B2831" s="26">
        <v>89</v>
      </c>
      <c r="C2831" s="26">
        <v>235</v>
      </c>
      <c r="D2831" s="26" t="s">
        <v>1708</v>
      </c>
      <c r="E2831" s="26" t="s">
        <v>726</v>
      </c>
      <c r="F2831" s="26" t="s">
        <v>1250</v>
      </c>
      <c r="G2831" s="26">
        <f t="shared" si="44"/>
        <v>47722.01</v>
      </c>
    </row>
    <row r="2832" spans="1:7" x14ac:dyDescent="0.2">
      <c r="A2832" s="26">
        <v>145</v>
      </c>
      <c r="B2832" s="26">
        <v>90</v>
      </c>
      <c r="C2832" s="26">
        <v>235</v>
      </c>
      <c r="D2832" s="26" t="s">
        <v>1709</v>
      </c>
      <c r="E2832" s="26">
        <v>44255.35</v>
      </c>
      <c r="F2832" s="26">
        <v>50.036000000000001</v>
      </c>
      <c r="G2832" s="26">
        <f t="shared" si="44"/>
        <v>44255.35</v>
      </c>
    </row>
    <row r="2833" spans="1:7" x14ac:dyDescent="0.2">
      <c r="A2833" s="26">
        <v>144</v>
      </c>
      <c r="B2833" s="26">
        <v>91</v>
      </c>
      <c r="C2833" s="26">
        <v>235</v>
      </c>
      <c r="D2833" s="26" t="s">
        <v>1710</v>
      </c>
      <c r="E2833" s="26">
        <v>42330.455999999998</v>
      </c>
      <c r="F2833" s="26">
        <v>50.033000000000001</v>
      </c>
      <c r="G2833" s="26">
        <f t="shared" si="44"/>
        <v>42330.455999999998</v>
      </c>
    </row>
    <row r="2834" spans="1:7" x14ac:dyDescent="0.2">
      <c r="A2834" s="26">
        <v>143</v>
      </c>
      <c r="B2834" s="26">
        <v>92</v>
      </c>
      <c r="C2834" s="26">
        <v>235</v>
      </c>
      <c r="D2834" s="26" t="s">
        <v>1711</v>
      </c>
      <c r="E2834" s="26">
        <v>40920.455999999998</v>
      </c>
      <c r="F2834" s="26">
        <v>1.823</v>
      </c>
      <c r="G2834" s="26">
        <f t="shared" si="44"/>
        <v>40920.455999999998</v>
      </c>
    </row>
    <row r="2835" spans="1:7" x14ac:dyDescent="0.2">
      <c r="A2835" s="26">
        <v>142</v>
      </c>
      <c r="B2835" s="26">
        <v>93</v>
      </c>
      <c r="C2835" s="26">
        <v>235</v>
      </c>
      <c r="D2835" s="26" t="s">
        <v>1449</v>
      </c>
      <c r="E2835" s="26">
        <v>41044.669000000002</v>
      </c>
      <c r="F2835" s="26">
        <v>1.994</v>
      </c>
      <c r="G2835" s="26">
        <f t="shared" si="44"/>
        <v>41044.669000000002</v>
      </c>
    </row>
    <row r="2836" spans="1:7" x14ac:dyDescent="0.2">
      <c r="A2836" s="26">
        <v>141</v>
      </c>
      <c r="B2836" s="26">
        <v>94</v>
      </c>
      <c r="C2836" s="26">
        <v>235</v>
      </c>
      <c r="D2836" s="26" t="s">
        <v>1453</v>
      </c>
      <c r="E2836" s="26">
        <v>42183.684000000001</v>
      </c>
      <c r="F2836" s="26">
        <v>20.57</v>
      </c>
      <c r="G2836" s="26">
        <f t="shared" si="44"/>
        <v>42183.684000000001</v>
      </c>
    </row>
    <row r="2837" spans="1:7" x14ac:dyDescent="0.2">
      <c r="A2837" s="26">
        <v>140</v>
      </c>
      <c r="B2837" s="26">
        <v>95</v>
      </c>
      <c r="C2837" s="26">
        <v>235</v>
      </c>
      <c r="D2837" s="26" t="s">
        <v>1456</v>
      </c>
      <c r="E2837" s="26" t="s">
        <v>727</v>
      </c>
      <c r="F2837" s="26" t="s">
        <v>728</v>
      </c>
      <c r="G2837" s="26">
        <f t="shared" si="44"/>
        <v>44662.01</v>
      </c>
    </row>
    <row r="2838" spans="1:7" x14ac:dyDescent="0.2">
      <c r="A2838" s="26">
        <v>139</v>
      </c>
      <c r="B2838" s="26">
        <v>96</v>
      </c>
      <c r="C2838" s="26">
        <v>235</v>
      </c>
      <c r="D2838" s="26" t="s">
        <v>1460</v>
      </c>
      <c r="E2838" s="26" t="s">
        <v>729</v>
      </c>
      <c r="F2838" s="26" t="s">
        <v>1252</v>
      </c>
      <c r="G2838" s="26">
        <f t="shared" si="44"/>
        <v>47910.01</v>
      </c>
    </row>
    <row r="2839" spans="1:7" x14ac:dyDescent="0.2">
      <c r="A2839" s="26">
        <v>138</v>
      </c>
      <c r="B2839" s="26">
        <v>97</v>
      </c>
      <c r="C2839" s="26">
        <v>235</v>
      </c>
      <c r="D2839" s="26" t="s">
        <v>1462</v>
      </c>
      <c r="E2839" s="26" t="s">
        <v>1463</v>
      </c>
      <c r="F2839" s="26" t="s">
        <v>1723</v>
      </c>
      <c r="G2839" s="26">
        <f t="shared" si="44"/>
        <v>52704.01</v>
      </c>
    </row>
    <row r="2840" spans="1:7" x14ac:dyDescent="0.2">
      <c r="A2840" s="26">
        <v>147</v>
      </c>
      <c r="B2840" s="26">
        <v>89</v>
      </c>
      <c r="C2840" s="26">
        <v>236</v>
      </c>
      <c r="D2840" s="26" t="s">
        <v>1708</v>
      </c>
      <c r="E2840" s="26" t="s">
        <v>730</v>
      </c>
      <c r="F2840" s="26" t="s">
        <v>731</v>
      </c>
      <c r="G2840" s="26">
        <f t="shared" si="44"/>
        <v>51508.01</v>
      </c>
    </row>
    <row r="2841" spans="1:7" x14ac:dyDescent="0.2">
      <c r="A2841" s="26">
        <v>146</v>
      </c>
      <c r="B2841" s="26">
        <v>90</v>
      </c>
      <c r="C2841" s="26">
        <v>236</v>
      </c>
      <c r="D2841" s="26" t="s">
        <v>1709</v>
      </c>
      <c r="E2841" s="26" t="s">
        <v>732</v>
      </c>
      <c r="F2841" s="26" t="s">
        <v>1480</v>
      </c>
      <c r="G2841" s="26">
        <f t="shared" si="44"/>
        <v>46454.01</v>
      </c>
    </row>
    <row r="2842" spans="1:7" x14ac:dyDescent="0.2">
      <c r="A2842" s="26">
        <v>145</v>
      </c>
      <c r="B2842" s="26">
        <v>91</v>
      </c>
      <c r="C2842" s="26">
        <v>236</v>
      </c>
      <c r="D2842" s="26" t="s">
        <v>1710</v>
      </c>
      <c r="E2842" s="26">
        <v>45346.324999999997</v>
      </c>
      <c r="F2842" s="26">
        <v>200.00800000000001</v>
      </c>
      <c r="G2842" s="26">
        <f t="shared" si="44"/>
        <v>45346.324999999997</v>
      </c>
    </row>
    <row r="2843" spans="1:7" x14ac:dyDescent="0.2">
      <c r="A2843" s="26">
        <v>144</v>
      </c>
      <c r="B2843" s="26">
        <v>92</v>
      </c>
      <c r="C2843" s="26">
        <v>236</v>
      </c>
      <c r="D2843" s="26" t="s">
        <v>1711</v>
      </c>
      <c r="E2843" s="26">
        <v>42446.324999999997</v>
      </c>
      <c r="F2843" s="26">
        <v>1.8260000000000001</v>
      </c>
      <c r="G2843" s="26">
        <f t="shared" si="44"/>
        <v>42446.324999999997</v>
      </c>
    </row>
    <row r="2844" spans="1:7" x14ac:dyDescent="0.2">
      <c r="A2844" s="26">
        <v>143</v>
      </c>
      <c r="B2844" s="26">
        <v>93</v>
      </c>
      <c r="C2844" s="26">
        <v>236</v>
      </c>
      <c r="D2844" s="26" t="s">
        <v>1449</v>
      </c>
      <c r="E2844" s="26">
        <v>43379.303999999996</v>
      </c>
      <c r="F2844" s="26">
        <v>50.436999999999998</v>
      </c>
      <c r="G2844" s="26">
        <f t="shared" si="44"/>
        <v>43379.303999999996</v>
      </c>
    </row>
    <row r="2845" spans="1:7" x14ac:dyDescent="0.2">
      <c r="A2845" s="26">
        <v>142</v>
      </c>
      <c r="B2845" s="26">
        <v>94</v>
      </c>
      <c r="C2845" s="26">
        <v>236</v>
      </c>
      <c r="D2845" s="26" t="s">
        <v>1453</v>
      </c>
      <c r="E2845" s="26">
        <v>42902.718000000001</v>
      </c>
      <c r="F2845" s="26">
        <v>2.2050000000000001</v>
      </c>
      <c r="G2845" s="26">
        <f t="shared" si="44"/>
        <v>42902.718000000001</v>
      </c>
    </row>
    <row r="2846" spans="1:7" x14ac:dyDescent="0.2">
      <c r="A2846" s="26">
        <v>141</v>
      </c>
      <c r="B2846" s="26">
        <v>95</v>
      </c>
      <c r="C2846" s="26">
        <v>236</v>
      </c>
      <c r="D2846" s="26" t="s">
        <v>1456</v>
      </c>
      <c r="E2846" s="26" t="s">
        <v>733</v>
      </c>
      <c r="F2846" s="26" t="s">
        <v>1538</v>
      </c>
      <c r="G2846" s="26">
        <f t="shared" si="44"/>
        <v>46183.01</v>
      </c>
    </row>
    <row r="2847" spans="1:7" x14ac:dyDescent="0.2">
      <c r="A2847" s="26">
        <v>140</v>
      </c>
      <c r="B2847" s="26">
        <v>96</v>
      </c>
      <c r="C2847" s="26">
        <v>236</v>
      </c>
      <c r="D2847" s="26" t="s">
        <v>1460</v>
      </c>
      <c r="E2847" s="26" t="s">
        <v>1041</v>
      </c>
      <c r="F2847" s="26" t="s">
        <v>1325</v>
      </c>
      <c r="G2847" s="26">
        <f t="shared" si="44"/>
        <v>47890.01</v>
      </c>
    </row>
    <row r="2848" spans="1:7" x14ac:dyDescent="0.2">
      <c r="A2848" s="26">
        <v>139</v>
      </c>
      <c r="B2848" s="26">
        <v>97</v>
      </c>
      <c r="C2848" s="26">
        <v>236</v>
      </c>
      <c r="D2848" s="26" t="s">
        <v>1462</v>
      </c>
      <c r="E2848" s="26" t="s">
        <v>1464</v>
      </c>
      <c r="F2848" s="26" t="s">
        <v>1723</v>
      </c>
      <c r="G2848" s="26">
        <f t="shared" si="44"/>
        <v>53403.01</v>
      </c>
    </row>
    <row r="2849" spans="1:7" x14ac:dyDescent="0.2">
      <c r="A2849" s="26">
        <v>147</v>
      </c>
      <c r="B2849" s="26">
        <v>90</v>
      </c>
      <c r="C2849" s="26">
        <v>237</v>
      </c>
      <c r="D2849" s="26" t="s">
        <v>1709</v>
      </c>
      <c r="E2849" s="26" t="s">
        <v>1465</v>
      </c>
      <c r="F2849" s="26" t="s">
        <v>1320</v>
      </c>
      <c r="G2849" s="26">
        <f t="shared" si="44"/>
        <v>50202.01</v>
      </c>
    </row>
    <row r="2850" spans="1:7" x14ac:dyDescent="0.2">
      <c r="A2850" s="26">
        <v>146</v>
      </c>
      <c r="B2850" s="26">
        <v>91</v>
      </c>
      <c r="C2850" s="26">
        <v>237</v>
      </c>
      <c r="D2850" s="26" t="s">
        <v>1710</v>
      </c>
      <c r="E2850" s="26">
        <v>47641.875</v>
      </c>
      <c r="F2850" s="26">
        <v>100.018</v>
      </c>
      <c r="G2850" s="26">
        <f t="shared" si="44"/>
        <v>47641.875</v>
      </c>
    </row>
    <row r="2851" spans="1:7" x14ac:dyDescent="0.2">
      <c r="A2851" s="26">
        <v>145</v>
      </c>
      <c r="B2851" s="26">
        <v>92</v>
      </c>
      <c r="C2851" s="26">
        <v>237</v>
      </c>
      <c r="D2851" s="26" t="s">
        <v>1711</v>
      </c>
      <c r="E2851" s="26">
        <v>45391.875</v>
      </c>
      <c r="F2851" s="26">
        <v>1.8819999999999999</v>
      </c>
      <c r="G2851" s="26">
        <f t="shared" si="44"/>
        <v>45391.875</v>
      </c>
    </row>
    <row r="2852" spans="1:7" x14ac:dyDescent="0.2">
      <c r="A2852" s="26">
        <v>144</v>
      </c>
      <c r="B2852" s="26">
        <v>93</v>
      </c>
      <c r="C2852" s="26">
        <v>237</v>
      </c>
      <c r="D2852" s="26" t="s">
        <v>1449</v>
      </c>
      <c r="E2852" s="26">
        <v>44873.275000000001</v>
      </c>
      <c r="F2852" s="26">
        <v>1.833</v>
      </c>
      <c r="G2852" s="26">
        <f t="shared" si="44"/>
        <v>44873.275000000001</v>
      </c>
    </row>
    <row r="2853" spans="1:7" x14ac:dyDescent="0.2">
      <c r="A2853" s="26">
        <v>143</v>
      </c>
      <c r="B2853" s="26">
        <v>94</v>
      </c>
      <c r="C2853" s="26">
        <v>237</v>
      </c>
      <c r="D2853" s="26" t="s">
        <v>1453</v>
      </c>
      <c r="E2853" s="26">
        <v>45093.307000000001</v>
      </c>
      <c r="F2853" s="26">
        <v>2.2360000000000002</v>
      </c>
      <c r="G2853" s="26">
        <f t="shared" si="44"/>
        <v>45093.307000000001</v>
      </c>
    </row>
    <row r="2854" spans="1:7" x14ac:dyDescent="0.2">
      <c r="A2854" s="26">
        <v>142</v>
      </c>
      <c r="B2854" s="26">
        <v>95</v>
      </c>
      <c r="C2854" s="26">
        <v>237</v>
      </c>
      <c r="D2854" s="26" t="s">
        <v>1456</v>
      </c>
      <c r="E2854" s="26" t="s">
        <v>1042</v>
      </c>
      <c r="F2854" s="26" t="s">
        <v>1043</v>
      </c>
      <c r="G2854" s="26">
        <f t="shared" si="44"/>
        <v>46571.01</v>
      </c>
    </row>
    <row r="2855" spans="1:7" x14ac:dyDescent="0.2">
      <c r="A2855" s="26">
        <v>141</v>
      </c>
      <c r="B2855" s="26">
        <v>96</v>
      </c>
      <c r="C2855" s="26">
        <v>237</v>
      </c>
      <c r="D2855" s="26" t="s">
        <v>1460</v>
      </c>
      <c r="E2855" s="26" t="s">
        <v>1044</v>
      </c>
      <c r="F2855" s="26" t="s">
        <v>1495</v>
      </c>
      <c r="G2855" s="26">
        <f t="shared" si="44"/>
        <v>49277.01</v>
      </c>
    </row>
    <row r="2856" spans="1:7" x14ac:dyDescent="0.2">
      <c r="A2856" s="26">
        <v>140</v>
      </c>
      <c r="B2856" s="26">
        <v>97</v>
      </c>
      <c r="C2856" s="26">
        <v>237</v>
      </c>
      <c r="D2856" s="26" t="s">
        <v>1462</v>
      </c>
      <c r="E2856" s="26" t="s">
        <v>1045</v>
      </c>
      <c r="F2856" s="26" t="s">
        <v>1046</v>
      </c>
      <c r="G2856" s="26">
        <f t="shared" si="44"/>
        <v>53098.01</v>
      </c>
    </row>
    <row r="2857" spans="1:7" x14ac:dyDescent="0.2">
      <c r="A2857" s="26">
        <v>139</v>
      </c>
      <c r="B2857" s="26">
        <v>98</v>
      </c>
      <c r="C2857" s="26">
        <v>237</v>
      </c>
      <c r="D2857" s="26" t="s">
        <v>1466</v>
      </c>
      <c r="E2857" s="26" t="s">
        <v>1467</v>
      </c>
      <c r="F2857" s="26" t="s">
        <v>1728</v>
      </c>
      <c r="G2857" s="26">
        <f t="shared" si="44"/>
        <v>57818.01</v>
      </c>
    </row>
    <row r="2858" spans="1:7" x14ac:dyDescent="0.2">
      <c r="A2858" s="26">
        <v>148</v>
      </c>
      <c r="B2858" s="26">
        <v>90</v>
      </c>
      <c r="C2858" s="26">
        <v>238</v>
      </c>
      <c r="D2858" s="26" t="s">
        <v>1709</v>
      </c>
      <c r="E2858" s="26" t="s">
        <v>1047</v>
      </c>
      <c r="F2858" s="26" t="s">
        <v>1048</v>
      </c>
      <c r="G2858" s="26">
        <f t="shared" si="44"/>
        <v>52625.01</v>
      </c>
    </row>
    <row r="2859" spans="1:7" x14ac:dyDescent="0.2">
      <c r="A2859" s="26">
        <v>147</v>
      </c>
      <c r="B2859" s="26">
        <v>91</v>
      </c>
      <c r="C2859" s="26">
        <v>238</v>
      </c>
      <c r="D2859" s="26" t="s">
        <v>1710</v>
      </c>
      <c r="E2859" s="26">
        <v>50768.947999999997</v>
      </c>
      <c r="F2859" s="26">
        <v>60.03</v>
      </c>
      <c r="G2859" s="26">
        <f t="shared" si="44"/>
        <v>50768.947999999997</v>
      </c>
    </row>
    <row r="2860" spans="1:7" x14ac:dyDescent="0.2">
      <c r="A2860" s="26">
        <v>146</v>
      </c>
      <c r="B2860" s="26">
        <v>92</v>
      </c>
      <c r="C2860" s="26">
        <v>238</v>
      </c>
      <c r="D2860" s="26" t="s">
        <v>1711</v>
      </c>
      <c r="E2860" s="26">
        <v>47308.947999999997</v>
      </c>
      <c r="F2860" s="26">
        <v>1.9039999999999999</v>
      </c>
      <c r="G2860" s="26">
        <f t="shared" si="44"/>
        <v>47308.947999999997</v>
      </c>
    </row>
    <row r="2861" spans="1:7" x14ac:dyDescent="0.2">
      <c r="A2861" s="26">
        <v>145</v>
      </c>
      <c r="B2861" s="26">
        <v>93</v>
      </c>
      <c r="C2861" s="26">
        <v>238</v>
      </c>
      <c r="D2861" s="26" t="s">
        <v>1449</v>
      </c>
      <c r="E2861" s="26">
        <v>47456.271999999997</v>
      </c>
      <c r="F2861" s="26">
        <v>1.8440000000000001</v>
      </c>
      <c r="G2861" s="26">
        <f t="shared" si="44"/>
        <v>47456.271999999997</v>
      </c>
    </row>
    <row r="2862" spans="1:7" x14ac:dyDescent="0.2">
      <c r="A2862" s="26">
        <v>144</v>
      </c>
      <c r="B2862" s="26">
        <v>94</v>
      </c>
      <c r="C2862" s="26">
        <v>238</v>
      </c>
      <c r="D2862" s="26" t="s">
        <v>1453</v>
      </c>
      <c r="E2862" s="26">
        <v>46164.745000000003</v>
      </c>
      <c r="F2862" s="26">
        <v>1.8340000000000001</v>
      </c>
      <c r="G2862" s="26">
        <f t="shared" si="44"/>
        <v>46164.745000000003</v>
      </c>
    </row>
    <row r="2863" spans="1:7" x14ac:dyDescent="0.2">
      <c r="A2863" s="26">
        <v>143</v>
      </c>
      <c r="B2863" s="26">
        <v>95</v>
      </c>
      <c r="C2863" s="26">
        <v>238</v>
      </c>
      <c r="D2863" s="26" t="s">
        <v>1456</v>
      </c>
      <c r="E2863" s="26">
        <v>48423.087</v>
      </c>
      <c r="F2863" s="26">
        <v>50.72</v>
      </c>
      <c r="G2863" s="26">
        <f t="shared" si="44"/>
        <v>48423.087</v>
      </c>
    </row>
    <row r="2864" spans="1:7" x14ac:dyDescent="0.2">
      <c r="A2864" s="26">
        <v>142</v>
      </c>
      <c r="B2864" s="26">
        <v>96</v>
      </c>
      <c r="C2864" s="26">
        <v>238</v>
      </c>
      <c r="D2864" s="26" t="s">
        <v>1460</v>
      </c>
      <c r="E2864" s="26">
        <v>49395.913999999997</v>
      </c>
      <c r="F2864" s="26">
        <v>36.628999999999998</v>
      </c>
      <c r="G2864" s="26">
        <f t="shared" si="44"/>
        <v>49395.913999999997</v>
      </c>
    </row>
    <row r="2865" spans="1:7" x14ac:dyDescent="0.2">
      <c r="A2865" s="26">
        <v>141</v>
      </c>
      <c r="B2865" s="26">
        <v>97</v>
      </c>
      <c r="C2865" s="26">
        <v>238</v>
      </c>
      <c r="D2865" s="26" t="s">
        <v>1462</v>
      </c>
      <c r="E2865" s="26" t="s">
        <v>1049</v>
      </c>
      <c r="F2865" s="26" t="s">
        <v>1050</v>
      </c>
      <c r="G2865" s="26">
        <f t="shared" si="44"/>
        <v>54288.01</v>
      </c>
    </row>
    <row r="2866" spans="1:7" x14ac:dyDescent="0.2">
      <c r="A2866" s="26">
        <v>140</v>
      </c>
      <c r="B2866" s="26">
        <v>98</v>
      </c>
      <c r="C2866" s="26">
        <v>238</v>
      </c>
      <c r="D2866" s="26" t="s">
        <v>1466</v>
      </c>
      <c r="E2866" s="26" t="s">
        <v>1468</v>
      </c>
      <c r="F2866" s="26" t="s">
        <v>1723</v>
      </c>
      <c r="G2866" s="26">
        <f t="shared" si="44"/>
        <v>57203.01</v>
      </c>
    </row>
    <row r="2867" spans="1:7" x14ac:dyDescent="0.2">
      <c r="A2867" s="26">
        <v>148</v>
      </c>
      <c r="B2867" s="26">
        <v>91</v>
      </c>
      <c r="C2867" s="26">
        <v>239</v>
      </c>
      <c r="D2867" s="26" t="s">
        <v>1710</v>
      </c>
      <c r="E2867" s="26" t="s">
        <v>1051</v>
      </c>
      <c r="F2867" s="26" t="s">
        <v>1480</v>
      </c>
      <c r="G2867" s="26">
        <f t="shared" si="44"/>
        <v>53337.01</v>
      </c>
    </row>
    <row r="2868" spans="1:7" x14ac:dyDescent="0.2">
      <c r="A2868" s="26">
        <v>147</v>
      </c>
      <c r="B2868" s="26">
        <v>92</v>
      </c>
      <c r="C2868" s="26">
        <v>239</v>
      </c>
      <c r="D2868" s="26" t="s">
        <v>1711</v>
      </c>
      <c r="E2868" s="26">
        <v>50573.883000000002</v>
      </c>
      <c r="F2868" s="26">
        <v>1.9119999999999999</v>
      </c>
      <c r="G2868" s="26">
        <f t="shared" si="44"/>
        <v>50573.883000000002</v>
      </c>
    </row>
    <row r="2869" spans="1:7" x14ac:dyDescent="0.2">
      <c r="A2869" s="26">
        <v>146</v>
      </c>
      <c r="B2869" s="26">
        <v>93</v>
      </c>
      <c r="C2869" s="26">
        <v>239</v>
      </c>
      <c r="D2869" s="26" t="s">
        <v>1449</v>
      </c>
      <c r="E2869" s="26">
        <v>49312.385000000002</v>
      </c>
      <c r="F2869" s="26">
        <v>2.077</v>
      </c>
      <c r="G2869" s="26">
        <f t="shared" si="44"/>
        <v>49312.385000000002</v>
      </c>
    </row>
    <row r="2870" spans="1:7" x14ac:dyDescent="0.2">
      <c r="A2870" s="26">
        <v>145</v>
      </c>
      <c r="B2870" s="26">
        <v>94</v>
      </c>
      <c r="C2870" s="26">
        <v>239</v>
      </c>
      <c r="D2870" s="26" t="s">
        <v>1453</v>
      </c>
      <c r="E2870" s="26">
        <v>48589.877</v>
      </c>
      <c r="F2870" s="26">
        <v>1.827</v>
      </c>
      <c r="G2870" s="26">
        <f t="shared" si="44"/>
        <v>48589.877</v>
      </c>
    </row>
    <row r="2871" spans="1:7" x14ac:dyDescent="0.2">
      <c r="A2871" s="26">
        <v>144</v>
      </c>
      <c r="B2871" s="26">
        <v>95</v>
      </c>
      <c r="C2871" s="26">
        <v>239</v>
      </c>
      <c r="D2871" s="26" t="s">
        <v>1456</v>
      </c>
      <c r="E2871" s="26">
        <v>49391.985000000001</v>
      </c>
      <c r="F2871" s="26">
        <v>2.444</v>
      </c>
      <c r="G2871" s="26">
        <f t="shared" si="44"/>
        <v>49391.985000000001</v>
      </c>
    </row>
    <row r="2872" spans="1:7" x14ac:dyDescent="0.2">
      <c r="A2872" s="26">
        <v>143</v>
      </c>
      <c r="B2872" s="26">
        <v>96</v>
      </c>
      <c r="C2872" s="26">
        <v>239</v>
      </c>
      <c r="D2872" s="26" t="s">
        <v>1460</v>
      </c>
      <c r="E2872" s="26" t="s">
        <v>1052</v>
      </c>
      <c r="F2872" s="26" t="s">
        <v>1538</v>
      </c>
      <c r="G2872" s="26">
        <f t="shared" si="44"/>
        <v>51192.01</v>
      </c>
    </row>
    <row r="2873" spans="1:7" x14ac:dyDescent="0.2">
      <c r="A2873" s="26">
        <v>142</v>
      </c>
      <c r="B2873" s="26">
        <v>97</v>
      </c>
      <c r="C2873" s="26">
        <v>239</v>
      </c>
      <c r="D2873" s="26" t="s">
        <v>1462</v>
      </c>
      <c r="E2873" s="26" t="s">
        <v>1053</v>
      </c>
      <c r="F2873" s="26" t="s">
        <v>1513</v>
      </c>
      <c r="G2873" s="26">
        <f t="shared" si="44"/>
        <v>54287.01</v>
      </c>
    </row>
    <row r="2874" spans="1:7" x14ac:dyDescent="0.2">
      <c r="A2874" s="26">
        <v>141</v>
      </c>
      <c r="B2874" s="26">
        <v>98</v>
      </c>
      <c r="C2874" s="26">
        <v>239</v>
      </c>
      <c r="D2874" s="26" t="s">
        <v>1466</v>
      </c>
      <c r="E2874" s="26" t="s">
        <v>1054</v>
      </c>
      <c r="F2874" s="26" t="s">
        <v>1055</v>
      </c>
      <c r="G2874" s="26">
        <f t="shared" si="44"/>
        <v>58145.01</v>
      </c>
    </row>
    <row r="2875" spans="1:7" x14ac:dyDescent="0.2">
      <c r="A2875" s="26">
        <v>149</v>
      </c>
      <c r="B2875" s="26">
        <v>91</v>
      </c>
      <c r="C2875" s="26">
        <v>240</v>
      </c>
      <c r="D2875" s="26" t="s">
        <v>1710</v>
      </c>
      <c r="E2875" s="26" t="s">
        <v>1056</v>
      </c>
      <c r="F2875" s="26" t="s">
        <v>1730</v>
      </c>
      <c r="G2875" s="26">
        <f t="shared" si="44"/>
        <v>56803.01</v>
      </c>
    </row>
    <row r="2876" spans="1:7" x14ac:dyDescent="0.2">
      <c r="A2876" s="26">
        <v>148</v>
      </c>
      <c r="B2876" s="26">
        <v>92</v>
      </c>
      <c r="C2876" s="26">
        <v>240</v>
      </c>
      <c r="D2876" s="26" t="s">
        <v>1711</v>
      </c>
      <c r="E2876" s="26">
        <v>52715.097999999998</v>
      </c>
      <c r="F2876" s="26">
        <v>5.1539999999999999</v>
      </c>
      <c r="G2876" s="26">
        <f t="shared" si="44"/>
        <v>52715.097999999998</v>
      </c>
    </row>
    <row r="2877" spans="1:7" x14ac:dyDescent="0.2">
      <c r="A2877" s="26">
        <v>147</v>
      </c>
      <c r="B2877" s="26">
        <v>93</v>
      </c>
      <c r="C2877" s="26">
        <v>240</v>
      </c>
      <c r="D2877" s="26" t="s">
        <v>1449</v>
      </c>
      <c r="E2877" s="26">
        <v>52314.735999999997</v>
      </c>
      <c r="F2877" s="26">
        <v>15.138999999999999</v>
      </c>
      <c r="G2877" s="26">
        <f t="shared" si="44"/>
        <v>52314.735999999997</v>
      </c>
    </row>
    <row r="2878" spans="1:7" x14ac:dyDescent="0.2">
      <c r="A2878" s="26">
        <v>146</v>
      </c>
      <c r="B2878" s="26">
        <v>94</v>
      </c>
      <c r="C2878" s="26">
        <v>240</v>
      </c>
      <c r="D2878" s="26" t="s">
        <v>1453</v>
      </c>
      <c r="E2878" s="26">
        <v>50126.995000000003</v>
      </c>
      <c r="F2878" s="26">
        <v>1.825</v>
      </c>
      <c r="G2878" s="26">
        <f t="shared" si="44"/>
        <v>50126.995000000003</v>
      </c>
    </row>
    <row r="2879" spans="1:7" x14ac:dyDescent="0.2">
      <c r="A2879" s="26">
        <v>145</v>
      </c>
      <c r="B2879" s="26">
        <v>95</v>
      </c>
      <c r="C2879" s="26">
        <v>240</v>
      </c>
      <c r="D2879" s="26" t="s">
        <v>1456</v>
      </c>
      <c r="E2879" s="26">
        <v>51511.785000000003</v>
      </c>
      <c r="F2879" s="26">
        <v>13.907999999999999</v>
      </c>
      <c r="G2879" s="26">
        <f t="shared" si="44"/>
        <v>51511.785000000003</v>
      </c>
    </row>
    <row r="2880" spans="1:7" x14ac:dyDescent="0.2">
      <c r="A2880" s="26">
        <v>144</v>
      </c>
      <c r="B2880" s="26">
        <v>96</v>
      </c>
      <c r="C2880" s="26">
        <v>240</v>
      </c>
      <c r="D2880" s="26" t="s">
        <v>1460</v>
      </c>
      <c r="E2880" s="26">
        <v>51725.434000000001</v>
      </c>
      <c r="F2880" s="26">
        <v>2.2850000000000001</v>
      </c>
      <c r="G2880" s="26">
        <f t="shared" si="44"/>
        <v>51725.434000000001</v>
      </c>
    </row>
    <row r="2881" spans="1:7" x14ac:dyDescent="0.2">
      <c r="A2881" s="26">
        <v>143</v>
      </c>
      <c r="B2881" s="26">
        <v>97</v>
      </c>
      <c r="C2881" s="26">
        <v>240</v>
      </c>
      <c r="D2881" s="26" t="s">
        <v>1462</v>
      </c>
      <c r="E2881" s="26" t="s">
        <v>1057</v>
      </c>
      <c r="F2881" s="26" t="s">
        <v>1285</v>
      </c>
      <c r="G2881" s="26">
        <f t="shared" si="44"/>
        <v>55665.01</v>
      </c>
    </row>
    <row r="2882" spans="1:7" x14ac:dyDescent="0.2">
      <c r="A2882" s="26">
        <v>142</v>
      </c>
      <c r="B2882" s="26">
        <v>98</v>
      </c>
      <c r="C2882" s="26">
        <v>240</v>
      </c>
      <c r="D2882" s="26" t="s">
        <v>1466</v>
      </c>
      <c r="E2882" s="26" t="s">
        <v>1058</v>
      </c>
      <c r="F2882" s="26" t="s">
        <v>1325</v>
      </c>
      <c r="G2882" s="26">
        <f t="shared" si="44"/>
        <v>58034.01</v>
      </c>
    </row>
    <row r="2883" spans="1:7" x14ac:dyDescent="0.2">
      <c r="A2883" s="26">
        <v>141</v>
      </c>
      <c r="B2883" s="26">
        <v>99</v>
      </c>
      <c r="C2883" s="26">
        <v>240</v>
      </c>
      <c r="D2883" s="26" t="s">
        <v>1469</v>
      </c>
      <c r="E2883" s="26" t="s">
        <v>1470</v>
      </c>
      <c r="F2883" s="26" t="s">
        <v>1723</v>
      </c>
      <c r="G2883" s="26">
        <f t="shared" si="44"/>
        <v>64199.01</v>
      </c>
    </row>
    <row r="2884" spans="1:7" x14ac:dyDescent="0.2">
      <c r="A2884" s="26">
        <v>149</v>
      </c>
      <c r="B2884" s="26">
        <v>92</v>
      </c>
      <c r="C2884" s="26">
        <v>241</v>
      </c>
      <c r="D2884" s="26" t="s">
        <v>1711</v>
      </c>
      <c r="E2884" s="26" t="s">
        <v>1471</v>
      </c>
      <c r="F2884" s="26" t="s">
        <v>1730</v>
      </c>
      <c r="G2884" s="26">
        <f t="shared" si="44"/>
        <v>56197.01</v>
      </c>
    </row>
    <row r="2885" spans="1:7" x14ac:dyDescent="0.2">
      <c r="A2885" s="26">
        <v>148</v>
      </c>
      <c r="B2885" s="26">
        <v>93</v>
      </c>
      <c r="C2885" s="26">
        <v>241</v>
      </c>
      <c r="D2885" s="26" t="s">
        <v>1449</v>
      </c>
      <c r="E2885" s="26">
        <v>54261.790999999997</v>
      </c>
      <c r="F2885" s="26">
        <v>70.733999999999995</v>
      </c>
      <c r="G2885" s="26">
        <f t="shared" si="44"/>
        <v>54261.790999999997</v>
      </c>
    </row>
    <row r="2886" spans="1:7" x14ac:dyDescent="0.2">
      <c r="A2886" s="26">
        <v>147</v>
      </c>
      <c r="B2886" s="26">
        <v>94</v>
      </c>
      <c r="C2886" s="26">
        <v>241</v>
      </c>
      <c r="D2886" s="26" t="s">
        <v>1453</v>
      </c>
      <c r="E2886" s="26">
        <v>52956.790999999997</v>
      </c>
      <c r="F2886" s="26">
        <v>1.825</v>
      </c>
      <c r="G2886" s="26">
        <f t="shared" si="44"/>
        <v>52956.790999999997</v>
      </c>
    </row>
    <row r="2887" spans="1:7" x14ac:dyDescent="0.2">
      <c r="A2887" s="26">
        <v>146</v>
      </c>
      <c r="B2887" s="26">
        <v>95</v>
      </c>
      <c r="C2887" s="26">
        <v>241</v>
      </c>
      <c r="D2887" s="26" t="s">
        <v>1456</v>
      </c>
      <c r="E2887" s="26">
        <v>52936.008000000002</v>
      </c>
      <c r="F2887" s="26">
        <v>1.829</v>
      </c>
      <c r="G2887" s="26">
        <f t="shared" si="44"/>
        <v>52936.008000000002</v>
      </c>
    </row>
    <row r="2888" spans="1:7" x14ac:dyDescent="0.2">
      <c r="A2888" s="26">
        <v>145</v>
      </c>
      <c r="B2888" s="26">
        <v>96</v>
      </c>
      <c r="C2888" s="26">
        <v>241</v>
      </c>
      <c r="D2888" s="26" t="s">
        <v>1460</v>
      </c>
      <c r="E2888" s="26">
        <v>53703.425000000003</v>
      </c>
      <c r="F2888" s="26">
        <v>2.17</v>
      </c>
      <c r="G2888" s="26">
        <f t="shared" si="44"/>
        <v>53703.425000000003</v>
      </c>
    </row>
    <row r="2889" spans="1:7" x14ac:dyDescent="0.2">
      <c r="A2889" s="26">
        <v>144</v>
      </c>
      <c r="B2889" s="26">
        <v>97</v>
      </c>
      <c r="C2889" s="26">
        <v>241</v>
      </c>
      <c r="D2889" s="26" t="s">
        <v>1462</v>
      </c>
      <c r="E2889" s="26" t="s">
        <v>1059</v>
      </c>
      <c r="F2889" s="26" t="s">
        <v>1478</v>
      </c>
      <c r="G2889" s="26">
        <f t="shared" si="44"/>
        <v>56103.01</v>
      </c>
    </row>
    <row r="2890" spans="1:7" x14ac:dyDescent="0.2">
      <c r="A2890" s="26">
        <v>143</v>
      </c>
      <c r="B2890" s="26">
        <v>98</v>
      </c>
      <c r="C2890" s="26">
        <v>241</v>
      </c>
      <c r="D2890" s="26" t="s">
        <v>1466</v>
      </c>
      <c r="E2890" s="26" t="s">
        <v>1060</v>
      </c>
      <c r="F2890" s="26" t="s">
        <v>1061</v>
      </c>
      <c r="G2890" s="26">
        <f t="shared" ref="G2890:G2953" si="45">IF(ISNUMBER(E2890),E2890,VALUE(SUBSTITUTE(E2890,"#",".01")))</f>
        <v>59361.01</v>
      </c>
    </row>
    <row r="2891" spans="1:7" x14ac:dyDescent="0.2">
      <c r="A2891" s="26">
        <v>142</v>
      </c>
      <c r="B2891" s="26">
        <v>99</v>
      </c>
      <c r="C2891" s="26">
        <v>241</v>
      </c>
      <c r="D2891" s="26" t="s">
        <v>1469</v>
      </c>
      <c r="E2891" s="26" t="s">
        <v>1062</v>
      </c>
      <c r="F2891" s="26" t="s">
        <v>1063</v>
      </c>
      <c r="G2891" s="26">
        <f t="shared" si="45"/>
        <v>63843.01</v>
      </c>
    </row>
    <row r="2892" spans="1:7" x14ac:dyDescent="0.2">
      <c r="A2892" s="26">
        <v>150</v>
      </c>
      <c r="B2892" s="26">
        <v>92</v>
      </c>
      <c r="C2892" s="26">
        <v>242</v>
      </c>
      <c r="D2892" s="26" t="s">
        <v>1711</v>
      </c>
      <c r="E2892" s="26" t="s">
        <v>757</v>
      </c>
      <c r="F2892" s="26" t="s">
        <v>1325</v>
      </c>
      <c r="G2892" s="26">
        <f t="shared" si="45"/>
        <v>58620.01</v>
      </c>
    </row>
    <row r="2893" spans="1:7" x14ac:dyDescent="0.2">
      <c r="A2893" s="26">
        <v>149</v>
      </c>
      <c r="B2893" s="26">
        <v>93</v>
      </c>
      <c r="C2893" s="26">
        <v>242</v>
      </c>
      <c r="D2893" s="26" t="s">
        <v>1449</v>
      </c>
      <c r="E2893" s="26">
        <v>57418.39</v>
      </c>
      <c r="F2893" s="26">
        <v>200.00899999999999</v>
      </c>
      <c r="G2893" s="26">
        <f t="shared" si="45"/>
        <v>57418.39</v>
      </c>
    </row>
    <row r="2894" spans="1:7" x14ac:dyDescent="0.2">
      <c r="A2894" s="26">
        <v>148</v>
      </c>
      <c r="B2894" s="26">
        <v>94</v>
      </c>
      <c r="C2894" s="26">
        <v>242</v>
      </c>
      <c r="D2894" s="26" t="s">
        <v>1453</v>
      </c>
      <c r="E2894" s="26">
        <v>54718.39</v>
      </c>
      <c r="F2894" s="26">
        <v>1.86</v>
      </c>
      <c r="G2894" s="26">
        <f t="shared" si="45"/>
        <v>54718.39</v>
      </c>
    </row>
    <row r="2895" spans="1:7" x14ac:dyDescent="0.2">
      <c r="A2895" s="26">
        <v>147</v>
      </c>
      <c r="B2895" s="26">
        <v>95</v>
      </c>
      <c r="C2895" s="26">
        <v>242</v>
      </c>
      <c r="D2895" s="26" t="s">
        <v>1456</v>
      </c>
      <c r="E2895" s="26">
        <v>55469.684999999998</v>
      </c>
      <c r="F2895" s="26">
        <v>1.8320000000000001</v>
      </c>
      <c r="G2895" s="26">
        <f t="shared" si="45"/>
        <v>55469.684999999998</v>
      </c>
    </row>
    <row r="2896" spans="1:7" x14ac:dyDescent="0.2">
      <c r="A2896" s="26">
        <v>146</v>
      </c>
      <c r="B2896" s="26">
        <v>96</v>
      </c>
      <c r="C2896" s="26">
        <v>242</v>
      </c>
      <c r="D2896" s="26" t="s">
        <v>1460</v>
      </c>
      <c r="E2896" s="26">
        <v>54805.218000000001</v>
      </c>
      <c r="F2896" s="26">
        <v>1.835</v>
      </c>
      <c r="G2896" s="26">
        <f t="shared" si="45"/>
        <v>54805.218000000001</v>
      </c>
    </row>
    <row r="2897" spans="1:7" x14ac:dyDescent="0.2">
      <c r="A2897" s="26">
        <v>145</v>
      </c>
      <c r="B2897" s="26">
        <v>97</v>
      </c>
      <c r="C2897" s="26">
        <v>242</v>
      </c>
      <c r="D2897" s="26" t="s">
        <v>1462</v>
      </c>
      <c r="E2897" s="26" t="s">
        <v>758</v>
      </c>
      <c r="F2897" s="26" t="s">
        <v>1478</v>
      </c>
      <c r="G2897" s="26">
        <f t="shared" si="45"/>
        <v>57735.01</v>
      </c>
    </row>
    <row r="2898" spans="1:7" x14ac:dyDescent="0.2">
      <c r="A2898" s="26">
        <v>144</v>
      </c>
      <c r="B2898" s="26">
        <v>98</v>
      </c>
      <c r="C2898" s="26">
        <v>242</v>
      </c>
      <c r="D2898" s="26" t="s">
        <v>1466</v>
      </c>
      <c r="E2898" s="26">
        <v>59337.614000000001</v>
      </c>
      <c r="F2898" s="26">
        <v>36.853999999999999</v>
      </c>
      <c r="G2898" s="26">
        <f t="shared" si="45"/>
        <v>59337.614000000001</v>
      </c>
    </row>
    <row r="2899" spans="1:7" x14ac:dyDescent="0.2">
      <c r="A2899" s="26">
        <v>143</v>
      </c>
      <c r="B2899" s="26">
        <v>99</v>
      </c>
      <c r="C2899" s="26">
        <v>242</v>
      </c>
      <c r="D2899" s="26" t="s">
        <v>1469</v>
      </c>
      <c r="E2899" s="26" t="s">
        <v>759</v>
      </c>
      <c r="F2899" s="26" t="s">
        <v>760</v>
      </c>
      <c r="G2899" s="26">
        <f t="shared" si="45"/>
        <v>64967.01</v>
      </c>
    </row>
    <row r="2900" spans="1:7" x14ac:dyDescent="0.2">
      <c r="A2900" s="26">
        <v>142</v>
      </c>
      <c r="B2900" s="26">
        <v>100</v>
      </c>
      <c r="C2900" s="26">
        <v>242</v>
      </c>
      <c r="D2900" s="26" t="s">
        <v>1472</v>
      </c>
      <c r="E2900" s="26" t="s">
        <v>1473</v>
      </c>
      <c r="F2900" s="26" t="s">
        <v>1723</v>
      </c>
      <c r="G2900" s="26">
        <f t="shared" si="45"/>
        <v>68400.009999999995</v>
      </c>
    </row>
    <row r="2901" spans="1:7" x14ac:dyDescent="0.2">
      <c r="A2901" s="26">
        <v>150</v>
      </c>
      <c r="B2901" s="26">
        <v>93</v>
      </c>
      <c r="C2901" s="26">
        <v>243</v>
      </c>
      <c r="D2901" s="26" t="s">
        <v>1449</v>
      </c>
      <c r="E2901" s="26" t="s">
        <v>761</v>
      </c>
      <c r="F2901" s="26" t="s">
        <v>762</v>
      </c>
      <c r="G2901" s="26">
        <f t="shared" si="45"/>
        <v>59875.01</v>
      </c>
    </row>
    <row r="2902" spans="1:7" x14ac:dyDescent="0.2">
      <c r="A2902" s="26">
        <v>149</v>
      </c>
      <c r="B2902" s="26">
        <v>94</v>
      </c>
      <c r="C2902" s="26">
        <v>243</v>
      </c>
      <c r="D2902" s="26" t="s">
        <v>1453</v>
      </c>
      <c r="E2902" s="26">
        <v>57755.508999999998</v>
      </c>
      <c r="F2902" s="26">
        <v>3.1880000000000002</v>
      </c>
      <c r="G2902" s="26">
        <f t="shared" si="45"/>
        <v>57755.508999999998</v>
      </c>
    </row>
    <row r="2903" spans="1:7" x14ac:dyDescent="0.2">
      <c r="A2903" s="26">
        <v>148</v>
      </c>
      <c r="B2903" s="26">
        <v>95</v>
      </c>
      <c r="C2903" s="26">
        <v>243</v>
      </c>
      <c r="D2903" s="26" t="s">
        <v>1456</v>
      </c>
      <c r="E2903" s="26">
        <v>57176.108999999997</v>
      </c>
      <c r="F2903" s="26">
        <v>2.2930000000000001</v>
      </c>
      <c r="G2903" s="26">
        <f t="shared" si="45"/>
        <v>57176.108999999997</v>
      </c>
    </row>
    <row r="2904" spans="1:7" x14ac:dyDescent="0.2">
      <c r="A2904" s="26">
        <v>147</v>
      </c>
      <c r="B2904" s="26">
        <v>96</v>
      </c>
      <c r="C2904" s="26">
        <v>243</v>
      </c>
      <c r="D2904" s="26" t="s">
        <v>1460</v>
      </c>
      <c r="E2904" s="26">
        <v>57183.593000000001</v>
      </c>
      <c r="F2904" s="26">
        <v>2.0830000000000002</v>
      </c>
      <c r="G2904" s="26">
        <f t="shared" si="45"/>
        <v>57183.593000000001</v>
      </c>
    </row>
    <row r="2905" spans="1:7" x14ac:dyDescent="0.2">
      <c r="A2905" s="26">
        <v>146</v>
      </c>
      <c r="B2905" s="26">
        <v>97</v>
      </c>
      <c r="C2905" s="26">
        <v>243</v>
      </c>
      <c r="D2905" s="26" t="s">
        <v>1462</v>
      </c>
      <c r="E2905" s="26">
        <v>58691.175999999999</v>
      </c>
      <c r="F2905" s="26">
        <v>4.7450000000000001</v>
      </c>
      <c r="G2905" s="26">
        <f t="shared" si="45"/>
        <v>58691.175999999999</v>
      </c>
    </row>
    <row r="2906" spans="1:7" x14ac:dyDescent="0.2">
      <c r="A2906" s="26">
        <v>145</v>
      </c>
      <c r="B2906" s="26">
        <v>98</v>
      </c>
      <c r="C2906" s="26">
        <v>243</v>
      </c>
      <c r="D2906" s="26" t="s">
        <v>1466</v>
      </c>
      <c r="E2906" s="26" t="s">
        <v>763</v>
      </c>
      <c r="F2906" s="26" t="s">
        <v>764</v>
      </c>
      <c r="G2906" s="26">
        <f t="shared" si="45"/>
        <v>60945.01</v>
      </c>
    </row>
    <row r="2907" spans="1:7" x14ac:dyDescent="0.2">
      <c r="A2907" s="26">
        <v>144</v>
      </c>
      <c r="B2907" s="26">
        <v>99</v>
      </c>
      <c r="C2907" s="26">
        <v>243</v>
      </c>
      <c r="D2907" s="26" t="s">
        <v>1469</v>
      </c>
      <c r="E2907" s="26" t="s">
        <v>765</v>
      </c>
      <c r="F2907" s="26" t="s">
        <v>766</v>
      </c>
      <c r="G2907" s="26">
        <f t="shared" si="45"/>
        <v>64783.01</v>
      </c>
    </row>
    <row r="2908" spans="1:7" x14ac:dyDescent="0.2">
      <c r="A2908" s="26">
        <v>143</v>
      </c>
      <c r="B2908" s="26">
        <v>100</v>
      </c>
      <c r="C2908" s="26">
        <v>243</v>
      </c>
      <c r="D2908" s="26" t="s">
        <v>1472</v>
      </c>
      <c r="E2908" s="26" t="s">
        <v>767</v>
      </c>
      <c r="F2908" s="26" t="s">
        <v>636</v>
      </c>
      <c r="G2908" s="26">
        <f t="shared" si="45"/>
        <v>69259.009999999995</v>
      </c>
    </row>
    <row r="2909" spans="1:7" x14ac:dyDescent="0.2">
      <c r="A2909" s="26">
        <v>151</v>
      </c>
      <c r="B2909" s="26">
        <v>93</v>
      </c>
      <c r="C2909" s="26">
        <v>244</v>
      </c>
      <c r="D2909" s="26" t="s">
        <v>1449</v>
      </c>
      <c r="E2909" s="26" t="s">
        <v>1474</v>
      </c>
      <c r="F2909" s="26" t="s">
        <v>1730</v>
      </c>
      <c r="G2909" s="26">
        <f t="shared" si="45"/>
        <v>63202.01</v>
      </c>
    </row>
    <row r="2910" spans="1:7" x14ac:dyDescent="0.2">
      <c r="A2910" s="26">
        <v>150</v>
      </c>
      <c r="B2910" s="26">
        <v>94</v>
      </c>
      <c r="C2910" s="26">
        <v>244</v>
      </c>
      <c r="D2910" s="26" t="s">
        <v>1453</v>
      </c>
      <c r="E2910" s="26">
        <v>59805.555</v>
      </c>
      <c r="F2910" s="26">
        <v>5.0529999999999999</v>
      </c>
      <c r="G2910" s="26">
        <f t="shared" si="45"/>
        <v>59805.555</v>
      </c>
    </row>
    <row r="2911" spans="1:7" x14ac:dyDescent="0.2">
      <c r="A2911" s="26">
        <v>149</v>
      </c>
      <c r="B2911" s="26">
        <v>95</v>
      </c>
      <c r="C2911" s="26">
        <v>244</v>
      </c>
      <c r="D2911" s="26" t="s">
        <v>1456</v>
      </c>
      <c r="E2911" s="26">
        <v>59880.951000000001</v>
      </c>
      <c r="F2911" s="26">
        <v>2.081</v>
      </c>
      <c r="G2911" s="26">
        <f t="shared" si="45"/>
        <v>59880.951000000001</v>
      </c>
    </row>
    <row r="2912" spans="1:7" x14ac:dyDescent="0.2">
      <c r="A2912" s="26">
        <v>148</v>
      </c>
      <c r="B2912" s="26">
        <v>96</v>
      </c>
      <c r="C2912" s="26">
        <v>244</v>
      </c>
      <c r="D2912" s="26" t="s">
        <v>1460</v>
      </c>
      <c r="E2912" s="26">
        <v>58453.650999999998</v>
      </c>
      <c r="F2912" s="26">
        <v>1.825</v>
      </c>
      <c r="G2912" s="26">
        <f t="shared" si="45"/>
        <v>58453.650999999998</v>
      </c>
    </row>
    <row r="2913" spans="1:7" x14ac:dyDescent="0.2">
      <c r="A2913" s="26">
        <v>147</v>
      </c>
      <c r="B2913" s="26">
        <v>97</v>
      </c>
      <c r="C2913" s="26">
        <v>244</v>
      </c>
      <c r="D2913" s="26" t="s">
        <v>1462</v>
      </c>
      <c r="E2913" s="26">
        <v>60715.500999999997</v>
      </c>
      <c r="F2913" s="26">
        <v>14.472</v>
      </c>
      <c r="G2913" s="26">
        <f t="shared" si="45"/>
        <v>60715.500999999997</v>
      </c>
    </row>
    <row r="2914" spans="1:7" x14ac:dyDescent="0.2">
      <c r="A2914" s="26">
        <v>146</v>
      </c>
      <c r="B2914" s="26">
        <v>98</v>
      </c>
      <c r="C2914" s="26">
        <v>244</v>
      </c>
      <c r="D2914" s="26" t="s">
        <v>1466</v>
      </c>
      <c r="E2914" s="26">
        <v>61479.247000000003</v>
      </c>
      <c r="F2914" s="26">
        <v>2.92</v>
      </c>
      <c r="G2914" s="26">
        <f t="shared" si="45"/>
        <v>61479.247000000003</v>
      </c>
    </row>
    <row r="2915" spans="1:7" x14ac:dyDescent="0.2">
      <c r="A2915" s="26">
        <v>145</v>
      </c>
      <c r="B2915" s="26">
        <v>99</v>
      </c>
      <c r="C2915" s="26">
        <v>244</v>
      </c>
      <c r="D2915" s="26" t="s">
        <v>1469</v>
      </c>
      <c r="E2915" s="26" t="s">
        <v>768</v>
      </c>
      <c r="F2915" s="26" t="s">
        <v>769</v>
      </c>
      <c r="G2915" s="26">
        <f t="shared" si="45"/>
        <v>66027.009999999995</v>
      </c>
    </row>
    <row r="2916" spans="1:7" x14ac:dyDescent="0.2">
      <c r="A2916" s="26">
        <v>144</v>
      </c>
      <c r="B2916" s="26">
        <v>100</v>
      </c>
      <c r="C2916" s="26">
        <v>244</v>
      </c>
      <c r="D2916" s="26" t="s">
        <v>1472</v>
      </c>
      <c r="E2916" s="26" t="s">
        <v>770</v>
      </c>
      <c r="F2916" s="26" t="s">
        <v>771</v>
      </c>
      <c r="G2916" s="26">
        <f t="shared" si="45"/>
        <v>69009.009999999995</v>
      </c>
    </row>
    <row r="2917" spans="1:7" x14ac:dyDescent="0.2">
      <c r="A2917" s="26">
        <v>151</v>
      </c>
      <c r="B2917" s="26">
        <v>94</v>
      </c>
      <c r="C2917" s="26">
        <v>245</v>
      </c>
      <c r="D2917" s="26" t="s">
        <v>1453</v>
      </c>
      <c r="E2917" s="26">
        <v>63106.067999999999</v>
      </c>
      <c r="F2917" s="26">
        <v>14.417</v>
      </c>
      <c r="G2917" s="26">
        <f t="shared" si="45"/>
        <v>63106.067999999999</v>
      </c>
    </row>
    <row r="2918" spans="1:7" x14ac:dyDescent="0.2">
      <c r="A2918" s="26">
        <v>150</v>
      </c>
      <c r="B2918" s="26">
        <v>95</v>
      </c>
      <c r="C2918" s="26">
        <v>245</v>
      </c>
      <c r="D2918" s="26" t="s">
        <v>1456</v>
      </c>
      <c r="E2918" s="26">
        <v>61899.745999999999</v>
      </c>
      <c r="F2918" s="26">
        <v>3.4670000000000001</v>
      </c>
      <c r="G2918" s="26">
        <f t="shared" si="45"/>
        <v>61899.745999999999</v>
      </c>
    </row>
    <row r="2919" spans="1:7" x14ac:dyDescent="0.2">
      <c r="A2919" s="26">
        <v>149</v>
      </c>
      <c r="B2919" s="26">
        <v>96</v>
      </c>
      <c r="C2919" s="26">
        <v>245</v>
      </c>
      <c r="D2919" s="26" t="s">
        <v>1460</v>
      </c>
      <c r="E2919" s="26">
        <v>61004.705999999998</v>
      </c>
      <c r="F2919" s="26">
        <v>2.081</v>
      </c>
      <c r="G2919" s="26">
        <f t="shared" si="45"/>
        <v>61004.705999999998</v>
      </c>
    </row>
    <row r="2920" spans="1:7" x14ac:dyDescent="0.2">
      <c r="A2920" s="26">
        <v>148</v>
      </c>
      <c r="B2920" s="26">
        <v>97</v>
      </c>
      <c r="C2920" s="26">
        <v>245</v>
      </c>
      <c r="D2920" s="26" t="s">
        <v>1462</v>
      </c>
      <c r="E2920" s="26">
        <v>61815.447999999997</v>
      </c>
      <c r="F2920" s="26">
        <v>2.306</v>
      </c>
      <c r="G2920" s="26">
        <f t="shared" si="45"/>
        <v>61815.447999999997</v>
      </c>
    </row>
    <row r="2921" spans="1:7" x14ac:dyDescent="0.2">
      <c r="A2921" s="26">
        <v>147</v>
      </c>
      <c r="B2921" s="26">
        <v>98</v>
      </c>
      <c r="C2921" s="26">
        <v>245</v>
      </c>
      <c r="D2921" s="26" t="s">
        <v>1466</v>
      </c>
      <c r="E2921" s="26">
        <v>63386.875</v>
      </c>
      <c r="F2921" s="26">
        <v>2.8559999999999999</v>
      </c>
      <c r="G2921" s="26">
        <f t="shared" si="45"/>
        <v>63386.875</v>
      </c>
    </row>
    <row r="2922" spans="1:7" x14ac:dyDescent="0.2">
      <c r="A2922" s="26">
        <v>146</v>
      </c>
      <c r="B2922" s="26">
        <v>99</v>
      </c>
      <c r="C2922" s="26">
        <v>245</v>
      </c>
      <c r="D2922" s="26" t="s">
        <v>1469</v>
      </c>
      <c r="E2922" s="26" t="s">
        <v>772</v>
      </c>
      <c r="F2922" s="26" t="s">
        <v>1478</v>
      </c>
      <c r="G2922" s="26">
        <f t="shared" si="45"/>
        <v>66438.009999999995</v>
      </c>
    </row>
    <row r="2923" spans="1:7" x14ac:dyDescent="0.2">
      <c r="A2923" s="26">
        <v>145</v>
      </c>
      <c r="B2923" s="26">
        <v>100</v>
      </c>
      <c r="C2923" s="26">
        <v>245</v>
      </c>
      <c r="D2923" s="26" t="s">
        <v>1472</v>
      </c>
      <c r="E2923" s="26" t="s">
        <v>476</v>
      </c>
      <c r="F2923" s="26" t="s">
        <v>477</v>
      </c>
      <c r="G2923" s="26">
        <f t="shared" si="45"/>
        <v>70221.009999999995</v>
      </c>
    </row>
    <row r="2924" spans="1:7" x14ac:dyDescent="0.2">
      <c r="A2924" s="26">
        <v>144</v>
      </c>
      <c r="B2924" s="26">
        <v>101</v>
      </c>
      <c r="C2924" s="26">
        <v>245</v>
      </c>
      <c r="D2924" s="26" t="s">
        <v>1475</v>
      </c>
      <c r="E2924" s="26" t="s">
        <v>478</v>
      </c>
      <c r="F2924" s="26" t="s">
        <v>479</v>
      </c>
      <c r="G2924" s="26">
        <f t="shared" si="45"/>
        <v>75292.009999999995</v>
      </c>
    </row>
    <row r="2925" spans="1:7" x14ac:dyDescent="0.2">
      <c r="A2925" s="26">
        <v>152</v>
      </c>
      <c r="B2925" s="26">
        <v>94</v>
      </c>
      <c r="C2925" s="26">
        <v>246</v>
      </c>
      <c r="D2925" s="26" t="s">
        <v>1453</v>
      </c>
      <c r="E2925" s="26">
        <v>65395.19</v>
      </c>
      <c r="F2925" s="26">
        <v>15.255000000000001</v>
      </c>
      <c r="G2925" s="26">
        <f t="shared" si="45"/>
        <v>65395.19</v>
      </c>
    </row>
    <row r="2926" spans="1:7" x14ac:dyDescent="0.2">
      <c r="A2926" s="26">
        <v>151</v>
      </c>
      <c r="B2926" s="26">
        <v>95</v>
      </c>
      <c r="C2926" s="26">
        <v>246</v>
      </c>
      <c r="D2926" s="26" t="s">
        <v>1456</v>
      </c>
      <c r="E2926" s="26">
        <v>64994.64</v>
      </c>
      <c r="F2926" s="26">
        <v>18.175999999999998</v>
      </c>
      <c r="G2926" s="26">
        <f t="shared" si="45"/>
        <v>64994.64</v>
      </c>
    </row>
    <row r="2927" spans="1:7" x14ac:dyDescent="0.2">
      <c r="A2927" s="26">
        <v>150</v>
      </c>
      <c r="B2927" s="26">
        <v>96</v>
      </c>
      <c r="C2927" s="26">
        <v>246</v>
      </c>
      <c r="D2927" s="26" t="s">
        <v>1460</v>
      </c>
      <c r="E2927" s="26">
        <v>62618.438999999998</v>
      </c>
      <c r="F2927" s="26">
        <v>2.0609999999999999</v>
      </c>
      <c r="G2927" s="26">
        <f t="shared" si="45"/>
        <v>62618.438999999998</v>
      </c>
    </row>
    <row r="2928" spans="1:7" x14ac:dyDescent="0.2">
      <c r="A2928" s="26">
        <v>149</v>
      </c>
      <c r="B2928" s="26">
        <v>97</v>
      </c>
      <c r="C2928" s="26">
        <v>246</v>
      </c>
      <c r="D2928" s="26" t="s">
        <v>1462</v>
      </c>
      <c r="E2928" s="26">
        <v>63968.438999999998</v>
      </c>
      <c r="F2928" s="26">
        <v>60.034999999999997</v>
      </c>
      <c r="G2928" s="26">
        <f t="shared" si="45"/>
        <v>63968.438999999998</v>
      </c>
    </row>
    <row r="2929" spans="1:7" x14ac:dyDescent="0.2">
      <c r="A2929" s="26">
        <v>148</v>
      </c>
      <c r="B2929" s="26">
        <v>98</v>
      </c>
      <c r="C2929" s="26">
        <v>246</v>
      </c>
      <c r="D2929" s="26" t="s">
        <v>1466</v>
      </c>
      <c r="E2929" s="26">
        <v>64091.733</v>
      </c>
      <c r="F2929" s="26">
        <v>2.09</v>
      </c>
      <c r="G2929" s="26">
        <f t="shared" si="45"/>
        <v>64091.733</v>
      </c>
    </row>
    <row r="2930" spans="1:7" x14ac:dyDescent="0.2">
      <c r="A2930" s="26">
        <v>147</v>
      </c>
      <c r="B2930" s="26">
        <v>99</v>
      </c>
      <c r="C2930" s="26">
        <v>246</v>
      </c>
      <c r="D2930" s="26" t="s">
        <v>1469</v>
      </c>
      <c r="E2930" s="26" t="s">
        <v>480</v>
      </c>
      <c r="F2930" s="26" t="s">
        <v>1046</v>
      </c>
      <c r="G2930" s="26">
        <f t="shared" si="45"/>
        <v>67902.009999999995</v>
      </c>
    </row>
    <row r="2931" spans="1:7" x14ac:dyDescent="0.2">
      <c r="A2931" s="26">
        <v>146</v>
      </c>
      <c r="B2931" s="26">
        <v>100</v>
      </c>
      <c r="C2931" s="26">
        <v>246</v>
      </c>
      <c r="D2931" s="26" t="s">
        <v>1472</v>
      </c>
      <c r="E2931" s="26">
        <v>70140.589000000007</v>
      </c>
      <c r="F2931" s="26">
        <v>38.677999999999997</v>
      </c>
      <c r="G2931" s="26">
        <f t="shared" si="45"/>
        <v>70140.589000000007</v>
      </c>
    </row>
    <row r="2932" spans="1:7" x14ac:dyDescent="0.2">
      <c r="A2932" s="26">
        <v>145</v>
      </c>
      <c r="B2932" s="26">
        <v>101</v>
      </c>
      <c r="C2932" s="26">
        <v>246</v>
      </c>
      <c r="D2932" s="26" t="s">
        <v>1475</v>
      </c>
      <c r="E2932" s="26" t="s">
        <v>481</v>
      </c>
      <c r="F2932" s="26" t="s">
        <v>482</v>
      </c>
      <c r="G2932" s="26">
        <f t="shared" si="45"/>
        <v>76276.009999999995</v>
      </c>
    </row>
    <row r="2933" spans="1:7" x14ac:dyDescent="0.2">
      <c r="A2933" s="26">
        <v>153</v>
      </c>
      <c r="B2933" s="26">
        <v>94</v>
      </c>
      <c r="C2933" s="26">
        <v>247</v>
      </c>
      <c r="D2933" s="26" t="s">
        <v>1453</v>
      </c>
      <c r="E2933" s="26" t="s">
        <v>1149</v>
      </c>
      <c r="F2933" s="26" t="s">
        <v>1730</v>
      </c>
      <c r="G2933" s="26">
        <f t="shared" si="45"/>
        <v>68996.009999999995</v>
      </c>
    </row>
    <row r="2934" spans="1:7" x14ac:dyDescent="0.2">
      <c r="A2934" s="26">
        <v>152</v>
      </c>
      <c r="B2934" s="26">
        <v>95</v>
      </c>
      <c r="C2934" s="26">
        <v>247</v>
      </c>
      <c r="D2934" s="26" t="s">
        <v>1456</v>
      </c>
      <c r="E2934" s="26" t="s">
        <v>483</v>
      </c>
      <c r="F2934" s="26" t="s">
        <v>1538</v>
      </c>
      <c r="G2934" s="26">
        <f t="shared" si="45"/>
        <v>67154.009999999995</v>
      </c>
    </row>
    <row r="2935" spans="1:7" x14ac:dyDescent="0.2">
      <c r="A2935" s="26">
        <v>151</v>
      </c>
      <c r="B2935" s="26">
        <v>96</v>
      </c>
      <c r="C2935" s="26">
        <v>247</v>
      </c>
      <c r="D2935" s="26" t="s">
        <v>1460</v>
      </c>
      <c r="E2935" s="26">
        <v>65533.900999999998</v>
      </c>
      <c r="F2935" s="26">
        <v>4.3639999999999999</v>
      </c>
      <c r="G2935" s="26">
        <f t="shared" si="45"/>
        <v>65533.900999999998</v>
      </c>
    </row>
    <row r="2936" spans="1:7" x14ac:dyDescent="0.2">
      <c r="A2936" s="26">
        <v>150</v>
      </c>
      <c r="B2936" s="26">
        <v>97</v>
      </c>
      <c r="C2936" s="26">
        <v>247</v>
      </c>
      <c r="D2936" s="26" t="s">
        <v>1462</v>
      </c>
      <c r="E2936" s="26">
        <v>65490.624000000003</v>
      </c>
      <c r="F2936" s="26">
        <v>5.5010000000000003</v>
      </c>
      <c r="G2936" s="26">
        <f t="shared" si="45"/>
        <v>65490.624000000003</v>
      </c>
    </row>
    <row r="2937" spans="1:7" x14ac:dyDescent="0.2">
      <c r="A2937" s="26">
        <v>149</v>
      </c>
      <c r="B2937" s="26">
        <v>98</v>
      </c>
      <c r="C2937" s="26">
        <v>247</v>
      </c>
      <c r="D2937" s="26" t="s">
        <v>1466</v>
      </c>
      <c r="E2937" s="26">
        <v>66136.623999999996</v>
      </c>
      <c r="F2937" s="26">
        <v>8.14</v>
      </c>
      <c r="G2937" s="26">
        <f t="shared" si="45"/>
        <v>66136.623999999996</v>
      </c>
    </row>
    <row r="2938" spans="1:7" x14ac:dyDescent="0.2">
      <c r="A2938" s="26">
        <v>148</v>
      </c>
      <c r="B2938" s="26">
        <v>99</v>
      </c>
      <c r="C2938" s="26">
        <v>247</v>
      </c>
      <c r="D2938" s="26" t="s">
        <v>1469</v>
      </c>
      <c r="E2938" s="26" t="s">
        <v>484</v>
      </c>
      <c r="F2938" s="26" t="s">
        <v>485</v>
      </c>
      <c r="G2938" s="26">
        <f t="shared" si="45"/>
        <v>68610.009999999995</v>
      </c>
    </row>
    <row r="2939" spans="1:7" x14ac:dyDescent="0.2">
      <c r="A2939" s="26">
        <v>147</v>
      </c>
      <c r="B2939" s="26">
        <v>100</v>
      </c>
      <c r="C2939" s="26">
        <v>247</v>
      </c>
      <c r="D2939" s="26" t="s">
        <v>1472</v>
      </c>
      <c r="E2939" s="26" t="s">
        <v>486</v>
      </c>
      <c r="F2939" s="26" t="s">
        <v>1231</v>
      </c>
      <c r="G2939" s="26">
        <f t="shared" si="45"/>
        <v>71583.009999999995</v>
      </c>
    </row>
    <row r="2940" spans="1:7" x14ac:dyDescent="0.2">
      <c r="A2940" s="26">
        <v>146</v>
      </c>
      <c r="B2940" s="26">
        <v>101</v>
      </c>
      <c r="C2940" s="26">
        <v>247</v>
      </c>
      <c r="D2940" s="26" t="s">
        <v>1475</v>
      </c>
      <c r="E2940" s="26" t="s">
        <v>487</v>
      </c>
      <c r="F2940" s="26" t="s">
        <v>488</v>
      </c>
      <c r="G2940" s="26">
        <f t="shared" si="45"/>
        <v>76043.009999999995</v>
      </c>
    </row>
    <row r="2941" spans="1:7" x14ac:dyDescent="0.2">
      <c r="A2941" s="26">
        <v>153</v>
      </c>
      <c r="B2941" s="26">
        <v>95</v>
      </c>
      <c r="C2941" s="26">
        <v>248</v>
      </c>
      <c r="D2941" s="26" t="s">
        <v>1456</v>
      </c>
      <c r="E2941" s="26" t="s">
        <v>489</v>
      </c>
      <c r="F2941" s="26" t="s">
        <v>1478</v>
      </c>
      <c r="G2941" s="26">
        <f t="shared" si="45"/>
        <v>70562.009999999995</v>
      </c>
    </row>
    <row r="2942" spans="1:7" x14ac:dyDescent="0.2">
      <c r="A2942" s="26">
        <v>152</v>
      </c>
      <c r="B2942" s="26">
        <v>96</v>
      </c>
      <c r="C2942" s="26">
        <v>248</v>
      </c>
      <c r="D2942" s="26" t="s">
        <v>1460</v>
      </c>
      <c r="E2942" s="26">
        <v>67392.202000000005</v>
      </c>
      <c r="F2942" s="26">
        <v>5.0549999999999997</v>
      </c>
      <c r="G2942" s="26">
        <f t="shared" si="45"/>
        <v>67392.202000000005</v>
      </c>
    </row>
    <row r="2943" spans="1:7" x14ac:dyDescent="0.2">
      <c r="A2943" s="26">
        <v>151</v>
      </c>
      <c r="B2943" s="26">
        <v>97</v>
      </c>
      <c r="C2943" s="26">
        <v>248</v>
      </c>
      <c r="D2943" s="26" t="s">
        <v>1462</v>
      </c>
      <c r="E2943" s="26" t="s">
        <v>490</v>
      </c>
      <c r="F2943" s="26" t="s">
        <v>1763</v>
      </c>
      <c r="G2943" s="26">
        <f t="shared" si="45"/>
        <v>68080.009999999995</v>
      </c>
    </row>
    <row r="2944" spans="1:7" x14ac:dyDescent="0.2">
      <c r="A2944" s="26">
        <v>150</v>
      </c>
      <c r="B2944" s="26">
        <v>98</v>
      </c>
      <c r="C2944" s="26">
        <v>248</v>
      </c>
      <c r="D2944" s="26" t="s">
        <v>1466</v>
      </c>
      <c r="E2944" s="26">
        <v>67239.766000000003</v>
      </c>
      <c r="F2944" s="26">
        <v>5.3230000000000004</v>
      </c>
      <c r="G2944" s="26">
        <f t="shared" si="45"/>
        <v>67239.766000000003</v>
      </c>
    </row>
    <row r="2945" spans="1:7" x14ac:dyDescent="0.2">
      <c r="A2945" s="26">
        <v>149</v>
      </c>
      <c r="B2945" s="26">
        <v>99</v>
      </c>
      <c r="C2945" s="26">
        <v>248</v>
      </c>
      <c r="D2945" s="26" t="s">
        <v>1469</v>
      </c>
      <c r="E2945" s="26" t="s">
        <v>491</v>
      </c>
      <c r="F2945" s="26" t="s">
        <v>955</v>
      </c>
      <c r="G2945" s="26">
        <f t="shared" si="45"/>
        <v>70301.009999999995</v>
      </c>
    </row>
    <row r="2946" spans="1:7" x14ac:dyDescent="0.2">
      <c r="A2946" s="26">
        <v>148</v>
      </c>
      <c r="B2946" s="26">
        <v>100</v>
      </c>
      <c r="C2946" s="26">
        <v>248</v>
      </c>
      <c r="D2946" s="26" t="s">
        <v>1472</v>
      </c>
      <c r="E2946" s="26">
        <v>71906.414000000004</v>
      </c>
      <c r="F2946" s="26">
        <v>11.695</v>
      </c>
      <c r="G2946" s="26">
        <f t="shared" si="45"/>
        <v>71906.414000000004</v>
      </c>
    </row>
    <row r="2947" spans="1:7" x14ac:dyDescent="0.2">
      <c r="A2947" s="26">
        <v>147</v>
      </c>
      <c r="B2947" s="26">
        <v>101</v>
      </c>
      <c r="C2947" s="26">
        <v>248</v>
      </c>
      <c r="D2947" s="26" t="s">
        <v>1475</v>
      </c>
      <c r="E2947" s="26" t="s">
        <v>492</v>
      </c>
      <c r="F2947" s="26" t="s">
        <v>493</v>
      </c>
      <c r="G2947" s="26">
        <f t="shared" si="45"/>
        <v>77149.009999999995</v>
      </c>
    </row>
    <row r="2948" spans="1:7" x14ac:dyDescent="0.2">
      <c r="A2948" s="26">
        <v>146</v>
      </c>
      <c r="B2948" s="26">
        <v>102</v>
      </c>
      <c r="C2948" s="26">
        <v>248</v>
      </c>
      <c r="D2948" s="26" t="s">
        <v>1151</v>
      </c>
      <c r="E2948" s="26" t="s">
        <v>494</v>
      </c>
      <c r="F2948" s="26" t="s">
        <v>1334</v>
      </c>
      <c r="G2948" s="26">
        <f t="shared" si="45"/>
        <v>80664.009999999995</v>
      </c>
    </row>
    <row r="2949" spans="1:7" x14ac:dyDescent="0.2">
      <c r="A2949" s="26">
        <v>154</v>
      </c>
      <c r="B2949" s="26">
        <v>95</v>
      </c>
      <c r="C2949" s="26">
        <v>249</v>
      </c>
      <c r="D2949" s="26" t="s">
        <v>1456</v>
      </c>
      <c r="E2949" s="26" t="s">
        <v>1150</v>
      </c>
      <c r="F2949" s="26" t="s">
        <v>1730</v>
      </c>
      <c r="G2949" s="26">
        <f t="shared" si="45"/>
        <v>73104.009999999995</v>
      </c>
    </row>
    <row r="2950" spans="1:7" x14ac:dyDescent="0.2">
      <c r="A2950" s="26">
        <v>153</v>
      </c>
      <c r="B2950" s="26">
        <v>96</v>
      </c>
      <c r="C2950" s="26">
        <v>249</v>
      </c>
      <c r="D2950" s="26" t="s">
        <v>1460</v>
      </c>
      <c r="E2950" s="26">
        <v>70750.149999999994</v>
      </c>
      <c r="F2950" s="26">
        <v>5.0609999999999999</v>
      </c>
      <c r="G2950" s="26">
        <f t="shared" si="45"/>
        <v>70750.149999999994</v>
      </c>
    </row>
    <row r="2951" spans="1:7" x14ac:dyDescent="0.2">
      <c r="A2951" s="26">
        <v>152</v>
      </c>
      <c r="B2951" s="26">
        <v>97</v>
      </c>
      <c r="C2951" s="26">
        <v>249</v>
      </c>
      <c r="D2951" s="26" t="s">
        <v>1462</v>
      </c>
      <c r="E2951" s="26">
        <v>69849.622000000003</v>
      </c>
      <c r="F2951" s="26">
        <v>2.6120000000000001</v>
      </c>
      <c r="G2951" s="26">
        <f t="shared" si="45"/>
        <v>69849.622000000003</v>
      </c>
    </row>
    <row r="2952" spans="1:7" x14ac:dyDescent="0.2">
      <c r="A2952" s="26">
        <v>151</v>
      </c>
      <c r="B2952" s="26">
        <v>98</v>
      </c>
      <c r="C2952" s="26">
        <v>249</v>
      </c>
      <c r="D2952" s="26" t="s">
        <v>1466</v>
      </c>
      <c r="E2952" s="26">
        <v>69725.622000000003</v>
      </c>
      <c r="F2952" s="26">
        <v>2.1949999999999998</v>
      </c>
      <c r="G2952" s="26">
        <f t="shared" si="45"/>
        <v>69725.622000000003</v>
      </c>
    </row>
    <row r="2953" spans="1:7" x14ac:dyDescent="0.2">
      <c r="A2953" s="26">
        <v>150</v>
      </c>
      <c r="B2953" s="26">
        <v>99</v>
      </c>
      <c r="C2953" s="26">
        <v>249</v>
      </c>
      <c r="D2953" s="26" t="s">
        <v>1469</v>
      </c>
      <c r="E2953" s="26" t="s">
        <v>495</v>
      </c>
      <c r="F2953" s="26" t="s">
        <v>485</v>
      </c>
      <c r="G2953" s="26">
        <f t="shared" si="45"/>
        <v>71176.009999999995</v>
      </c>
    </row>
    <row r="2954" spans="1:7" x14ac:dyDescent="0.2">
      <c r="A2954" s="26">
        <v>149</v>
      </c>
      <c r="B2954" s="26">
        <v>100</v>
      </c>
      <c r="C2954" s="26">
        <v>249</v>
      </c>
      <c r="D2954" s="26" t="s">
        <v>1472</v>
      </c>
      <c r="E2954" s="26" t="s">
        <v>496</v>
      </c>
      <c r="F2954" s="26" t="s">
        <v>782</v>
      </c>
      <c r="G2954" s="26">
        <f t="shared" ref="G2954:G3017" si="46">IF(ISNUMBER(E2954),E2954,VALUE(SUBSTITUTE(E2954,"#",".01")))</f>
        <v>73619.009999999995</v>
      </c>
    </row>
    <row r="2955" spans="1:7" x14ac:dyDescent="0.2">
      <c r="A2955" s="26">
        <v>148</v>
      </c>
      <c r="B2955" s="26">
        <v>101</v>
      </c>
      <c r="C2955" s="26">
        <v>249</v>
      </c>
      <c r="D2955" s="26" t="s">
        <v>1475</v>
      </c>
      <c r="E2955" s="26" t="s">
        <v>497</v>
      </c>
      <c r="F2955" s="26" t="s">
        <v>1046</v>
      </c>
      <c r="G2955" s="26">
        <f t="shared" si="46"/>
        <v>77326.009999999995</v>
      </c>
    </row>
    <row r="2956" spans="1:7" x14ac:dyDescent="0.2">
      <c r="A2956" s="26">
        <v>147</v>
      </c>
      <c r="B2956" s="26">
        <v>102</v>
      </c>
      <c r="C2956" s="26">
        <v>249</v>
      </c>
      <c r="D2956" s="26" t="s">
        <v>1151</v>
      </c>
      <c r="E2956" s="26" t="s">
        <v>498</v>
      </c>
      <c r="F2956" s="26" t="s">
        <v>499</v>
      </c>
      <c r="G2956" s="26">
        <f t="shared" si="46"/>
        <v>81816.009999999995</v>
      </c>
    </row>
    <row r="2957" spans="1:7" x14ac:dyDescent="0.2">
      <c r="A2957" s="26">
        <v>154</v>
      </c>
      <c r="B2957" s="26">
        <v>96</v>
      </c>
      <c r="C2957" s="26">
        <v>250</v>
      </c>
      <c r="D2957" s="26" t="s">
        <v>1460</v>
      </c>
      <c r="E2957" s="26">
        <v>72989.038</v>
      </c>
      <c r="F2957" s="26">
        <v>11.205</v>
      </c>
      <c r="G2957" s="26">
        <f t="shared" si="46"/>
        <v>72989.038</v>
      </c>
    </row>
    <row r="2958" spans="1:7" x14ac:dyDescent="0.2">
      <c r="A2958" s="26">
        <v>153</v>
      </c>
      <c r="B2958" s="26">
        <v>97</v>
      </c>
      <c r="C2958" s="26">
        <v>250</v>
      </c>
      <c r="D2958" s="26" t="s">
        <v>1462</v>
      </c>
      <c r="E2958" s="26">
        <v>72951.37</v>
      </c>
      <c r="F2958" s="26">
        <v>3.968</v>
      </c>
      <c r="G2958" s="26">
        <f t="shared" si="46"/>
        <v>72951.37</v>
      </c>
    </row>
    <row r="2959" spans="1:7" x14ac:dyDescent="0.2">
      <c r="A2959" s="26">
        <v>152</v>
      </c>
      <c r="B2959" s="26">
        <v>98</v>
      </c>
      <c r="C2959" s="26">
        <v>250</v>
      </c>
      <c r="D2959" s="26" t="s">
        <v>1466</v>
      </c>
      <c r="E2959" s="26">
        <v>71171.793000000005</v>
      </c>
      <c r="F2959" s="26">
        <v>2.0699999999999998</v>
      </c>
      <c r="G2959" s="26">
        <f t="shared" si="46"/>
        <v>71171.793000000005</v>
      </c>
    </row>
    <row r="2960" spans="1:7" x14ac:dyDescent="0.2">
      <c r="A2960" s="26">
        <v>151</v>
      </c>
      <c r="B2960" s="26">
        <v>99</v>
      </c>
      <c r="C2960" s="26">
        <v>250</v>
      </c>
      <c r="D2960" s="26" t="s">
        <v>1469</v>
      </c>
      <c r="E2960" s="26" t="s">
        <v>500</v>
      </c>
      <c r="F2960" s="26" t="s">
        <v>1538</v>
      </c>
      <c r="G2960" s="26">
        <f t="shared" si="46"/>
        <v>73227.009999999995</v>
      </c>
    </row>
    <row r="2961" spans="1:7" x14ac:dyDescent="0.2">
      <c r="A2961" s="26">
        <v>150</v>
      </c>
      <c r="B2961" s="26">
        <v>100</v>
      </c>
      <c r="C2961" s="26">
        <v>250</v>
      </c>
      <c r="D2961" s="26" t="s">
        <v>1472</v>
      </c>
      <c r="E2961" s="26">
        <v>74073.581000000006</v>
      </c>
      <c r="F2961" s="26">
        <v>11.933</v>
      </c>
      <c r="G2961" s="26">
        <f t="shared" si="46"/>
        <v>74073.581000000006</v>
      </c>
    </row>
    <row r="2962" spans="1:7" x14ac:dyDescent="0.2">
      <c r="A2962" s="26">
        <v>149</v>
      </c>
      <c r="B2962" s="26">
        <v>101</v>
      </c>
      <c r="C2962" s="26">
        <v>250</v>
      </c>
      <c r="D2962" s="26" t="s">
        <v>1475</v>
      </c>
      <c r="E2962" s="26" t="s">
        <v>501</v>
      </c>
      <c r="F2962" s="26" t="s">
        <v>1334</v>
      </c>
      <c r="G2962" s="26">
        <f t="shared" si="46"/>
        <v>78636.009999999995</v>
      </c>
    </row>
    <row r="2963" spans="1:7" x14ac:dyDescent="0.2">
      <c r="A2963" s="26">
        <v>148</v>
      </c>
      <c r="B2963" s="26">
        <v>102</v>
      </c>
      <c r="C2963" s="26">
        <v>250</v>
      </c>
      <c r="D2963" s="26" t="s">
        <v>1151</v>
      </c>
      <c r="E2963" s="26" t="s">
        <v>502</v>
      </c>
      <c r="F2963" s="26" t="s">
        <v>503</v>
      </c>
      <c r="G2963" s="26">
        <f t="shared" si="46"/>
        <v>81516.009999999995</v>
      </c>
    </row>
    <row r="2964" spans="1:7" x14ac:dyDescent="0.2">
      <c r="A2964" s="26">
        <v>155</v>
      </c>
      <c r="B2964" s="26">
        <v>96</v>
      </c>
      <c r="C2964" s="26">
        <v>251</v>
      </c>
      <c r="D2964" s="26" t="s">
        <v>1460</v>
      </c>
      <c r="E2964" s="26">
        <v>76647.616999999998</v>
      </c>
      <c r="F2964" s="26">
        <v>22.803999999999998</v>
      </c>
      <c r="G2964" s="26">
        <f t="shared" si="46"/>
        <v>76647.616999999998</v>
      </c>
    </row>
    <row r="2965" spans="1:7" x14ac:dyDescent="0.2">
      <c r="A2965" s="26">
        <v>154</v>
      </c>
      <c r="B2965" s="26">
        <v>97</v>
      </c>
      <c r="C2965" s="26">
        <v>251</v>
      </c>
      <c r="D2965" s="26" t="s">
        <v>1462</v>
      </c>
      <c r="E2965" s="26">
        <v>75227.616999999998</v>
      </c>
      <c r="F2965" s="26">
        <v>10.956</v>
      </c>
      <c r="G2965" s="26">
        <f t="shared" si="46"/>
        <v>75227.616999999998</v>
      </c>
    </row>
    <row r="2966" spans="1:7" x14ac:dyDescent="0.2">
      <c r="A2966" s="26">
        <v>153</v>
      </c>
      <c r="B2966" s="26">
        <v>98</v>
      </c>
      <c r="C2966" s="26">
        <v>251</v>
      </c>
      <c r="D2966" s="26" t="s">
        <v>1466</v>
      </c>
      <c r="E2966" s="26">
        <v>74134.616999999998</v>
      </c>
      <c r="F2966" s="26">
        <v>4.4770000000000003</v>
      </c>
      <c r="G2966" s="26">
        <f t="shared" si="46"/>
        <v>74134.616999999998</v>
      </c>
    </row>
    <row r="2967" spans="1:7" x14ac:dyDescent="0.2">
      <c r="A2967" s="26">
        <v>152</v>
      </c>
      <c r="B2967" s="26">
        <v>99</v>
      </c>
      <c r="C2967" s="26">
        <v>251</v>
      </c>
      <c r="D2967" s="26" t="s">
        <v>1469</v>
      </c>
      <c r="E2967" s="26">
        <v>74512.202000000005</v>
      </c>
      <c r="F2967" s="26">
        <v>6.0720000000000001</v>
      </c>
      <c r="G2967" s="26">
        <f t="shared" si="46"/>
        <v>74512.202000000005</v>
      </c>
    </row>
    <row r="2968" spans="1:7" x14ac:dyDescent="0.2">
      <c r="A2968" s="26">
        <v>151</v>
      </c>
      <c r="B2968" s="26">
        <v>100</v>
      </c>
      <c r="C2968" s="26">
        <v>251</v>
      </c>
      <c r="D2968" s="26" t="s">
        <v>1472</v>
      </c>
      <c r="E2968" s="26">
        <v>75986.64</v>
      </c>
      <c r="F2968" s="26">
        <v>8.3819999999999997</v>
      </c>
      <c r="G2968" s="26">
        <f t="shared" si="46"/>
        <v>75986.64</v>
      </c>
    </row>
    <row r="2969" spans="1:7" x14ac:dyDescent="0.2">
      <c r="A2969" s="26">
        <v>150</v>
      </c>
      <c r="B2969" s="26">
        <v>101</v>
      </c>
      <c r="C2969" s="26">
        <v>251</v>
      </c>
      <c r="D2969" s="26" t="s">
        <v>1475</v>
      </c>
      <c r="E2969" s="26" t="s">
        <v>504</v>
      </c>
      <c r="F2969" s="26" t="s">
        <v>1485</v>
      </c>
      <c r="G2969" s="26">
        <f t="shared" si="46"/>
        <v>79027.009999999995</v>
      </c>
    </row>
    <row r="2970" spans="1:7" x14ac:dyDescent="0.2">
      <c r="A2970" s="26">
        <v>149</v>
      </c>
      <c r="B2970" s="26">
        <v>102</v>
      </c>
      <c r="C2970" s="26">
        <v>251</v>
      </c>
      <c r="D2970" s="26" t="s">
        <v>1151</v>
      </c>
      <c r="E2970" s="26" t="s">
        <v>505</v>
      </c>
      <c r="F2970" s="26" t="s">
        <v>1442</v>
      </c>
      <c r="G2970" s="26">
        <f t="shared" si="46"/>
        <v>82914.009999999995</v>
      </c>
    </row>
    <row r="2971" spans="1:7" x14ac:dyDescent="0.2">
      <c r="A2971" s="26">
        <v>148</v>
      </c>
      <c r="B2971" s="26">
        <v>103</v>
      </c>
      <c r="C2971" s="26">
        <v>251</v>
      </c>
      <c r="D2971" s="26" t="s">
        <v>1152</v>
      </c>
      <c r="E2971" s="26" t="s">
        <v>1153</v>
      </c>
      <c r="F2971" s="26" t="s">
        <v>1730</v>
      </c>
      <c r="G2971" s="26">
        <f t="shared" si="46"/>
        <v>87896.01</v>
      </c>
    </row>
    <row r="2972" spans="1:7" x14ac:dyDescent="0.2">
      <c r="A2972" s="26">
        <v>156</v>
      </c>
      <c r="B2972" s="26">
        <v>96</v>
      </c>
      <c r="C2972" s="26">
        <v>252</v>
      </c>
      <c r="D2972" s="26" t="s">
        <v>1460</v>
      </c>
      <c r="E2972" s="26" t="s">
        <v>1154</v>
      </c>
      <c r="F2972" s="26" t="s">
        <v>1730</v>
      </c>
      <c r="G2972" s="26">
        <f t="shared" si="46"/>
        <v>79056.009999999995</v>
      </c>
    </row>
    <row r="2973" spans="1:7" x14ac:dyDescent="0.2">
      <c r="A2973" s="26">
        <v>155</v>
      </c>
      <c r="B2973" s="26">
        <v>97</v>
      </c>
      <c r="C2973" s="26">
        <v>252</v>
      </c>
      <c r="D2973" s="26" t="s">
        <v>1462</v>
      </c>
      <c r="E2973" s="26" t="s">
        <v>506</v>
      </c>
      <c r="F2973" s="26" t="s">
        <v>1478</v>
      </c>
      <c r="G2973" s="26">
        <f t="shared" si="46"/>
        <v>78534.009999999995</v>
      </c>
    </row>
    <row r="2974" spans="1:7" x14ac:dyDescent="0.2">
      <c r="A2974" s="26">
        <v>154</v>
      </c>
      <c r="B2974" s="26">
        <v>98</v>
      </c>
      <c r="C2974" s="26">
        <v>252</v>
      </c>
      <c r="D2974" s="26" t="s">
        <v>1466</v>
      </c>
      <c r="E2974" s="26">
        <v>76033.986999999994</v>
      </c>
      <c r="F2974" s="26">
        <v>5.0549999999999997</v>
      </c>
      <c r="G2974" s="26">
        <f t="shared" si="46"/>
        <v>76033.986999999994</v>
      </c>
    </row>
    <row r="2975" spans="1:7" x14ac:dyDescent="0.2">
      <c r="A2975" s="26">
        <v>153</v>
      </c>
      <c r="B2975" s="26">
        <v>99</v>
      </c>
      <c r="C2975" s="26">
        <v>252</v>
      </c>
      <c r="D2975" s="26" t="s">
        <v>1469</v>
      </c>
      <c r="E2975" s="26">
        <v>77293.986999999994</v>
      </c>
      <c r="F2975" s="26">
        <v>50.255000000000003</v>
      </c>
      <c r="G2975" s="26">
        <f t="shared" si="46"/>
        <v>77293.986999999994</v>
      </c>
    </row>
    <row r="2976" spans="1:7" x14ac:dyDescent="0.2">
      <c r="A2976" s="26">
        <v>152</v>
      </c>
      <c r="B2976" s="26">
        <v>100</v>
      </c>
      <c r="C2976" s="26">
        <v>252</v>
      </c>
      <c r="D2976" s="26" t="s">
        <v>1472</v>
      </c>
      <c r="E2976" s="26">
        <v>76817.381999999998</v>
      </c>
      <c r="F2976" s="26">
        <v>5.6859999999999999</v>
      </c>
      <c r="G2976" s="26">
        <f t="shared" si="46"/>
        <v>76817.381999999998</v>
      </c>
    </row>
    <row r="2977" spans="1:7" x14ac:dyDescent="0.2">
      <c r="A2977" s="26">
        <v>151</v>
      </c>
      <c r="B2977" s="26">
        <v>101</v>
      </c>
      <c r="C2977" s="26">
        <v>252</v>
      </c>
      <c r="D2977" s="26" t="s">
        <v>1475</v>
      </c>
      <c r="E2977" s="26" t="s">
        <v>802</v>
      </c>
      <c r="F2977" s="26" t="s">
        <v>1480</v>
      </c>
      <c r="G2977" s="26">
        <f t="shared" si="46"/>
        <v>80630.009999999995</v>
      </c>
    </row>
    <row r="2978" spans="1:7" x14ac:dyDescent="0.2">
      <c r="A2978" s="26">
        <v>150</v>
      </c>
      <c r="B2978" s="26">
        <v>102</v>
      </c>
      <c r="C2978" s="26">
        <v>252</v>
      </c>
      <c r="D2978" s="26" t="s">
        <v>1151</v>
      </c>
      <c r="E2978" s="26">
        <v>82881.096999999994</v>
      </c>
      <c r="F2978" s="26">
        <v>12.993</v>
      </c>
      <c r="G2978" s="26">
        <f t="shared" si="46"/>
        <v>82881.096999999994</v>
      </c>
    </row>
    <row r="2979" spans="1:7" x14ac:dyDescent="0.2">
      <c r="A2979" s="26">
        <v>149</v>
      </c>
      <c r="B2979" s="26">
        <v>103</v>
      </c>
      <c r="C2979" s="26">
        <v>252</v>
      </c>
      <c r="D2979" s="26" t="s">
        <v>1152</v>
      </c>
      <c r="E2979" s="26" t="s">
        <v>803</v>
      </c>
      <c r="F2979" s="26" t="s">
        <v>804</v>
      </c>
      <c r="G2979" s="26">
        <f t="shared" si="46"/>
        <v>88837.01</v>
      </c>
    </row>
    <row r="2980" spans="1:7" x14ac:dyDescent="0.2">
      <c r="A2980" s="26">
        <v>156</v>
      </c>
      <c r="B2980" s="26">
        <v>97</v>
      </c>
      <c r="C2980" s="26">
        <v>253</v>
      </c>
      <c r="D2980" s="26" t="s">
        <v>1462</v>
      </c>
      <c r="E2980" s="26" t="s">
        <v>1155</v>
      </c>
      <c r="F2980" s="26" t="s">
        <v>1320</v>
      </c>
      <c r="G2980" s="26">
        <f t="shared" si="46"/>
        <v>80929.009999999995</v>
      </c>
    </row>
    <row r="2981" spans="1:7" x14ac:dyDescent="0.2">
      <c r="A2981" s="26">
        <v>155</v>
      </c>
      <c r="B2981" s="26">
        <v>98</v>
      </c>
      <c r="C2981" s="26">
        <v>253</v>
      </c>
      <c r="D2981" s="26" t="s">
        <v>1466</v>
      </c>
      <c r="E2981" s="26">
        <v>79301.014999999999</v>
      </c>
      <c r="F2981" s="26">
        <v>6.1740000000000004</v>
      </c>
      <c r="G2981" s="26">
        <f t="shared" si="46"/>
        <v>79301.014999999999</v>
      </c>
    </row>
    <row r="2982" spans="1:7" x14ac:dyDescent="0.2">
      <c r="A2982" s="26">
        <v>154</v>
      </c>
      <c r="B2982" s="26">
        <v>99</v>
      </c>
      <c r="C2982" s="26">
        <v>253</v>
      </c>
      <c r="D2982" s="26" t="s">
        <v>1469</v>
      </c>
      <c r="E2982" s="26">
        <v>79013.697</v>
      </c>
      <c r="F2982" s="26">
        <v>2.6120000000000001</v>
      </c>
      <c r="G2982" s="26">
        <f t="shared" si="46"/>
        <v>79013.697</v>
      </c>
    </row>
    <row r="2983" spans="1:7" x14ac:dyDescent="0.2">
      <c r="A2983" s="26">
        <v>153</v>
      </c>
      <c r="B2983" s="26">
        <v>100</v>
      </c>
      <c r="C2983" s="26">
        <v>253</v>
      </c>
      <c r="D2983" s="26" t="s">
        <v>1472</v>
      </c>
      <c r="E2983" s="26">
        <v>79349.538</v>
      </c>
      <c r="F2983" s="26">
        <v>3.718</v>
      </c>
      <c r="G2983" s="26">
        <f t="shared" si="46"/>
        <v>79349.538</v>
      </c>
    </row>
    <row r="2984" spans="1:7" x14ac:dyDescent="0.2">
      <c r="A2984" s="26">
        <v>152</v>
      </c>
      <c r="B2984" s="26">
        <v>101</v>
      </c>
      <c r="C2984" s="26">
        <v>253</v>
      </c>
      <c r="D2984" s="26" t="s">
        <v>1475</v>
      </c>
      <c r="E2984" s="26" t="s">
        <v>1156</v>
      </c>
      <c r="F2984" s="26" t="s">
        <v>1306</v>
      </c>
      <c r="G2984" s="26">
        <f t="shared" si="46"/>
        <v>81301.009999999995</v>
      </c>
    </row>
    <row r="2985" spans="1:7" x14ac:dyDescent="0.2">
      <c r="A2985" s="26">
        <v>151</v>
      </c>
      <c r="B2985" s="26">
        <v>102</v>
      </c>
      <c r="C2985" s="26">
        <v>253</v>
      </c>
      <c r="D2985" s="26" t="s">
        <v>1151</v>
      </c>
      <c r="E2985" s="26" t="s">
        <v>805</v>
      </c>
      <c r="F2985" s="26" t="s">
        <v>1516</v>
      </c>
      <c r="G2985" s="26">
        <f t="shared" si="46"/>
        <v>84466.01</v>
      </c>
    </row>
    <row r="2986" spans="1:7" x14ac:dyDescent="0.2">
      <c r="A2986" s="26">
        <v>150</v>
      </c>
      <c r="B2986" s="26">
        <v>103</v>
      </c>
      <c r="C2986" s="26">
        <v>253</v>
      </c>
      <c r="D2986" s="26" t="s">
        <v>1152</v>
      </c>
      <c r="E2986" s="26" t="s">
        <v>806</v>
      </c>
      <c r="F2986" s="26" t="s">
        <v>1046</v>
      </c>
      <c r="G2986" s="26">
        <f t="shared" si="46"/>
        <v>88687.01</v>
      </c>
    </row>
    <row r="2987" spans="1:7" x14ac:dyDescent="0.2">
      <c r="A2987" s="26">
        <v>149</v>
      </c>
      <c r="B2987" s="26">
        <v>104</v>
      </c>
      <c r="C2987" s="26">
        <v>253</v>
      </c>
      <c r="D2987" s="26" t="s">
        <v>1162</v>
      </c>
      <c r="E2987" s="26" t="s">
        <v>807</v>
      </c>
      <c r="F2987" s="26" t="s">
        <v>808</v>
      </c>
      <c r="G2987" s="26">
        <f t="shared" si="46"/>
        <v>93791.01</v>
      </c>
    </row>
    <row r="2988" spans="1:7" x14ac:dyDescent="0.2">
      <c r="A2988" s="26">
        <v>157</v>
      </c>
      <c r="B2988" s="26">
        <v>97</v>
      </c>
      <c r="C2988" s="26">
        <v>254</v>
      </c>
      <c r="D2988" s="26" t="s">
        <v>1462</v>
      </c>
      <c r="E2988" s="26" t="s">
        <v>1158</v>
      </c>
      <c r="F2988" s="26" t="s">
        <v>1730</v>
      </c>
      <c r="G2988" s="26">
        <f t="shared" si="46"/>
        <v>84393.01</v>
      </c>
    </row>
    <row r="2989" spans="1:7" x14ac:dyDescent="0.2">
      <c r="A2989" s="26">
        <v>156</v>
      </c>
      <c r="B2989" s="26">
        <v>98</v>
      </c>
      <c r="C2989" s="26">
        <v>254</v>
      </c>
      <c r="D2989" s="26" t="s">
        <v>1466</v>
      </c>
      <c r="E2989" s="26">
        <v>81340.767000000007</v>
      </c>
      <c r="F2989" s="26">
        <v>12.303000000000001</v>
      </c>
      <c r="G2989" s="26">
        <f t="shared" si="46"/>
        <v>81340.767000000007</v>
      </c>
    </row>
    <row r="2990" spans="1:7" x14ac:dyDescent="0.2">
      <c r="A2990" s="26">
        <v>155</v>
      </c>
      <c r="B2990" s="26">
        <v>99</v>
      </c>
      <c r="C2990" s="26">
        <v>254</v>
      </c>
      <c r="D2990" s="26" t="s">
        <v>1469</v>
      </c>
      <c r="E2990" s="26">
        <v>81991.986000000004</v>
      </c>
      <c r="F2990" s="26">
        <v>4.242</v>
      </c>
      <c r="G2990" s="26">
        <f t="shared" si="46"/>
        <v>81991.986000000004</v>
      </c>
    </row>
    <row r="2991" spans="1:7" x14ac:dyDescent="0.2">
      <c r="A2991" s="26">
        <v>154</v>
      </c>
      <c r="B2991" s="26">
        <v>100</v>
      </c>
      <c r="C2991" s="26">
        <v>254</v>
      </c>
      <c r="D2991" s="26" t="s">
        <v>1472</v>
      </c>
      <c r="E2991" s="26">
        <v>80904.186000000002</v>
      </c>
      <c r="F2991" s="26">
        <v>2.7829999999999999</v>
      </c>
      <c r="G2991" s="26">
        <f t="shared" si="46"/>
        <v>80904.186000000002</v>
      </c>
    </row>
    <row r="2992" spans="1:7" x14ac:dyDescent="0.2">
      <c r="A2992" s="26">
        <v>153</v>
      </c>
      <c r="B2992" s="26">
        <v>101</v>
      </c>
      <c r="C2992" s="26">
        <v>254</v>
      </c>
      <c r="D2992" s="26" t="s">
        <v>1475</v>
      </c>
      <c r="E2992" s="26" t="s">
        <v>809</v>
      </c>
      <c r="F2992" s="26" t="s">
        <v>1538</v>
      </c>
      <c r="G2992" s="26">
        <f t="shared" si="46"/>
        <v>83514.009999999995</v>
      </c>
    </row>
    <row r="2993" spans="1:7" x14ac:dyDescent="0.2">
      <c r="A2993" s="26">
        <v>152</v>
      </c>
      <c r="B2993" s="26">
        <v>102</v>
      </c>
      <c r="C2993" s="26">
        <v>254</v>
      </c>
      <c r="D2993" s="26" t="s">
        <v>1151</v>
      </c>
      <c r="E2993" s="26">
        <v>84724.274000000005</v>
      </c>
      <c r="F2993" s="26">
        <v>17.643999999999998</v>
      </c>
      <c r="G2993" s="26">
        <f t="shared" si="46"/>
        <v>84724.274000000005</v>
      </c>
    </row>
    <row r="2994" spans="1:7" x14ac:dyDescent="0.2">
      <c r="A2994" s="26">
        <v>151</v>
      </c>
      <c r="B2994" s="26">
        <v>103</v>
      </c>
      <c r="C2994" s="26">
        <v>254</v>
      </c>
      <c r="D2994" s="26" t="s">
        <v>1152</v>
      </c>
      <c r="E2994" s="26" t="s">
        <v>810</v>
      </c>
      <c r="F2994" s="26" t="s">
        <v>811</v>
      </c>
      <c r="G2994" s="26">
        <f t="shared" si="46"/>
        <v>89847.01</v>
      </c>
    </row>
    <row r="2995" spans="1:7" x14ac:dyDescent="0.2">
      <c r="A2995" s="26">
        <v>150</v>
      </c>
      <c r="B2995" s="26">
        <v>104</v>
      </c>
      <c r="C2995" s="26">
        <v>254</v>
      </c>
      <c r="D2995" s="26" t="s">
        <v>1162</v>
      </c>
      <c r="E2995" s="26" t="s">
        <v>812</v>
      </c>
      <c r="F2995" s="26" t="s">
        <v>813</v>
      </c>
      <c r="G2995" s="26">
        <f t="shared" si="46"/>
        <v>93320.01</v>
      </c>
    </row>
    <row r="2996" spans="1:7" x14ac:dyDescent="0.2">
      <c r="A2996" s="26">
        <v>157</v>
      </c>
      <c r="B2996" s="26">
        <v>98</v>
      </c>
      <c r="C2996" s="26">
        <v>255</v>
      </c>
      <c r="D2996" s="26" t="s">
        <v>1466</v>
      </c>
      <c r="E2996" s="26" t="s">
        <v>814</v>
      </c>
      <c r="F2996" s="26" t="s">
        <v>1478</v>
      </c>
      <c r="G2996" s="26">
        <f t="shared" si="46"/>
        <v>84809.01</v>
      </c>
    </row>
    <row r="2997" spans="1:7" x14ac:dyDescent="0.2">
      <c r="A2997" s="26">
        <v>156</v>
      </c>
      <c r="B2997" s="26">
        <v>99</v>
      </c>
      <c r="C2997" s="26">
        <v>255</v>
      </c>
      <c r="D2997" s="26" t="s">
        <v>1469</v>
      </c>
      <c r="E2997" s="26">
        <v>84088.873000000007</v>
      </c>
      <c r="F2997" s="26">
        <v>11.038</v>
      </c>
      <c r="G2997" s="26">
        <f t="shared" si="46"/>
        <v>84088.873000000007</v>
      </c>
    </row>
    <row r="2998" spans="1:7" x14ac:dyDescent="0.2">
      <c r="A2998" s="26">
        <v>155</v>
      </c>
      <c r="B2998" s="26">
        <v>100</v>
      </c>
      <c r="C2998" s="26">
        <v>255</v>
      </c>
      <c r="D2998" s="26" t="s">
        <v>1472</v>
      </c>
      <c r="E2998" s="26">
        <v>83799.252999999997</v>
      </c>
      <c r="F2998" s="26">
        <v>4.8209999999999997</v>
      </c>
      <c r="G2998" s="26">
        <f t="shared" si="46"/>
        <v>83799.252999999997</v>
      </c>
    </row>
    <row r="2999" spans="1:7" x14ac:dyDescent="0.2">
      <c r="A2999" s="26">
        <v>154</v>
      </c>
      <c r="B2999" s="26">
        <v>101</v>
      </c>
      <c r="C2999" s="26">
        <v>255</v>
      </c>
      <c r="D2999" s="26" t="s">
        <v>1475</v>
      </c>
      <c r="E2999" s="26">
        <v>84842.994000000006</v>
      </c>
      <c r="F2999" s="26">
        <v>6.625</v>
      </c>
      <c r="G2999" s="26">
        <f t="shared" si="46"/>
        <v>84842.994000000006</v>
      </c>
    </row>
    <row r="3000" spans="1:7" x14ac:dyDescent="0.2">
      <c r="A3000" s="26">
        <v>153</v>
      </c>
      <c r="B3000" s="26">
        <v>102</v>
      </c>
      <c r="C3000" s="26">
        <v>255</v>
      </c>
      <c r="D3000" s="26" t="s">
        <v>1151</v>
      </c>
      <c r="E3000" s="26">
        <v>86853.554999999993</v>
      </c>
      <c r="F3000" s="26">
        <v>10.308</v>
      </c>
      <c r="G3000" s="26">
        <f t="shared" si="46"/>
        <v>86853.554999999993</v>
      </c>
    </row>
    <row r="3001" spans="1:7" x14ac:dyDescent="0.2">
      <c r="A3001" s="26">
        <v>152</v>
      </c>
      <c r="B3001" s="26">
        <v>103</v>
      </c>
      <c r="C3001" s="26">
        <v>255</v>
      </c>
      <c r="D3001" s="26" t="s">
        <v>1152</v>
      </c>
      <c r="E3001" s="26" t="s">
        <v>815</v>
      </c>
      <c r="F3001" s="26" t="s">
        <v>1495</v>
      </c>
      <c r="G3001" s="26">
        <f t="shared" si="46"/>
        <v>90057.01</v>
      </c>
    </row>
    <row r="3002" spans="1:7" x14ac:dyDescent="0.2">
      <c r="A3002" s="26">
        <v>151</v>
      </c>
      <c r="B3002" s="26">
        <v>104</v>
      </c>
      <c r="C3002" s="26">
        <v>255</v>
      </c>
      <c r="D3002" s="26" t="s">
        <v>1162</v>
      </c>
      <c r="E3002" s="26" t="s">
        <v>816</v>
      </c>
      <c r="F3002" s="26" t="s">
        <v>1442</v>
      </c>
      <c r="G3002" s="26">
        <f t="shared" si="46"/>
        <v>94397.01</v>
      </c>
    </row>
    <row r="3003" spans="1:7" x14ac:dyDescent="0.2">
      <c r="A3003" s="26">
        <v>150</v>
      </c>
      <c r="B3003" s="26">
        <v>105</v>
      </c>
      <c r="C3003" s="26">
        <v>255</v>
      </c>
      <c r="D3003" s="26" t="s">
        <v>1157</v>
      </c>
      <c r="E3003" s="26" t="s">
        <v>1159</v>
      </c>
      <c r="F3003" s="26" t="s">
        <v>710</v>
      </c>
      <c r="G3003" s="26">
        <f t="shared" si="46"/>
        <v>100041.01</v>
      </c>
    </row>
    <row r="3004" spans="1:7" x14ac:dyDescent="0.2">
      <c r="A3004" s="26">
        <v>158</v>
      </c>
      <c r="B3004" s="26">
        <v>98</v>
      </c>
      <c r="C3004" s="26">
        <v>256</v>
      </c>
      <c r="D3004" s="26" t="s">
        <v>1466</v>
      </c>
      <c r="E3004" s="26" t="s">
        <v>1160</v>
      </c>
      <c r="F3004" s="26" t="s">
        <v>1730</v>
      </c>
      <c r="G3004" s="26">
        <f t="shared" si="46"/>
        <v>87039.01</v>
      </c>
    </row>
    <row r="3005" spans="1:7" x14ac:dyDescent="0.2">
      <c r="A3005" s="26">
        <v>157</v>
      </c>
      <c r="B3005" s="26">
        <v>99</v>
      </c>
      <c r="C3005" s="26">
        <v>256</v>
      </c>
      <c r="D3005" s="26" t="s">
        <v>1469</v>
      </c>
      <c r="E3005" s="26" t="s">
        <v>817</v>
      </c>
      <c r="F3005" s="26" t="s">
        <v>1538</v>
      </c>
      <c r="G3005" s="26">
        <f t="shared" si="46"/>
        <v>87186.01</v>
      </c>
    </row>
    <row r="3006" spans="1:7" x14ac:dyDescent="0.2">
      <c r="A3006" s="26">
        <v>156</v>
      </c>
      <c r="B3006" s="26">
        <v>100</v>
      </c>
      <c r="C3006" s="26">
        <v>256</v>
      </c>
      <c r="D3006" s="26" t="s">
        <v>1472</v>
      </c>
      <c r="E3006" s="26">
        <v>85486.108999999997</v>
      </c>
      <c r="F3006" s="26">
        <v>7.1660000000000004</v>
      </c>
      <c r="G3006" s="26">
        <f t="shared" si="46"/>
        <v>85486.108999999997</v>
      </c>
    </row>
    <row r="3007" spans="1:7" x14ac:dyDescent="0.2">
      <c r="A3007" s="26">
        <v>155</v>
      </c>
      <c r="B3007" s="26">
        <v>101</v>
      </c>
      <c r="C3007" s="26">
        <v>256</v>
      </c>
      <c r="D3007" s="26" t="s">
        <v>1475</v>
      </c>
      <c r="E3007" s="26">
        <v>87615.418000000005</v>
      </c>
      <c r="F3007" s="26">
        <v>52.817999999999998</v>
      </c>
      <c r="G3007" s="26">
        <f t="shared" si="46"/>
        <v>87615.418000000005</v>
      </c>
    </row>
    <row r="3008" spans="1:7" x14ac:dyDescent="0.2">
      <c r="A3008" s="26">
        <v>154</v>
      </c>
      <c r="B3008" s="26">
        <v>102</v>
      </c>
      <c r="C3008" s="26">
        <v>256</v>
      </c>
      <c r="D3008" s="26" t="s">
        <v>1151</v>
      </c>
      <c r="E3008" s="26">
        <v>87823.739000000001</v>
      </c>
      <c r="F3008" s="26">
        <v>7.8769999999999998</v>
      </c>
      <c r="G3008" s="26">
        <f t="shared" si="46"/>
        <v>87823.739000000001</v>
      </c>
    </row>
    <row r="3009" spans="1:7" x14ac:dyDescent="0.2">
      <c r="A3009" s="26">
        <v>153</v>
      </c>
      <c r="B3009" s="26">
        <v>103</v>
      </c>
      <c r="C3009" s="26">
        <v>256</v>
      </c>
      <c r="D3009" s="26" t="s">
        <v>1152</v>
      </c>
      <c r="E3009" s="26" t="s">
        <v>818</v>
      </c>
      <c r="F3009" s="26" t="s">
        <v>819</v>
      </c>
      <c r="G3009" s="26">
        <f t="shared" si="46"/>
        <v>91872.01</v>
      </c>
    </row>
    <row r="3010" spans="1:7" x14ac:dyDescent="0.2">
      <c r="A3010" s="26">
        <v>152</v>
      </c>
      <c r="B3010" s="26">
        <v>104</v>
      </c>
      <c r="C3010" s="26">
        <v>256</v>
      </c>
      <c r="D3010" s="26" t="s">
        <v>1162</v>
      </c>
      <c r="E3010" s="26">
        <v>94235.703999999998</v>
      </c>
      <c r="F3010" s="26">
        <v>24.117000000000001</v>
      </c>
      <c r="G3010" s="26">
        <f t="shared" si="46"/>
        <v>94235.703999999998</v>
      </c>
    </row>
    <row r="3011" spans="1:7" x14ac:dyDescent="0.2">
      <c r="A3011" s="26">
        <v>151</v>
      </c>
      <c r="B3011" s="26">
        <v>105</v>
      </c>
      <c r="C3011" s="26">
        <v>256</v>
      </c>
      <c r="D3011" s="26" t="s">
        <v>1157</v>
      </c>
      <c r="E3011" s="26" t="s">
        <v>820</v>
      </c>
      <c r="F3011" s="26" t="s">
        <v>821</v>
      </c>
      <c r="G3011" s="26">
        <f t="shared" si="46"/>
        <v>100720.01</v>
      </c>
    </row>
    <row r="3012" spans="1:7" x14ac:dyDescent="0.2">
      <c r="A3012" s="26">
        <v>158</v>
      </c>
      <c r="B3012" s="26">
        <v>99</v>
      </c>
      <c r="C3012" s="26">
        <v>257</v>
      </c>
      <c r="D3012" s="26" t="s">
        <v>1469</v>
      </c>
      <c r="E3012" s="26" t="s">
        <v>1161</v>
      </c>
      <c r="F3012" s="26" t="s">
        <v>697</v>
      </c>
      <c r="G3012" s="26">
        <f t="shared" si="46"/>
        <v>89403.01</v>
      </c>
    </row>
    <row r="3013" spans="1:7" x14ac:dyDescent="0.2">
      <c r="A3013" s="26">
        <v>157</v>
      </c>
      <c r="B3013" s="26">
        <v>100</v>
      </c>
      <c r="C3013" s="26">
        <v>257</v>
      </c>
      <c r="D3013" s="26" t="s">
        <v>1472</v>
      </c>
      <c r="E3013" s="26">
        <v>88589.481</v>
      </c>
      <c r="F3013" s="26">
        <v>6.3339999999999996</v>
      </c>
      <c r="G3013" s="26">
        <f t="shared" si="46"/>
        <v>88589.481</v>
      </c>
    </row>
    <row r="3014" spans="1:7" x14ac:dyDescent="0.2">
      <c r="A3014" s="26">
        <v>156</v>
      </c>
      <c r="B3014" s="26">
        <v>101</v>
      </c>
      <c r="C3014" s="26">
        <v>257</v>
      </c>
      <c r="D3014" s="26" t="s">
        <v>1475</v>
      </c>
      <c r="E3014" s="26">
        <v>88996.213000000003</v>
      </c>
      <c r="F3014" s="26">
        <v>2.7970000000000002</v>
      </c>
      <c r="G3014" s="26">
        <f t="shared" si="46"/>
        <v>88996.213000000003</v>
      </c>
    </row>
    <row r="3015" spans="1:7" x14ac:dyDescent="0.2">
      <c r="A3015" s="26">
        <v>155</v>
      </c>
      <c r="B3015" s="26">
        <v>102</v>
      </c>
      <c r="C3015" s="26">
        <v>257</v>
      </c>
      <c r="D3015" s="26" t="s">
        <v>1151</v>
      </c>
      <c r="E3015" s="26">
        <v>90240.521999999997</v>
      </c>
      <c r="F3015" s="26">
        <v>21.7</v>
      </c>
      <c r="G3015" s="26">
        <f t="shared" si="46"/>
        <v>90240.521999999997</v>
      </c>
    </row>
    <row r="3016" spans="1:7" x14ac:dyDescent="0.2">
      <c r="A3016" s="26">
        <v>154</v>
      </c>
      <c r="B3016" s="26">
        <v>103</v>
      </c>
      <c r="C3016" s="26">
        <v>257</v>
      </c>
      <c r="D3016" s="26" t="s">
        <v>1152</v>
      </c>
      <c r="E3016" s="26" t="s">
        <v>822</v>
      </c>
      <c r="F3016" s="26" t="s">
        <v>1336</v>
      </c>
      <c r="G3016" s="26">
        <f t="shared" si="46"/>
        <v>92735.01</v>
      </c>
    </row>
    <row r="3017" spans="1:7" x14ac:dyDescent="0.2">
      <c r="A3017" s="26">
        <v>153</v>
      </c>
      <c r="B3017" s="26">
        <v>104</v>
      </c>
      <c r="C3017" s="26">
        <v>257</v>
      </c>
      <c r="D3017" s="26" t="s">
        <v>1162</v>
      </c>
      <c r="E3017" s="26" t="s">
        <v>823</v>
      </c>
      <c r="F3017" s="26" t="s">
        <v>1506</v>
      </c>
      <c r="G3017" s="26">
        <f t="shared" si="46"/>
        <v>95934.01</v>
      </c>
    </row>
    <row r="3018" spans="1:7" x14ac:dyDescent="0.2">
      <c r="A3018" s="26">
        <v>152</v>
      </c>
      <c r="B3018" s="26">
        <v>105</v>
      </c>
      <c r="C3018" s="26">
        <v>257</v>
      </c>
      <c r="D3018" s="26" t="s">
        <v>1157</v>
      </c>
      <c r="E3018" s="26" t="s">
        <v>824</v>
      </c>
      <c r="F3018" s="26" t="s">
        <v>999</v>
      </c>
      <c r="G3018" s="26">
        <f t="shared" ref="G3018:G3081" si="47">IF(ISNUMBER(E3018),E3018,VALUE(SUBSTITUTE(E3018,"#",".01")))</f>
        <v>100342.01</v>
      </c>
    </row>
    <row r="3019" spans="1:7" x14ac:dyDescent="0.2">
      <c r="A3019" s="26">
        <v>159</v>
      </c>
      <c r="B3019" s="26">
        <v>99</v>
      </c>
      <c r="C3019" s="26">
        <v>258</v>
      </c>
      <c r="D3019" s="26" t="s">
        <v>1469</v>
      </c>
      <c r="E3019" s="26" t="s">
        <v>825</v>
      </c>
      <c r="F3019" s="26" t="s">
        <v>1730</v>
      </c>
      <c r="G3019" s="26">
        <f t="shared" si="47"/>
        <v>92702.01</v>
      </c>
    </row>
    <row r="3020" spans="1:7" x14ac:dyDescent="0.2">
      <c r="A3020" s="26">
        <v>158</v>
      </c>
      <c r="B3020" s="26">
        <v>100</v>
      </c>
      <c r="C3020" s="26">
        <v>258</v>
      </c>
      <c r="D3020" s="26" t="s">
        <v>1472</v>
      </c>
      <c r="E3020" s="26" t="s">
        <v>826</v>
      </c>
      <c r="F3020" s="26" t="s">
        <v>1478</v>
      </c>
      <c r="G3020" s="26">
        <f t="shared" si="47"/>
        <v>90426.01</v>
      </c>
    </row>
    <row r="3021" spans="1:7" x14ac:dyDescent="0.2">
      <c r="A3021" s="26">
        <v>157</v>
      </c>
      <c r="B3021" s="26">
        <v>101</v>
      </c>
      <c r="C3021" s="26">
        <v>258</v>
      </c>
      <c r="D3021" s="26" t="s">
        <v>1475</v>
      </c>
      <c r="E3021" s="26">
        <v>91688.183999999994</v>
      </c>
      <c r="F3021" s="26">
        <v>4.6310000000000002</v>
      </c>
      <c r="G3021" s="26">
        <f t="shared" si="47"/>
        <v>91688.183999999994</v>
      </c>
    </row>
    <row r="3022" spans="1:7" x14ac:dyDescent="0.2">
      <c r="A3022" s="26">
        <v>156</v>
      </c>
      <c r="B3022" s="26">
        <v>102</v>
      </c>
      <c r="C3022" s="26">
        <v>258</v>
      </c>
      <c r="D3022" s="26" t="s">
        <v>1151</v>
      </c>
      <c r="E3022" s="26" t="s">
        <v>827</v>
      </c>
      <c r="F3022" s="26" t="s">
        <v>1478</v>
      </c>
      <c r="G3022" s="26">
        <f t="shared" si="47"/>
        <v>91479.01</v>
      </c>
    </row>
    <row r="3023" spans="1:7" x14ac:dyDescent="0.2">
      <c r="A3023" s="26">
        <v>155</v>
      </c>
      <c r="B3023" s="26">
        <v>103</v>
      </c>
      <c r="C3023" s="26">
        <v>258</v>
      </c>
      <c r="D3023" s="26" t="s">
        <v>1152</v>
      </c>
      <c r="E3023" s="26" t="s">
        <v>828</v>
      </c>
      <c r="F3023" s="26" t="s">
        <v>1516</v>
      </c>
      <c r="G3023" s="26">
        <f t="shared" si="47"/>
        <v>94839.01</v>
      </c>
    </row>
    <row r="3024" spans="1:7" x14ac:dyDescent="0.2">
      <c r="A3024" s="26">
        <v>154</v>
      </c>
      <c r="B3024" s="26">
        <v>104</v>
      </c>
      <c r="C3024" s="26">
        <v>258</v>
      </c>
      <c r="D3024" s="26" t="s">
        <v>1162</v>
      </c>
      <c r="E3024" s="26" t="s">
        <v>829</v>
      </c>
      <c r="F3024" s="26" t="s">
        <v>1325</v>
      </c>
      <c r="G3024" s="26">
        <f t="shared" si="47"/>
        <v>96399.01</v>
      </c>
    </row>
    <row r="3025" spans="1:7" x14ac:dyDescent="0.2">
      <c r="A3025" s="26">
        <v>153</v>
      </c>
      <c r="B3025" s="26">
        <v>105</v>
      </c>
      <c r="C3025" s="26">
        <v>258</v>
      </c>
      <c r="D3025" s="26" t="s">
        <v>1157</v>
      </c>
      <c r="E3025" s="26" t="s">
        <v>830</v>
      </c>
      <c r="F3025" s="26" t="s">
        <v>831</v>
      </c>
      <c r="G3025" s="26">
        <f t="shared" si="47"/>
        <v>101748.01</v>
      </c>
    </row>
    <row r="3026" spans="1:7" x14ac:dyDescent="0.2">
      <c r="A3026" s="26">
        <v>152</v>
      </c>
      <c r="B3026" s="26">
        <v>106</v>
      </c>
      <c r="C3026" s="26">
        <v>258</v>
      </c>
      <c r="D3026" s="26" t="s">
        <v>832</v>
      </c>
      <c r="E3026" s="26" t="s">
        <v>833</v>
      </c>
      <c r="F3026" s="26" t="s">
        <v>834</v>
      </c>
      <c r="G3026" s="26">
        <f t="shared" si="47"/>
        <v>105415.01</v>
      </c>
    </row>
    <row r="3027" spans="1:7" x14ac:dyDescent="0.2">
      <c r="A3027" s="26">
        <v>159</v>
      </c>
      <c r="B3027" s="26">
        <v>100</v>
      </c>
      <c r="C3027" s="26">
        <v>259</v>
      </c>
      <c r="D3027" s="26" t="s">
        <v>1472</v>
      </c>
      <c r="E3027" s="26" t="s">
        <v>835</v>
      </c>
      <c r="F3027" s="26" t="s">
        <v>1048</v>
      </c>
      <c r="G3027" s="26">
        <f t="shared" si="47"/>
        <v>93704.01</v>
      </c>
    </row>
    <row r="3028" spans="1:7" x14ac:dyDescent="0.2">
      <c r="A3028" s="26">
        <v>158</v>
      </c>
      <c r="B3028" s="26">
        <v>101</v>
      </c>
      <c r="C3028" s="26">
        <v>259</v>
      </c>
      <c r="D3028" s="26" t="s">
        <v>1475</v>
      </c>
      <c r="E3028" s="26" t="s">
        <v>836</v>
      </c>
      <c r="F3028" s="26" t="s">
        <v>1478</v>
      </c>
      <c r="G3028" s="26">
        <f t="shared" si="47"/>
        <v>93624.01</v>
      </c>
    </row>
    <row r="3029" spans="1:7" x14ac:dyDescent="0.2">
      <c r="A3029" s="26">
        <v>157</v>
      </c>
      <c r="B3029" s="26">
        <v>102</v>
      </c>
      <c r="C3029" s="26">
        <v>259</v>
      </c>
      <c r="D3029" s="26" t="s">
        <v>1151</v>
      </c>
      <c r="E3029" s="26" t="s">
        <v>837</v>
      </c>
      <c r="F3029" s="26" t="s">
        <v>1538</v>
      </c>
      <c r="G3029" s="26">
        <f t="shared" si="47"/>
        <v>94109.01</v>
      </c>
    </row>
    <row r="3030" spans="1:7" x14ac:dyDescent="0.2">
      <c r="A3030" s="26">
        <v>156</v>
      </c>
      <c r="B3030" s="26">
        <v>103</v>
      </c>
      <c r="C3030" s="26">
        <v>259</v>
      </c>
      <c r="D3030" s="26" t="s">
        <v>1152</v>
      </c>
      <c r="E3030" s="26" t="s">
        <v>838</v>
      </c>
      <c r="F3030" s="26" t="s">
        <v>1763</v>
      </c>
      <c r="G3030" s="26">
        <f t="shared" si="47"/>
        <v>95852.01</v>
      </c>
    </row>
    <row r="3031" spans="1:7" x14ac:dyDescent="0.2">
      <c r="A3031" s="26">
        <v>155</v>
      </c>
      <c r="B3031" s="26">
        <v>104</v>
      </c>
      <c r="C3031" s="26">
        <v>259</v>
      </c>
      <c r="D3031" s="26" t="s">
        <v>1162</v>
      </c>
      <c r="E3031" s="26" t="s">
        <v>839</v>
      </c>
      <c r="F3031" s="26" t="s">
        <v>840</v>
      </c>
      <c r="G3031" s="26">
        <f t="shared" si="47"/>
        <v>98400.01</v>
      </c>
    </row>
    <row r="3032" spans="1:7" x14ac:dyDescent="0.2">
      <c r="A3032" s="26">
        <v>154</v>
      </c>
      <c r="B3032" s="26">
        <v>105</v>
      </c>
      <c r="C3032" s="26">
        <v>259</v>
      </c>
      <c r="D3032" s="26" t="s">
        <v>1157</v>
      </c>
      <c r="E3032" s="26" t="s">
        <v>841</v>
      </c>
      <c r="F3032" s="26" t="s">
        <v>842</v>
      </c>
      <c r="G3032" s="26">
        <f t="shared" si="47"/>
        <v>102101.01</v>
      </c>
    </row>
    <row r="3033" spans="1:7" x14ac:dyDescent="0.2">
      <c r="A3033" s="26">
        <v>153</v>
      </c>
      <c r="B3033" s="26">
        <v>106</v>
      </c>
      <c r="C3033" s="26">
        <v>259</v>
      </c>
      <c r="D3033" s="26" t="s">
        <v>832</v>
      </c>
      <c r="E3033" s="26" t="s">
        <v>843</v>
      </c>
      <c r="F3033" s="26" t="s">
        <v>844</v>
      </c>
      <c r="G3033" s="26">
        <f t="shared" si="47"/>
        <v>106656.01</v>
      </c>
    </row>
    <row r="3034" spans="1:7" x14ac:dyDescent="0.2">
      <c r="A3034" s="26">
        <v>160</v>
      </c>
      <c r="B3034" s="26">
        <v>100</v>
      </c>
      <c r="C3034" s="26">
        <v>260</v>
      </c>
      <c r="D3034" s="26" t="s">
        <v>1472</v>
      </c>
      <c r="E3034" s="26" t="s">
        <v>845</v>
      </c>
      <c r="F3034" s="26" t="s">
        <v>731</v>
      </c>
      <c r="G3034" s="26">
        <f t="shared" si="47"/>
        <v>95644.01</v>
      </c>
    </row>
    <row r="3035" spans="1:7" x14ac:dyDescent="0.2">
      <c r="A3035" s="26">
        <v>159</v>
      </c>
      <c r="B3035" s="26">
        <v>101</v>
      </c>
      <c r="C3035" s="26">
        <v>260</v>
      </c>
      <c r="D3035" s="26" t="s">
        <v>1475</v>
      </c>
      <c r="E3035" s="26" t="s">
        <v>846</v>
      </c>
      <c r="F3035" s="26" t="s">
        <v>847</v>
      </c>
      <c r="G3035" s="26">
        <f t="shared" si="47"/>
        <v>96551.01</v>
      </c>
    </row>
    <row r="3036" spans="1:7" x14ac:dyDescent="0.2">
      <c r="A3036" s="26">
        <v>158</v>
      </c>
      <c r="B3036" s="26">
        <v>102</v>
      </c>
      <c r="C3036" s="26">
        <v>260</v>
      </c>
      <c r="D3036" s="26" t="s">
        <v>1151</v>
      </c>
      <c r="E3036" s="26" t="s">
        <v>540</v>
      </c>
      <c r="F3036" s="26" t="s">
        <v>1478</v>
      </c>
      <c r="G3036" s="26">
        <f t="shared" si="47"/>
        <v>95611.01</v>
      </c>
    </row>
    <row r="3037" spans="1:7" x14ac:dyDescent="0.2">
      <c r="A3037" s="26">
        <v>157</v>
      </c>
      <c r="B3037" s="26">
        <v>103</v>
      </c>
      <c r="C3037" s="26">
        <v>260</v>
      </c>
      <c r="D3037" s="26" t="s">
        <v>1152</v>
      </c>
      <c r="E3037" s="26" t="s">
        <v>541</v>
      </c>
      <c r="F3037" s="26" t="s">
        <v>542</v>
      </c>
      <c r="G3037" s="26">
        <f t="shared" si="47"/>
        <v>98276.01</v>
      </c>
    </row>
    <row r="3038" spans="1:7" x14ac:dyDescent="0.2">
      <c r="A3038" s="26">
        <v>156</v>
      </c>
      <c r="B3038" s="26">
        <v>104</v>
      </c>
      <c r="C3038" s="26">
        <v>260</v>
      </c>
      <c r="D3038" s="26" t="s">
        <v>1162</v>
      </c>
      <c r="E3038" s="26" t="s">
        <v>543</v>
      </c>
      <c r="F3038" s="26" t="s">
        <v>1478</v>
      </c>
      <c r="G3038" s="26">
        <f t="shared" si="47"/>
        <v>99149.01</v>
      </c>
    </row>
    <row r="3039" spans="1:7" x14ac:dyDescent="0.2">
      <c r="A3039" s="26">
        <v>155</v>
      </c>
      <c r="B3039" s="26">
        <v>105</v>
      </c>
      <c r="C3039" s="26">
        <v>260</v>
      </c>
      <c r="D3039" s="26" t="s">
        <v>1157</v>
      </c>
      <c r="E3039" s="26" t="s">
        <v>544</v>
      </c>
      <c r="F3039" s="26" t="s">
        <v>545</v>
      </c>
      <c r="G3039" s="26">
        <f t="shared" si="47"/>
        <v>103676.01</v>
      </c>
    </row>
    <row r="3040" spans="1:7" x14ac:dyDescent="0.2">
      <c r="A3040" s="26">
        <v>154</v>
      </c>
      <c r="B3040" s="26">
        <v>106</v>
      </c>
      <c r="C3040" s="26">
        <v>260</v>
      </c>
      <c r="D3040" s="26" t="s">
        <v>832</v>
      </c>
      <c r="E3040" s="26">
        <v>106583.474</v>
      </c>
      <c r="F3040" s="26">
        <v>38.859000000000002</v>
      </c>
      <c r="G3040" s="26">
        <f t="shared" si="47"/>
        <v>106583.474</v>
      </c>
    </row>
    <row r="3041" spans="1:7" x14ac:dyDescent="0.2">
      <c r="A3041" s="26">
        <v>153</v>
      </c>
      <c r="B3041" s="26">
        <v>107</v>
      </c>
      <c r="C3041" s="26">
        <v>260</v>
      </c>
      <c r="D3041" s="26" t="s">
        <v>1163</v>
      </c>
      <c r="E3041" s="26" t="s">
        <v>546</v>
      </c>
      <c r="F3041" s="26" t="s">
        <v>1490</v>
      </c>
      <c r="G3041" s="26">
        <f t="shared" si="47"/>
        <v>113614.01</v>
      </c>
    </row>
    <row r="3042" spans="1:7" x14ac:dyDescent="0.2">
      <c r="A3042" s="26">
        <v>160</v>
      </c>
      <c r="B3042" s="26">
        <v>101</v>
      </c>
      <c r="C3042" s="26">
        <v>261</v>
      </c>
      <c r="D3042" s="26" t="s">
        <v>1475</v>
      </c>
      <c r="E3042" s="26" t="s">
        <v>547</v>
      </c>
      <c r="F3042" s="26" t="s">
        <v>548</v>
      </c>
      <c r="G3042" s="26">
        <f t="shared" si="47"/>
        <v>98478.01</v>
      </c>
    </row>
    <row r="3043" spans="1:7" x14ac:dyDescent="0.2">
      <c r="A3043" s="26">
        <v>159</v>
      </c>
      <c r="B3043" s="26">
        <v>102</v>
      </c>
      <c r="C3043" s="26">
        <v>261</v>
      </c>
      <c r="D3043" s="26" t="s">
        <v>1151</v>
      </c>
      <c r="E3043" s="26" t="s">
        <v>549</v>
      </c>
      <c r="F3043" s="26" t="s">
        <v>1258</v>
      </c>
      <c r="G3043" s="26">
        <f t="shared" si="47"/>
        <v>98504.01</v>
      </c>
    </row>
    <row r="3044" spans="1:7" x14ac:dyDescent="0.2">
      <c r="A3044" s="26">
        <v>158</v>
      </c>
      <c r="B3044" s="26">
        <v>103</v>
      </c>
      <c r="C3044" s="26">
        <v>261</v>
      </c>
      <c r="D3044" s="26" t="s">
        <v>1152</v>
      </c>
      <c r="E3044" s="26" t="s">
        <v>550</v>
      </c>
      <c r="F3044" s="26" t="s">
        <v>1478</v>
      </c>
      <c r="G3044" s="26">
        <f t="shared" si="47"/>
        <v>99561.01</v>
      </c>
    </row>
    <row r="3045" spans="1:7" x14ac:dyDescent="0.2">
      <c r="A3045" s="26">
        <v>157</v>
      </c>
      <c r="B3045" s="26">
        <v>104</v>
      </c>
      <c r="C3045" s="26">
        <v>261</v>
      </c>
      <c r="D3045" s="26" t="s">
        <v>1162</v>
      </c>
      <c r="E3045" s="26">
        <v>101315.395</v>
      </c>
      <c r="F3045" s="26">
        <v>28.75</v>
      </c>
      <c r="G3045" s="26">
        <f t="shared" si="47"/>
        <v>101315.395</v>
      </c>
    </row>
    <row r="3046" spans="1:7" x14ac:dyDescent="0.2">
      <c r="A3046" s="26">
        <v>156</v>
      </c>
      <c r="B3046" s="26">
        <v>105</v>
      </c>
      <c r="C3046" s="26">
        <v>261</v>
      </c>
      <c r="D3046" s="26" t="s">
        <v>1157</v>
      </c>
      <c r="E3046" s="26" t="s">
        <v>551</v>
      </c>
      <c r="F3046" s="26" t="s">
        <v>545</v>
      </c>
      <c r="G3046" s="26">
        <f t="shared" si="47"/>
        <v>104379.01</v>
      </c>
    </row>
    <row r="3047" spans="1:7" x14ac:dyDescent="0.2">
      <c r="A3047" s="26">
        <v>155</v>
      </c>
      <c r="B3047" s="26">
        <v>106</v>
      </c>
      <c r="C3047" s="26">
        <v>261</v>
      </c>
      <c r="D3047" s="26" t="s">
        <v>832</v>
      </c>
      <c r="E3047" s="26" t="s">
        <v>552</v>
      </c>
      <c r="F3047" s="26" t="s">
        <v>553</v>
      </c>
      <c r="G3047" s="26">
        <f t="shared" si="47"/>
        <v>108162.01</v>
      </c>
    </row>
    <row r="3048" spans="1:7" x14ac:dyDescent="0.2">
      <c r="A3048" s="26">
        <v>154</v>
      </c>
      <c r="B3048" s="26">
        <v>107</v>
      </c>
      <c r="C3048" s="26">
        <v>261</v>
      </c>
      <c r="D3048" s="26" t="s">
        <v>1163</v>
      </c>
      <c r="E3048" s="26" t="s">
        <v>554</v>
      </c>
      <c r="F3048" s="26" t="s">
        <v>776</v>
      </c>
      <c r="G3048" s="26">
        <f t="shared" si="47"/>
        <v>113329.01</v>
      </c>
    </row>
    <row r="3049" spans="1:7" x14ac:dyDescent="0.2">
      <c r="A3049" s="26">
        <v>161</v>
      </c>
      <c r="B3049" s="26">
        <v>101</v>
      </c>
      <c r="C3049" s="26">
        <v>262</v>
      </c>
      <c r="D3049" s="26" t="s">
        <v>1475</v>
      </c>
      <c r="E3049" s="26" t="s">
        <v>555</v>
      </c>
      <c r="F3049" s="26" t="s">
        <v>556</v>
      </c>
      <c r="G3049" s="26">
        <f t="shared" si="47"/>
        <v>101407.01</v>
      </c>
    </row>
    <row r="3050" spans="1:7" x14ac:dyDescent="0.2">
      <c r="A3050" s="26">
        <v>160</v>
      </c>
      <c r="B3050" s="26">
        <v>102</v>
      </c>
      <c r="C3050" s="26">
        <v>262</v>
      </c>
      <c r="D3050" s="26" t="s">
        <v>1151</v>
      </c>
      <c r="E3050" s="26" t="s">
        <v>557</v>
      </c>
      <c r="F3050" s="26" t="s">
        <v>1605</v>
      </c>
      <c r="G3050" s="26">
        <f t="shared" si="47"/>
        <v>99951.01</v>
      </c>
    </row>
    <row r="3051" spans="1:7" x14ac:dyDescent="0.2">
      <c r="A3051" s="26">
        <v>159</v>
      </c>
      <c r="B3051" s="26">
        <v>103</v>
      </c>
      <c r="C3051" s="26">
        <v>262</v>
      </c>
      <c r="D3051" s="26" t="s">
        <v>1152</v>
      </c>
      <c r="E3051" s="26" t="s">
        <v>558</v>
      </c>
      <c r="F3051" s="26" t="s">
        <v>1478</v>
      </c>
      <c r="G3051" s="26">
        <f t="shared" si="47"/>
        <v>102123.01</v>
      </c>
    </row>
    <row r="3052" spans="1:7" x14ac:dyDescent="0.2">
      <c r="A3052" s="26">
        <v>158</v>
      </c>
      <c r="B3052" s="26">
        <v>104</v>
      </c>
      <c r="C3052" s="26">
        <v>262</v>
      </c>
      <c r="D3052" s="26" t="s">
        <v>1162</v>
      </c>
      <c r="E3052" s="26" t="s">
        <v>559</v>
      </c>
      <c r="F3052" s="26" t="s">
        <v>1048</v>
      </c>
      <c r="G3052" s="26">
        <f t="shared" si="47"/>
        <v>102394.01</v>
      </c>
    </row>
    <row r="3053" spans="1:7" x14ac:dyDescent="0.2">
      <c r="A3053" s="26">
        <v>157</v>
      </c>
      <c r="B3053" s="26">
        <v>105</v>
      </c>
      <c r="C3053" s="26">
        <v>262</v>
      </c>
      <c r="D3053" s="26" t="s">
        <v>1157</v>
      </c>
      <c r="E3053" s="26" t="s">
        <v>560</v>
      </c>
      <c r="F3053" s="26" t="s">
        <v>561</v>
      </c>
      <c r="G3053" s="26">
        <f t="shared" si="47"/>
        <v>106269.01</v>
      </c>
    </row>
    <row r="3054" spans="1:7" x14ac:dyDescent="0.2">
      <c r="A3054" s="26">
        <v>156</v>
      </c>
      <c r="B3054" s="26">
        <v>106</v>
      </c>
      <c r="C3054" s="26">
        <v>262</v>
      </c>
      <c r="D3054" s="26" t="s">
        <v>832</v>
      </c>
      <c r="E3054" s="26" t="s">
        <v>562</v>
      </c>
      <c r="F3054" s="26" t="s">
        <v>1048</v>
      </c>
      <c r="G3054" s="26">
        <f t="shared" si="47"/>
        <v>108424.01</v>
      </c>
    </row>
    <row r="3055" spans="1:7" x14ac:dyDescent="0.2">
      <c r="A3055" s="26">
        <v>155</v>
      </c>
      <c r="B3055" s="26">
        <v>107</v>
      </c>
      <c r="C3055" s="26">
        <v>262</v>
      </c>
      <c r="D3055" s="26" t="s">
        <v>1163</v>
      </c>
      <c r="E3055" s="26" t="s">
        <v>563</v>
      </c>
      <c r="F3055" s="26" t="s">
        <v>564</v>
      </c>
      <c r="G3055" s="26">
        <f t="shared" si="47"/>
        <v>114473.01</v>
      </c>
    </row>
    <row r="3056" spans="1:7" x14ac:dyDescent="0.2">
      <c r="A3056" s="26">
        <v>161</v>
      </c>
      <c r="B3056" s="26">
        <v>102</v>
      </c>
      <c r="C3056" s="26">
        <v>263</v>
      </c>
      <c r="D3056" s="26" t="s">
        <v>1151</v>
      </c>
      <c r="E3056" s="26" t="s">
        <v>565</v>
      </c>
      <c r="F3056" s="26" t="s">
        <v>724</v>
      </c>
      <c r="G3056" s="26">
        <f t="shared" si="47"/>
        <v>102979.01</v>
      </c>
    </row>
    <row r="3057" spans="1:7" x14ac:dyDescent="0.2">
      <c r="A3057" s="26">
        <v>160</v>
      </c>
      <c r="B3057" s="26">
        <v>103</v>
      </c>
      <c r="C3057" s="26">
        <v>263</v>
      </c>
      <c r="D3057" s="26" t="s">
        <v>1152</v>
      </c>
      <c r="E3057" s="26" t="s">
        <v>566</v>
      </c>
      <c r="F3057" s="26" t="s">
        <v>1333</v>
      </c>
      <c r="G3057" s="26">
        <f t="shared" si="47"/>
        <v>103669.01</v>
      </c>
    </row>
    <row r="3058" spans="1:7" x14ac:dyDescent="0.2">
      <c r="A3058" s="26">
        <v>159</v>
      </c>
      <c r="B3058" s="26">
        <v>104</v>
      </c>
      <c r="C3058" s="26">
        <v>263</v>
      </c>
      <c r="D3058" s="26" t="s">
        <v>1162</v>
      </c>
      <c r="E3058" s="26" t="s">
        <v>567</v>
      </c>
      <c r="F3058" s="26" t="s">
        <v>568</v>
      </c>
      <c r="G3058" s="26">
        <f t="shared" si="47"/>
        <v>104837.01</v>
      </c>
    </row>
    <row r="3059" spans="1:7" x14ac:dyDescent="0.2">
      <c r="A3059" s="26">
        <v>158</v>
      </c>
      <c r="B3059" s="26">
        <v>105</v>
      </c>
      <c r="C3059" s="26">
        <v>263</v>
      </c>
      <c r="D3059" s="26" t="s">
        <v>1157</v>
      </c>
      <c r="E3059" s="26" t="s">
        <v>569</v>
      </c>
      <c r="F3059" s="26" t="s">
        <v>1769</v>
      </c>
      <c r="G3059" s="26">
        <f t="shared" si="47"/>
        <v>107111.01</v>
      </c>
    </row>
    <row r="3060" spans="1:7" x14ac:dyDescent="0.2">
      <c r="A3060" s="26">
        <v>157</v>
      </c>
      <c r="B3060" s="26">
        <v>106</v>
      </c>
      <c r="C3060" s="26">
        <v>263</v>
      </c>
      <c r="D3060" s="26" t="s">
        <v>832</v>
      </c>
      <c r="E3060" s="26" t="s">
        <v>570</v>
      </c>
      <c r="F3060" s="26" t="s">
        <v>571</v>
      </c>
      <c r="G3060" s="26">
        <f t="shared" si="47"/>
        <v>110216.01</v>
      </c>
    </row>
    <row r="3061" spans="1:7" x14ac:dyDescent="0.2">
      <c r="A3061" s="26">
        <v>156</v>
      </c>
      <c r="B3061" s="26">
        <v>107</v>
      </c>
      <c r="C3061" s="26">
        <v>263</v>
      </c>
      <c r="D3061" s="26" t="s">
        <v>1163</v>
      </c>
      <c r="E3061" s="26" t="s">
        <v>572</v>
      </c>
      <c r="F3061" s="26" t="s">
        <v>573</v>
      </c>
      <c r="G3061" s="26">
        <f t="shared" si="47"/>
        <v>114606.01</v>
      </c>
    </row>
    <row r="3062" spans="1:7" x14ac:dyDescent="0.2">
      <c r="A3062" s="26">
        <v>155</v>
      </c>
      <c r="B3062" s="26">
        <v>108</v>
      </c>
      <c r="C3062" s="26">
        <v>263</v>
      </c>
      <c r="D3062" s="26" t="s">
        <v>574</v>
      </c>
      <c r="E3062" s="26" t="s">
        <v>575</v>
      </c>
      <c r="F3062" s="26" t="s">
        <v>576</v>
      </c>
      <c r="G3062" s="26">
        <f t="shared" si="47"/>
        <v>119751.01</v>
      </c>
    </row>
    <row r="3063" spans="1:7" x14ac:dyDescent="0.2">
      <c r="A3063" s="26">
        <v>162</v>
      </c>
      <c r="B3063" s="26">
        <v>102</v>
      </c>
      <c r="C3063" s="26">
        <v>264</v>
      </c>
      <c r="D3063" s="26" t="s">
        <v>1151</v>
      </c>
      <c r="E3063" s="26" t="s">
        <v>577</v>
      </c>
      <c r="F3063" s="26" t="s">
        <v>717</v>
      </c>
      <c r="G3063" s="26">
        <f t="shared" si="47"/>
        <v>104649.01</v>
      </c>
    </row>
    <row r="3064" spans="1:7" x14ac:dyDescent="0.2">
      <c r="A3064" s="26">
        <v>161</v>
      </c>
      <c r="B3064" s="26">
        <v>103</v>
      </c>
      <c r="C3064" s="26">
        <v>264</v>
      </c>
      <c r="D3064" s="26" t="s">
        <v>1152</v>
      </c>
      <c r="E3064" s="26" t="s">
        <v>578</v>
      </c>
      <c r="F3064" s="26" t="s">
        <v>579</v>
      </c>
      <c r="G3064" s="26">
        <f t="shared" si="47"/>
        <v>106226.01</v>
      </c>
    </row>
    <row r="3065" spans="1:7" x14ac:dyDescent="0.2">
      <c r="A3065" s="26">
        <v>160</v>
      </c>
      <c r="B3065" s="26">
        <v>104</v>
      </c>
      <c r="C3065" s="26">
        <v>264</v>
      </c>
      <c r="D3065" s="26" t="s">
        <v>1162</v>
      </c>
      <c r="E3065" s="26" t="s">
        <v>580</v>
      </c>
      <c r="F3065" s="26" t="s">
        <v>1605</v>
      </c>
      <c r="G3065" s="26">
        <f t="shared" si="47"/>
        <v>106176.01</v>
      </c>
    </row>
    <row r="3066" spans="1:7" x14ac:dyDescent="0.2">
      <c r="A3066" s="26">
        <v>159</v>
      </c>
      <c r="B3066" s="26">
        <v>105</v>
      </c>
      <c r="C3066" s="26">
        <v>264</v>
      </c>
      <c r="D3066" s="26" t="s">
        <v>1157</v>
      </c>
      <c r="E3066" s="26" t="s">
        <v>581</v>
      </c>
      <c r="F3066" s="26" t="s">
        <v>545</v>
      </c>
      <c r="G3066" s="26">
        <f t="shared" si="47"/>
        <v>109361.01</v>
      </c>
    </row>
    <row r="3067" spans="1:7" x14ac:dyDescent="0.2">
      <c r="A3067" s="26">
        <v>158</v>
      </c>
      <c r="B3067" s="26">
        <v>106</v>
      </c>
      <c r="C3067" s="26">
        <v>264</v>
      </c>
      <c r="D3067" s="26" t="s">
        <v>832</v>
      </c>
      <c r="E3067" s="26" t="s">
        <v>582</v>
      </c>
      <c r="F3067" s="26" t="s">
        <v>1048</v>
      </c>
      <c r="G3067" s="26">
        <f t="shared" si="47"/>
        <v>110784.01</v>
      </c>
    </row>
    <row r="3068" spans="1:7" x14ac:dyDescent="0.2">
      <c r="A3068" s="26">
        <v>157</v>
      </c>
      <c r="B3068" s="26">
        <v>107</v>
      </c>
      <c r="C3068" s="26">
        <v>264</v>
      </c>
      <c r="D3068" s="26" t="s">
        <v>1163</v>
      </c>
      <c r="E3068" s="26" t="s">
        <v>583</v>
      </c>
      <c r="F3068" s="26" t="s">
        <v>584</v>
      </c>
      <c r="G3068" s="26">
        <f t="shared" si="47"/>
        <v>116068.01</v>
      </c>
    </row>
    <row r="3069" spans="1:7" x14ac:dyDescent="0.2">
      <c r="A3069" s="26">
        <v>156</v>
      </c>
      <c r="B3069" s="26">
        <v>108</v>
      </c>
      <c r="C3069" s="26">
        <v>264</v>
      </c>
      <c r="D3069" s="26" t="s">
        <v>574</v>
      </c>
      <c r="E3069" s="26">
        <v>119599.06600000001</v>
      </c>
      <c r="F3069" s="26">
        <v>43.845999999999997</v>
      </c>
      <c r="G3069" s="26">
        <f t="shared" si="47"/>
        <v>119599.06600000001</v>
      </c>
    </row>
    <row r="3070" spans="1:7" x14ac:dyDescent="0.2">
      <c r="A3070" s="26">
        <v>162</v>
      </c>
      <c r="B3070" s="26">
        <v>103</v>
      </c>
      <c r="C3070" s="26">
        <v>265</v>
      </c>
      <c r="D3070" s="26" t="s">
        <v>1152</v>
      </c>
      <c r="E3070" s="26" t="s">
        <v>889</v>
      </c>
      <c r="F3070" s="26" t="s">
        <v>890</v>
      </c>
      <c r="G3070" s="26">
        <f t="shared" si="47"/>
        <v>107903.01</v>
      </c>
    </row>
    <row r="3071" spans="1:7" x14ac:dyDescent="0.2">
      <c r="A3071" s="26">
        <v>161</v>
      </c>
      <c r="B3071" s="26">
        <v>104</v>
      </c>
      <c r="C3071" s="26">
        <v>265</v>
      </c>
      <c r="D3071" s="26" t="s">
        <v>1162</v>
      </c>
      <c r="E3071" s="26" t="s">
        <v>891</v>
      </c>
      <c r="F3071" s="26" t="s">
        <v>892</v>
      </c>
      <c r="G3071" s="26">
        <f t="shared" si="47"/>
        <v>108709.01</v>
      </c>
    </row>
    <row r="3072" spans="1:7" x14ac:dyDescent="0.2">
      <c r="A3072" s="26">
        <v>160</v>
      </c>
      <c r="B3072" s="26">
        <v>105</v>
      </c>
      <c r="C3072" s="26">
        <v>265</v>
      </c>
      <c r="D3072" s="26" t="s">
        <v>1157</v>
      </c>
      <c r="E3072" s="26" t="s">
        <v>893</v>
      </c>
      <c r="F3072" s="26" t="s">
        <v>1048</v>
      </c>
      <c r="G3072" s="26">
        <f t="shared" si="47"/>
        <v>110476.01</v>
      </c>
    </row>
    <row r="3073" spans="1:7" x14ac:dyDescent="0.2">
      <c r="A3073" s="26">
        <v>159</v>
      </c>
      <c r="B3073" s="26">
        <v>106</v>
      </c>
      <c r="C3073" s="26">
        <v>265</v>
      </c>
      <c r="D3073" s="26" t="s">
        <v>832</v>
      </c>
      <c r="E3073" s="26">
        <v>112817.611</v>
      </c>
      <c r="F3073" s="26">
        <v>57.676000000000002</v>
      </c>
      <c r="G3073" s="26">
        <f t="shared" si="47"/>
        <v>112817.611</v>
      </c>
    </row>
    <row r="3074" spans="1:7" x14ac:dyDescent="0.2">
      <c r="A3074" s="26">
        <v>158</v>
      </c>
      <c r="B3074" s="26">
        <v>107</v>
      </c>
      <c r="C3074" s="26">
        <v>265</v>
      </c>
      <c r="D3074" s="26" t="s">
        <v>1163</v>
      </c>
      <c r="E3074" s="26" t="s">
        <v>894</v>
      </c>
      <c r="F3074" s="26" t="s">
        <v>895</v>
      </c>
      <c r="G3074" s="26">
        <f t="shared" si="47"/>
        <v>116574.01</v>
      </c>
    </row>
    <row r="3075" spans="1:7" x14ac:dyDescent="0.2">
      <c r="A3075" s="26">
        <v>157</v>
      </c>
      <c r="B3075" s="26">
        <v>108</v>
      </c>
      <c r="C3075" s="26">
        <v>265</v>
      </c>
      <c r="D3075" s="26" t="s">
        <v>574</v>
      </c>
      <c r="E3075" s="26" t="s">
        <v>896</v>
      </c>
      <c r="F3075" s="26" t="s">
        <v>897</v>
      </c>
      <c r="G3075" s="26">
        <f t="shared" si="47"/>
        <v>121173.01</v>
      </c>
    </row>
    <row r="3076" spans="1:7" x14ac:dyDescent="0.2">
      <c r="A3076" s="26">
        <v>156</v>
      </c>
      <c r="B3076" s="26">
        <v>109</v>
      </c>
      <c r="C3076" s="26">
        <v>265</v>
      </c>
      <c r="D3076" s="26" t="s">
        <v>1164</v>
      </c>
      <c r="E3076" s="26" t="s">
        <v>898</v>
      </c>
      <c r="F3076" s="26" t="s">
        <v>899</v>
      </c>
      <c r="G3076" s="26">
        <f t="shared" si="47"/>
        <v>126824.01</v>
      </c>
    </row>
    <row r="3077" spans="1:7" x14ac:dyDescent="0.2">
      <c r="A3077" s="26">
        <v>163</v>
      </c>
      <c r="B3077" s="26">
        <v>103</v>
      </c>
      <c r="C3077" s="26">
        <v>266</v>
      </c>
      <c r="D3077" s="26" t="s">
        <v>1152</v>
      </c>
      <c r="E3077" s="26" t="s">
        <v>900</v>
      </c>
      <c r="F3077" s="26" t="s">
        <v>901</v>
      </c>
      <c r="G3077" s="26">
        <f t="shared" si="47"/>
        <v>111132.01</v>
      </c>
    </row>
    <row r="3078" spans="1:7" x14ac:dyDescent="0.2">
      <c r="A3078" s="26">
        <v>162</v>
      </c>
      <c r="B3078" s="26">
        <v>104</v>
      </c>
      <c r="C3078" s="26">
        <v>266</v>
      </c>
      <c r="D3078" s="26" t="s">
        <v>1162</v>
      </c>
      <c r="E3078" s="26" t="s">
        <v>902</v>
      </c>
      <c r="F3078" s="26" t="s">
        <v>1330</v>
      </c>
      <c r="G3078" s="26">
        <f t="shared" si="47"/>
        <v>109876.01</v>
      </c>
    </row>
    <row r="3079" spans="1:7" x14ac:dyDescent="0.2">
      <c r="A3079" s="26">
        <v>161</v>
      </c>
      <c r="B3079" s="26">
        <v>105</v>
      </c>
      <c r="C3079" s="26">
        <v>266</v>
      </c>
      <c r="D3079" s="26" t="s">
        <v>1157</v>
      </c>
      <c r="E3079" s="26" t="s">
        <v>903</v>
      </c>
      <c r="F3079" s="26" t="s">
        <v>1333</v>
      </c>
      <c r="G3079" s="26">
        <f t="shared" si="47"/>
        <v>112738.01</v>
      </c>
    </row>
    <row r="3080" spans="1:7" x14ac:dyDescent="0.2">
      <c r="A3080" s="26">
        <v>160</v>
      </c>
      <c r="B3080" s="26">
        <v>106</v>
      </c>
      <c r="C3080" s="26">
        <v>266</v>
      </c>
      <c r="D3080" s="26" t="s">
        <v>832</v>
      </c>
      <c r="E3080" s="26" t="s">
        <v>904</v>
      </c>
      <c r="F3080" s="26" t="s">
        <v>813</v>
      </c>
      <c r="G3080" s="26">
        <f t="shared" si="47"/>
        <v>113703.01</v>
      </c>
    </row>
    <row r="3081" spans="1:7" x14ac:dyDescent="0.2">
      <c r="A3081" s="26">
        <v>159</v>
      </c>
      <c r="B3081" s="26">
        <v>107</v>
      </c>
      <c r="C3081" s="26">
        <v>266</v>
      </c>
      <c r="D3081" s="26" t="s">
        <v>1163</v>
      </c>
      <c r="E3081" s="26" t="s">
        <v>905</v>
      </c>
      <c r="F3081" s="26" t="s">
        <v>1325</v>
      </c>
      <c r="G3081" s="26">
        <f t="shared" si="47"/>
        <v>118246.01</v>
      </c>
    </row>
    <row r="3082" spans="1:7" x14ac:dyDescent="0.2">
      <c r="A3082" s="26">
        <v>158</v>
      </c>
      <c r="B3082" s="26">
        <v>108</v>
      </c>
      <c r="C3082" s="26">
        <v>266</v>
      </c>
      <c r="D3082" s="26" t="s">
        <v>574</v>
      </c>
      <c r="E3082" s="26" t="s">
        <v>906</v>
      </c>
      <c r="F3082" s="26" t="s">
        <v>771</v>
      </c>
      <c r="G3082" s="26">
        <f t="shared" ref="G3082:G3145" si="48">IF(ISNUMBER(E3082),E3082,VALUE(SUBSTITUTE(E3082,"#",".01")))</f>
        <v>121185.01</v>
      </c>
    </row>
    <row r="3083" spans="1:7" x14ac:dyDescent="0.2">
      <c r="A3083" s="26">
        <v>157</v>
      </c>
      <c r="B3083" s="26">
        <v>109</v>
      </c>
      <c r="C3083" s="26">
        <v>266</v>
      </c>
      <c r="D3083" s="26" t="s">
        <v>1164</v>
      </c>
      <c r="E3083" s="26" t="s">
        <v>907</v>
      </c>
      <c r="F3083" s="26" t="s">
        <v>564</v>
      </c>
      <c r="G3083" s="26">
        <f t="shared" si="48"/>
        <v>127893.01</v>
      </c>
    </row>
    <row r="3084" spans="1:7" x14ac:dyDescent="0.2">
      <c r="A3084" s="26">
        <v>163</v>
      </c>
      <c r="B3084" s="26">
        <v>104</v>
      </c>
      <c r="C3084" s="26">
        <v>267</v>
      </c>
      <c r="D3084" s="26" t="s">
        <v>1162</v>
      </c>
      <c r="E3084" s="26" t="s">
        <v>908</v>
      </c>
      <c r="F3084" s="26" t="s">
        <v>909</v>
      </c>
      <c r="G3084" s="26">
        <f t="shared" si="48"/>
        <v>113204.01</v>
      </c>
    </row>
    <row r="3085" spans="1:7" x14ac:dyDescent="0.2">
      <c r="A3085" s="26">
        <v>162</v>
      </c>
      <c r="B3085" s="26">
        <v>105</v>
      </c>
      <c r="C3085" s="26">
        <v>267</v>
      </c>
      <c r="D3085" s="26" t="s">
        <v>1157</v>
      </c>
      <c r="E3085" s="26" t="s">
        <v>910</v>
      </c>
      <c r="F3085" s="26" t="s">
        <v>597</v>
      </c>
      <c r="G3085" s="26">
        <f t="shared" si="48"/>
        <v>113994.01</v>
      </c>
    </row>
    <row r="3086" spans="1:7" x14ac:dyDescent="0.2">
      <c r="A3086" s="26">
        <v>161</v>
      </c>
      <c r="B3086" s="26">
        <v>106</v>
      </c>
      <c r="C3086" s="26">
        <v>267</v>
      </c>
      <c r="D3086" s="26" t="s">
        <v>832</v>
      </c>
      <c r="E3086" s="26" t="s">
        <v>598</v>
      </c>
      <c r="F3086" s="26" t="s">
        <v>599</v>
      </c>
      <c r="G3086" s="26">
        <f t="shared" si="48"/>
        <v>115901.01</v>
      </c>
    </row>
    <row r="3087" spans="1:7" x14ac:dyDescent="0.2">
      <c r="A3087" s="26">
        <v>160</v>
      </c>
      <c r="B3087" s="26">
        <v>107</v>
      </c>
      <c r="C3087" s="26">
        <v>267</v>
      </c>
      <c r="D3087" s="26" t="s">
        <v>1163</v>
      </c>
      <c r="E3087" s="26" t="s">
        <v>600</v>
      </c>
      <c r="F3087" s="26" t="s">
        <v>601</v>
      </c>
      <c r="G3087" s="26">
        <f t="shared" si="48"/>
        <v>118906.01</v>
      </c>
    </row>
    <row r="3088" spans="1:7" x14ac:dyDescent="0.2">
      <c r="A3088" s="26">
        <v>159</v>
      </c>
      <c r="B3088" s="26">
        <v>108</v>
      </c>
      <c r="C3088" s="26">
        <v>267</v>
      </c>
      <c r="D3088" s="26" t="s">
        <v>574</v>
      </c>
      <c r="E3088" s="26" t="s">
        <v>602</v>
      </c>
      <c r="F3088" s="26" t="s">
        <v>1506</v>
      </c>
      <c r="G3088" s="26">
        <f t="shared" si="48"/>
        <v>122761.01</v>
      </c>
    </row>
    <row r="3089" spans="1:7" x14ac:dyDescent="0.2">
      <c r="A3089" s="26">
        <v>158</v>
      </c>
      <c r="B3089" s="26">
        <v>109</v>
      </c>
      <c r="C3089" s="26">
        <v>267</v>
      </c>
      <c r="D3089" s="26" t="s">
        <v>1164</v>
      </c>
      <c r="E3089" s="26" t="s">
        <v>603</v>
      </c>
      <c r="F3089" s="26" t="s">
        <v>604</v>
      </c>
      <c r="G3089" s="26">
        <f t="shared" si="48"/>
        <v>127901.01</v>
      </c>
    </row>
    <row r="3090" spans="1:7" x14ac:dyDescent="0.2">
      <c r="A3090" s="26">
        <v>157</v>
      </c>
      <c r="B3090" s="26">
        <v>110</v>
      </c>
      <c r="C3090" s="26">
        <v>267</v>
      </c>
      <c r="D3090" s="26" t="s">
        <v>605</v>
      </c>
      <c r="E3090" s="26" t="s">
        <v>606</v>
      </c>
      <c r="F3090" s="26" t="s">
        <v>607</v>
      </c>
      <c r="G3090" s="26">
        <f t="shared" si="48"/>
        <v>134453.01</v>
      </c>
    </row>
    <row r="3091" spans="1:7" x14ac:dyDescent="0.2">
      <c r="A3091" s="26">
        <v>164</v>
      </c>
      <c r="B3091" s="26">
        <v>104</v>
      </c>
      <c r="C3091" s="26">
        <v>268</v>
      </c>
      <c r="D3091" s="26" t="s">
        <v>1162</v>
      </c>
      <c r="E3091" s="26" t="s">
        <v>608</v>
      </c>
      <c r="F3091" s="26" t="s">
        <v>609</v>
      </c>
      <c r="G3091" s="26">
        <f t="shared" si="48"/>
        <v>115174.01</v>
      </c>
    </row>
    <row r="3092" spans="1:7" x14ac:dyDescent="0.2">
      <c r="A3092" s="26">
        <v>163</v>
      </c>
      <c r="B3092" s="26">
        <v>105</v>
      </c>
      <c r="C3092" s="26">
        <v>268</v>
      </c>
      <c r="D3092" s="26" t="s">
        <v>1157</v>
      </c>
      <c r="E3092" s="26" t="s">
        <v>610</v>
      </c>
      <c r="F3092" s="26" t="s">
        <v>611</v>
      </c>
      <c r="G3092" s="26">
        <f t="shared" si="48"/>
        <v>116851.01</v>
      </c>
    </row>
    <row r="3093" spans="1:7" x14ac:dyDescent="0.2">
      <c r="A3093" s="26">
        <v>162</v>
      </c>
      <c r="B3093" s="26">
        <v>106</v>
      </c>
      <c r="C3093" s="26">
        <v>268</v>
      </c>
      <c r="D3093" s="26" t="s">
        <v>832</v>
      </c>
      <c r="E3093" s="26" t="s">
        <v>612</v>
      </c>
      <c r="F3093" s="26" t="s">
        <v>1330</v>
      </c>
      <c r="G3093" s="26">
        <f t="shared" si="48"/>
        <v>117001.01</v>
      </c>
    </row>
    <row r="3094" spans="1:7" x14ac:dyDescent="0.2">
      <c r="A3094" s="26">
        <v>161</v>
      </c>
      <c r="B3094" s="26">
        <v>107</v>
      </c>
      <c r="C3094" s="26">
        <v>268</v>
      </c>
      <c r="D3094" s="26" t="s">
        <v>1163</v>
      </c>
      <c r="E3094" s="26" t="s">
        <v>351</v>
      </c>
      <c r="F3094" s="26" t="s">
        <v>352</v>
      </c>
      <c r="G3094" s="26">
        <f t="shared" si="48"/>
        <v>120866.01</v>
      </c>
    </row>
    <row r="3095" spans="1:7" x14ac:dyDescent="0.2">
      <c r="A3095" s="26">
        <v>160</v>
      </c>
      <c r="B3095" s="26">
        <v>108</v>
      </c>
      <c r="C3095" s="26">
        <v>268</v>
      </c>
      <c r="D3095" s="26" t="s">
        <v>574</v>
      </c>
      <c r="E3095" s="26" t="s">
        <v>353</v>
      </c>
      <c r="F3095" s="26" t="s">
        <v>354</v>
      </c>
      <c r="G3095" s="26">
        <f t="shared" si="48"/>
        <v>123108.01</v>
      </c>
    </row>
    <row r="3096" spans="1:7" x14ac:dyDescent="0.2">
      <c r="A3096" s="26">
        <v>159</v>
      </c>
      <c r="B3096" s="26">
        <v>109</v>
      </c>
      <c r="C3096" s="26">
        <v>268</v>
      </c>
      <c r="D3096" s="26" t="s">
        <v>1164</v>
      </c>
      <c r="E3096" s="26" t="s">
        <v>355</v>
      </c>
      <c r="F3096" s="26" t="s">
        <v>1202</v>
      </c>
      <c r="G3096" s="26">
        <f t="shared" si="48"/>
        <v>129224.01</v>
      </c>
    </row>
    <row r="3097" spans="1:7" x14ac:dyDescent="0.2">
      <c r="A3097" s="26">
        <v>158</v>
      </c>
      <c r="B3097" s="26">
        <v>110</v>
      </c>
      <c r="C3097" s="26">
        <v>268</v>
      </c>
      <c r="D3097" s="26" t="s">
        <v>605</v>
      </c>
      <c r="E3097" s="26" t="s">
        <v>356</v>
      </c>
      <c r="F3097" s="26" t="s">
        <v>357</v>
      </c>
      <c r="G3097" s="26">
        <f t="shared" si="48"/>
        <v>133944.01</v>
      </c>
    </row>
    <row r="3098" spans="1:7" x14ac:dyDescent="0.2">
      <c r="A3098" s="26">
        <v>164</v>
      </c>
      <c r="B3098" s="26">
        <v>105</v>
      </c>
      <c r="C3098" s="26">
        <v>269</v>
      </c>
      <c r="D3098" s="26" t="s">
        <v>1157</v>
      </c>
      <c r="E3098" s="26" t="s">
        <v>358</v>
      </c>
      <c r="F3098" s="26" t="s">
        <v>359</v>
      </c>
      <c r="G3098" s="26">
        <f t="shared" si="48"/>
        <v>118728.01</v>
      </c>
    </row>
    <row r="3099" spans="1:7" x14ac:dyDescent="0.2">
      <c r="A3099" s="26">
        <v>163</v>
      </c>
      <c r="B3099" s="26">
        <v>106</v>
      </c>
      <c r="C3099" s="26">
        <v>269</v>
      </c>
      <c r="D3099" s="26" t="s">
        <v>832</v>
      </c>
      <c r="E3099" s="26" t="s">
        <v>360</v>
      </c>
      <c r="F3099" s="26" t="s">
        <v>361</v>
      </c>
      <c r="G3099" s="26">
        <f t="shared" si="48"/>
        <v>119934.01</v>
      </c>
    </row>
    <row r="3100" spans="1:7" x14ac:dyDescent="0.2">
      <c r="A3100" s="26">
        <v>162</v>
      </c>
      <c r="B3100" s="26">
        <v>107</v>
      </c>
      <c r="C3100" s="26">
        <v>269</v>
      </c>
      <c r="D3100" s="26" t="s">
        <v>1163</v>
      </c>
      <c r="E3100" s="26" t="s">
        <v>362</v>
      </c>
      <c r="F3100" s="26" t="s">
        <v>354</v>
      </c>
      <c r="G3100" s="26">
        <f t="shared" si="48"/>
        <v>121741.01</v>
      </c>
    </row>
    <row r="3101" spans="1:7" x14ac:dyDescent="0.2">
      <c r="A3101" s="26">
        <v>161</v>
      </c>
      <c r="B3101" s="26">
        <v>108</v>
      </c>
      <c r="C3101" s="26">
        <v>269</v>
      </c>
      <c r="D3101" s="26" t="s">
        <v>574</v>
      </c>
      <c r="E3101" s="26" t="s">
        <v>363</v>
      </c>
      <c r="F3101" s="26" t="s">
        <v>364</v>
      </c>
      <c r="G3101" s="26">
        <f t="shared" si="48"/>
        <v>124872.01</v>
      </c>
    </row>
    <row r="3102" spans="1:7" x14ac:dyDescent="0.2">
      <c r="A3102" s="26">
        <v>160</v>
      </c>
      <c r="B3102" s="26">
        <v>109</v>
      </c>
      <c r="C3102" s="26">
        <v>269</v>
      </c>
      <c r="D3102" s="26" t="s">
        <v>1164</v>
      </c>
      <c r="E3102" s="26" t="s">
        <v>365</v>
      </c>
      <c r="F3102" s="26" t="s">
        <v>366</v>
      </c>
      <c r="G3102" s="26">
        <f t="shared" si="48"/>
        <v>129529.01</v>
      </c>
    </row>
    <row r="3103" spans="1:7" x14ac:dyDescent="0.2">
      <c r="A3103" s="26">
        <v>159</v>
      </c>
      <c r="B3103" s="26">
        <v>110</v>
      </c>
      <c r="C3103" s="26">
        <v>269</v>
      </c>
      <c r="D3103" s="26" t="s">
        <v>605</v>
      </c>
      <c r="E3103" s="26" t="s">
        <v>367</v>
      </c>
      <c r="F3103" s="26" t="s">
        <v>368</v>
      </c>
      <c r="G3103" s="26">
        <f t="shared" si="48"/>
        <v>135183.01</v>
      </c>
    </row>
    <row r="3104" spans="1:7" x14ac:dyDescent="0.2">
      <c r="A3104" s="26">
        <v>165</v>
      </c>
      <c r="B3104" s="26">
        <v>105</v>
      </c>
      <c r="C3104" s="26">
        <v>270</v>
      </c>
      <c r="D3104" s="26" t="s">
        <v>1157</v>
      </c>
      <c r="E3104" s="26" t="s">
        <v>369</v>
      </c>
      <c r="F3104" s="26" t="s">
        <v>370</v>
      </c>
      <c r="G3104" s="26">
        <f t="shared" si="48"/>
        <v>121757.01</v>
      </c>
    </row>
    <row r="3105" spans="1:7" x14ac:dyDescent="0.2">
      <c r="A3105" s="26">
        <v>164</v>
      </c>
      <c r="B3105" s="26">
        <v>106</v>
      </c>
      <c r="C3105" s="26">
        <v>270</v>
      </c>
      <c r="D3105" s="26" t="s">
        <v>832</v>
      </c>
      <c r="E3105" s="26" t="s">
        <v>371</v>
      </c>
      <c r="F3105" s="26" t="s">
        <v>372</v>
      </c>
      <c r="G3105" s="26">
        <f t="shared" si="48"/>
        <v>121400.01</v>
      </c>
    </row>
    <row r="3106" spans="1:7" x14ac:dyDescent="0.2">
      <c r="A3106" s="26">
        <v>163</v>
      </c>
      <c r="B3106" s="26">
        <v>107</v>
      </c>
      <c r="C3106" s="26">
        <v>270</v>
      </c>
      <c r="D3106" s="26" t="s">
        <v>1163</v>
      </c>
      <c r="E3106" s="26" t="s">
        <v>373</v>
      </c>
      <c r="F3106" s="26" t="s">
        <v>597</v>
      </c>
      <c r="G3106" s="26">
        <f t="shared" si="48"/>
        <v>124463.01</v>
      </c>
    </row>
    <row r="3107" spans="1:7" x14ac:dyDescent="0.2">
      <c r="A3107" s="26">
        <v>162</v>
      </c>
      <c r="B3107" s="26">
        <v>108</v>
      </c>
      <c r="C3107" s="26">
        <v>270</v>
      </c>
      <c r="D3107" s="26" t="s">
        <v>574</v>
      </c>
      <c r="E3107" s="26" t="s">
        <v>374</v>
      </c>
      <c r="F3107" s="26" t="s">
        <v>375</v>
      </c>
      <c r="G3107" s="26">
        <f t="shared" si="48"/>
        <v>125426.01</v>
      </c>
    </row>
    <row r="3108" spans="1:7" x14ac:dyDescent="0.2">
      <c r="A3108" s="26">
        <v>161</v>
      </c>
      <c r="B3108" s="26">
        <v>109</v>
      </c>
      <c r="C3108" s="26">
        <v>270</v>
      </c>
      <c r="D3108" s="26" t="s">
        <v>1164</v>
      </c>
      <c r="E3108" s="26" t="s">
        <v>376</v>
      </c>
      <c r="F3108" s="26" t="s">
        <v>1330</v>
      </c>
      <c r="G3108" s="26">
        <f t="shared" si="48"/>
        <v>131021.01</v>
      </c>
    </row>
    <row r="3109" spans="1:7" x14ac:dyDescent="0.2">
      <c r="A3109" s="26">
        <v>160</v>
      </c>
      <c r="B3109" s="26">
        <v>110</v>
      </c>
      <c r="C3109" s="26">
        <v>270</v>
      </c>
      <c r="D3109" s="26" t="s">
        <v>605</v>
      </c>
      <c r="E3109" s="26" t="s">
        <v>377</v>
      </c>
      <c r="F3109" s="26" t="s">
        <v>378</v>
      </c>
      <c r="G3109" s="26">
        <f t="shared" si="48"/>
        <v>134806.01</v>
      </c>
    </row>
    <row r="3110" spans="1:7" x14ac:dyDescent="0.2">
      <c r="A3110" s="26">
        <v>165</v>
      </c>
      <c r="B3110" s="26">
        <v>106</v>
      </c>
      <c r="C3110" s="26">
        <v>271</v>
      </c>
      <c r="D3110" s="26" t="s">
        <v>832</v>
      </c>
      <c r="E3110" s="26" t="s">
        <v>379</v>
      </c>
      <c r="F3110" s="26" t="s">
        <v>1339</v>
      </c>
      <c r="G3110" s="26">
        <f t="shared" si="48"/>
        <v>124329.01</v>
      </c>
    </row>
    <row r="3111" spans="1:7" x14ac:dyDescent="0.2">
      <c r="A3111" s="26">
        <v>164</v>
      </c>
      <c r="B3111" s="26">
        <v>107</v>
      </c>
      <c r="C3111" s="26">
        <v>271</v>
      </c>
      <c r="D3111" s="26" t="s">
        <v>1163</v>
      </c>
      <c r="E3111" s="26" t="s">
        <v>380</v>
      </c>
      <c r="F3111" s="26" t="s">
        <v>381</v>
      </c>
      <c r="G3111" s="26">
        <f t="shared" si="48"/>
        <v>125919.01</v>
      </c>
    </row>
    <row r="3112" spans="1:7" x14ac:dyDescent="0.2">
      <c r="A3112" s="26">
        <v>163</v>
      </c>
      <c r="B3112" s="26">
        <v>108</v>
      </c>
      <c r="C3112" s="26">
        <v>271</v>
      </c>
      <c r="D3112" s="26" t="s">
        <v>574</v>
      </c>
      <c r="E3112" s="26" t="s">
        <v>643</v>
      </c>
      <c r="F3112" s="26" t="s">
        <v>644</v>
      </c>
      <c r="G3112" s="26">
        <f t="shared" si="48"/>
        <v>128226.01</v>
      </c>
    </row>
    <row r="3113" spans="1:7" x14ac:dyDescent="0.2">
      <c r="A3113" s="26">
        <v>162</v>
      </c>
      <c r="B3113" s="26">
        <v>109</v>
      </c>
      <c r="C3113" s="26">
        <v>271</v>
      </c>
      <c r="D3113" s="26" t="s">
        <v>1164</v>
      </c>
      <c r="E3113" s="26" t="s">
        <v>645</v>
      </c>
      <c r="F3113" s="26" t="s">
        <v>646</v>
      </c>
      <c r="G3113" s="26">
        <f t="shared" si="48"/>
        <v>131470.01</v>
      </c>
    </row>
    <row r="3114" spans="1:7" x14ac:dyDescent="0.2">
      <c r="A3114" s="26">
        <v>161</v>
      </c>
      <c r="B3114" s="26">
        <v>110</v>
      </c>
      <c r="C3114" s="26">
        <v>271</v>
      </c>
      <c r="D3114" s="26" t="s">
        <v>605</v>
      </c>
      <c r="E3114" s="26" t="s">
        <v>647</v>
      </c>
      <c r="F3114" s="26" t="s">
        <v>1273</v>
      </c>
      <c r="G3114" s="26">
        <f t="shared" si="48"/>
        <v>136056.01</v>
      </c>
    </row>
    <row r="3115" spans="1:7" x14ac:dyDescent="0.2">
      <c r="A3115" s="26">
        <v>166</v>
      </c>
      <c r="B3115" s="26">
        <v>106</v>
      </c>
      <c r="C3115" s="26">
        <v>272</v>
      </c>
      <c r="D3115" s="26" t="s">
        <v>832</v>
      </c>
      <c r="E3115" s="26" t="s">
        <v>648</v>
      </c>
      <c r="F3115" s="26" t="s">
        <v>649</v>
      </c>
      <c r="G3115" s="26">
        <f t="shared" si="48"/>
        <v>125898.01</v>
      </c>
    </row>
    <row r="3116" spans="1:7" x14ac:dyDescent="0.2">
      <c r="A3116" s="26">
        <v>165</v>
      </c>
      <c r="B3116" s="26">
        <v>107</v>
      </c>
      <c r="C3116" s="26">
        <v>272</v>
      </c>
      <c r="D3116" s="26" t="s">
        <v>1163</v>
      </c>
      <c r="E3116" s="26" t="s">
        <v>650</v>
      </c>
      <c r="F3116" s="26" t="s">
        <v>651</v>
      </c>
      <c r="G3116" s="26">
        <f t="shared" si="48"/>
        <v>128576.01</v>
      </c>
    </row>
    <row r="3117" spans="1:7" x14ac:dyDescent="0.2">
      <c r="A3117" s="26">
        <v>164</v>
      </c>
      <c r="B3117" s="26">
        <v>108</v>
      </c>
      <c r="C3117" s="26">
        <v>272</v>
      </c>
      <c r="D3117" s="26" t="s">
        <v>574</v>
      </c>
      <c r="E3117" s="26" t="s">
        <v>652</v>
      </c>
      <c r="F3117" s="26" t="s">
        <v>909</v>
      </c>
      <c r="G3117" s="26">
        <f t="shared" si="48"/>
        <v>129526.01</v>
      </c>
    </row>
    <row r="3118" spans="1:7" x14ac:dyDescent="0.2">
      <c r="A3118" s="26">
        <v>163</v>
      </c>
      <c r="B3118" s="26">
        <v>109</v>
      </c>
      <c r="C3118" s="26">
        <v>272</v>
      </c>
      <c r="D3118" s="26" t="s">
        <v>1164</v>
      </c>
      <c r="E3118" s="26" t="s">
        <v>653</v>
      </c>
      <c r="F3118" s="26" t="s">
        <v>1260</v>
      </c>
      <c r="G3118" s="26">
        <f t="shared" si="48"/>
        <v>133891.01</v>
      </c>
    </row>
    <row r="3119" spans="1:7" x14ac:dyDescent="0.2">
      <c r="A3119" s="26">
        <v>162</v>
      </c>
      <c r="B3119" s="26">
        <v>110</v>
      </c>
      <c r="C3119" s="26">
        <v>272</v>
      </c>
      <c r="D3119" s="26" t="s">
        <v>605</v>
      </c>
      <c r="E3119" s="26" t="s">
        <v>654</v>
      </c>
      <c r="F3119" s="26" t="s">
        <v>1339</v>
      </c>
      <c r="G3119" s="26">
        <f t="shared" si="48"/>
        <v>136293.01</v>
      </c>
    </row>
    <row r="3120" spans="1:7" x14ac:dyDescent="0.2">
      <c r="A3120" s="26">
        <v>161</v>
      </c>
      <c r="B3120" s="26">
        <v>111</v>
      </c>
      <c r="C3120" s="26">
        <v>272</v>
      </c>
      <c r="D3120" s="26" t="s">
        <v>655</v>
      </c>
      <c r="E3120" s="26" t="s">
        <v>656</v>
      </c>
      <c r="F3120" s="26" t="s">
        <v>657</v>
      </c>
      <c r="G3120" s="26">
        <f t="shared" si="48"/>
        <v>143091.01</v>
      </c>
    </row>
    <row r="3121" spans="1:7" x14ac:dyDescent="0.2">
      <c r="A3121" s="26">
        <v>167</v>
      </c>
      <c r="B3121" s="26">
        <v>106</v>
      </c>
      <c r="C3121" s="26">
        <v>273</v>
      </c>
      <c r="D3121" s="26" t="s">
        <v>832</v>
      </c>
      <c r="E3121" s="26" t="s">
        <v>658</v>
      </c>
      <c r="F3121" s="26" t="s">
        <v>659</v>
      </c>
      <c r="G3121" s="26">
        <f t="shared" si="48"/>
        <v>128751.01</v>
      </c>
    </row>
    <row r="3122" spans="1:7" x14ac:dyDescent="0.2">
      <c r="A3122" s="26">
        <v>166</v>
      </c>
      <c r="B3122" s="26">
        <v>107</v>
      </c>
      <c r="C3122" s="26">
        <v>273</v>
      </c>
      <c r="D3122" s="26" t="s">
        <v>1163</v>
      </c>
      <c r="E3122" s="26" t="s">
        <v>660</v>
      </c>
      <c r="F3122" s="26" t="s">
        <v>661</v>
      </c>
      <c r="G3122" s="26">
        <f t="shared" si="48"/>
        <v>130053.01</v>
      </c>
    </row>
    <row r="3123" spans="1:7" x14ac:dyDescent="0.2">
      <c r="A3123" s="26">
        <v>165</v>
      </c>
      <c r="B3123" s="26">
        <v>108</v>
      </c>
      <c r="C3123" s="26">
        <v>273</v>
      </c>
      <c r="D3123" s="26" t="s">
        <v>574</v>
      </c>
      <c r="E3123" s="26" t="s">
        <v>662</v>
      </c>
      <c r="F3123" s="26" t="s">
        <v>663</v>
      </c>
      <c r="G3123" s="26">
        <f t="shared" si="48"/>
        <v>132259.01</v>
      </c>
    </row>
    <row r="3124" spans="1:7" x14ac:dyDescent="0.2">
      <c r="A3124" s="26">
        <v>164</v>
      </c>
      <c r="B3124" s="26">
        <v>109</v>
      </c>
      <c r="C3124" s="26">
        <v>273</v>
      </c>
      <c r="D3124" s="26" t="s">
        <v>1164</v>
      </c>
      <c r="E3124" s="26" t="s">
        <v>664</v>
      </c>
      <c r="F3124" s="26" t="s">
        <v>665</v>
      </c>
      <c r="G3124" s="26">
        <f t="shared" si="48"/>
        <v>134986.01</v>
      </c>
    </row>
    <row r="3125" spans="1:7" x14ac:dyDescent="0.2">
      <c r="A3125" s="26">
        <v>163</v>
      </c>
      <c r="B3125" s="26">
        <v>110</v>
      </c>
      <c r="C3125" s="26">
        <v>273</v>
      </c>
      <c r="D3125" s="26" t="s">
        <v>605</v>
      </c>
      <c r="E3125" s="26" t="s">
        <v>666</v>
      </c>
      <c r="F3125" s="26" t="s">
        <v>667</v>
      </c>
      <c r="G3125" s="26">
        <f t="shared" si="48"/>
        <v>138665.01</v>
      </c>
    </row>
    <row r="3126" spans="1:7" x14ac:dyDescent="0.2">
      <c r="A3126" s="26">
        <v>162</v>
      </c>
      <c r="B3126" s="26">
        <v>111</v>
      </c>
      <c r="C3126" s="26">
        <v>273</v>
      </c>
      <c r="D3126" s="26" t="s">
        <v>655</v>
      </c>
      <c r="E3126" s="26" t="s">
        <v>668</v>
      </c>
      <c r="F3126" s="26" t="s">
        <v>669</v>
      </c>
      <c r="G3126" s="26">
        <f t="shared" si="48"/>
        <v>143154.01</v>
      </c>
    </row>
    <row r="3127" spans="1:7" x14ac:dyDescent="0.2">
      <c r="A3127" s="26">
        <v>167</v>
      </c>
      <c r="B3127" s="26">
        <v>107</v>
      </c>
      <c r="C3127" s="26">
        <v>274</v>
      </c>
      <c r="D3127" s="26" t="s">
        <v>1163</v>
      </c>
      <c r="E3127" s="26" t="s">
        <v>670</v>
      </c>
      <c r="F3127" s="26" t="s">
        <v>671</v>
      </c>
      <c r="G3127" s="26">
        <f t="shared" si="48"/>
        <v>132682.01</v>
      </c>
    </row>
    <row r="3128" spans="1:7" x14ac:dyDescent="0.2">
      <c r="A3128" s="26">
        <v>166</v>
      </c>
      <c r="B3128" s="26">
        <v>108</v>
      </c>
      <c r="C3128" s="26">
        <v>274</v>
      </c>
      <c r="D3128" s="26" t="s">
        <v>574</v>
      </c>
      <c r="E3128" s="26" t="s">
        <v>672</v>
      </c>
      <c r="F3128" s="26" t="s">
        <v>1339</v>
      </c>
      <c r="G3128" s="26">
        <f t="shared" si="48"/>
        <v>133325.01</v>
      </c>
    </row>
    <row r="3129" spans="1:7" x14ac:dyDescent="0.2">
      <c r="A3129" s="26">
        <v>165</v>
      </c>
      <c r="B3129" s="26">
        <v>109</v>
      </c>
      <c r="C3129" s="26">
        <v>274</v>
      </c>
      <c r="D3129" s="26" t="s">
        <v>1164</v>
      </c>
      <c r="E3129" s="26" t="s">
        <v>673</v>
      </c>
      <c r="F3129" s="26" t="s">
        <v>381</v>
      </c>
      <c r="G3129" s="26">
        <f t="shared" si="48"/>
        <v>137388.01</v>
      </c>
    </row>
    <row r="3130" spans="1:7" x14ac:dyDescent="0.2">
      <c r="A3130" s="26">
        <v>164</v>
      </c>
      <c r="B3130" s="26">
        <v>110</v>
      </c>
      <c r="C3130" s="26">
        <v>274</v>
      </c>
      <c r="D3130" s="26" t="s">
        <v>605</v>
      </c>
      <c r="E3130" s="26" t="s">
        <v>674</v>
      </c>
      <c r="F3130" s="26" t="s">
        <v>675</v>
      </c>
      <c r="G3130" s="26">
        <f t="shared" si="48"/>
        <v>139251.01</v>
      </c>
    </row>
    <row r="3131" spans="1:7" x14ac:dyDescent="0.2">
      <c r="A3131" s="26">
        <v>163</v>
      </c>
      <c r="B3131" s="26">
        <v>111</v>
      </c>
      <c r="C3131" s="26">
        <v>274</v>
      </c>
      <c r="D3131" s="26" t="s">
        <v>655</v>
      </c>
      <c r="E3131" s="26" t="s">
        <v>676</v>
      </c>
      <c r="F3131" s="26" t="s">
        <v>372</v>
      </c>
      <c r="G3131" s="26">
        <f t="shared" si="48"/>
        <v>145046.01</v>
      </c>
    </row>
    <row r="3132" spans="1:7" x14ac:dyDescent="0.2">
      <c r="A3132" s="26">
        <v>168</v>
      </c>
      <c r="B3132" s="26">
        <v>107</v>
      </c>
      <c r="C3132" s="26">
        <v>275</v>
      </c>
      <c r="D3132" s="26" t="s">
        <v>1163</v>
      </c>
      <c r="E3132" s="26" t="s">
        <v>677</v>
      </c>
      <c r="F3132" s="26" t="s">
        <v>678</v>
      </c>
      <c r="G3132" s="26">
        <f t="shared" si="48"/>
        <v>134368.01</v>
      </c>
    </row>
    <row r="3133" spans="1:7" x14ac:dyDescent="0.2">
      <c r="A3133" s="26">
        <v>167</v>
      </c>
      <c r="B3133" s="26">
        <v>108</v>
      </c>
      <c r="C3133" s="26">
        <v>275</v>
      </c>
      <c r="D3133" s="26" t="s">
        <v>574</v>
      </c>
      <c r="E3133" s="26" t="s">
        <v>679</v>
      </c>
      <c r="F3133" s="26" t="s">
        <v>680</v>
      </c>
      <c r="G3133" s="26">
        <f t="shared" si="48"/>
        <v>135953.01</v>
      </c>
    </row>
    <row r="3134" spans="1:7" x14ac:dyDescent="0.2">
      <c r="A3134" s="26">
        <v>166</v>
      </c>
      <c r="B3134" s="26">
        <v>109</v>
      </c>
      <c r="C3134" s="26">
        <v>275</v>
      </c>
      <c r="D3134" s="26" t="s">
        <v>1164</v>
      </c>
      <c r="E3134" s="26" t="s">
        <v>681</v>
      </c>
      <c r="F3134" s="26" t="s">
        <v>682</v>
      </c>
      <c r="G3134" s="26">
        <f t="shared" si="48"/>
        <v>138463.01</v>
      </c>
    </row>
    <row r="3135" spans="1:7" x14ac:dyDescent="0.2">
      <c r="A3135" s="26">
        <v>165</v>
      </c>
      <c r="B3135" s="26">
        <v>110</v>
      </c>
      <c r="C3135" s="26">
        <v>275</v>
      </c>
      <c r="D3135" s="26" t="s">
        <v>605</v>
      </c>
      <c r="E3135" s="26" t="s">
        <v>683</v>
      </c>
      <c r="F3135" s="26" t="s">
        <v>684</v>
      </c>
      <c r="G3135" s="26">
        <f t="shared" si="48"/>
        <v>141751.01</v>
      </c>
    </row>
    <row r="3136" spans="1:7" x14ac:dyDescent="0.2">
      <c r="A3136" s="26">
        <v>164</v>
      </c>
      <c r="B3136" s="26">
        <v>111</v>
      </c>
      <c r="C3136" s="26">
        <v>275</v>
      </c>
      <c r="D3136" s="26" t="s">
        <v>655</v>
      </c>
      <c r="E3136" s="26" t="s">
        <v>685</v>
      </c>
      <c r="F3136" s="26" t="s">
        <v>686</v>
      </c>
      <c r="G3136" s="26">
        <f t="shared" si="48"/>
        <v>145445.01</v>
      </c>
    </row>
    <row r="3137" spans="1:7" x14ac:dyDescent="0.2">
      <c r="A3137" s="26">
        <v>168</v>
      </c>
      <c r="B3137" s="26">
        <v>108</v>
      </c>
      <c r="C3137" s="26">
        <v>276</v>
      </c>
      <c r="D3137" s="26" t="s">
        <v>574</v>
      </c>
      <c r="E3137" s="26" t="s">
        <v>687</v>
      </c>
      <c r="F3137" s="26" t="s">
        <v>405</v>
      </c>
      <c r="G3137" s="26">
        <f t="shared" si="48"/>
        <v>137123.01</v>
      </c>
    </row>
    <row r="3138" spans="1:7" x14ac:dyDescent="0.2">
      <c r="A3138" s="26">
        <v>167</v>
      </c>
      <c r="B3138" s="26">
        <v>109</v>
      </c>
      <c r="C3138" s="26">
        <v>276</v>
      </c>
      <c r="D3138" s="26" t="s">
        <v>1164</v>
      </c>
      <c r="E3138" s="26" t="s">
        <v>406</v>
      </c>
      <c r="F3138" s="26" t="s">
        <v>407</v>
      </c>
      <c r="G3138" s="26">
        <f t="shared" si="48"/>
        <v>140801.01</v>
      </c>
    </row>
    <row r="3139" spans="1:7" x14ac:dyDescent="0.2">
      <c r="A3139" s="26">
        <v>166</v>
      </c>
      <c r="B3139" s="26">
        <v>110</v>
      </c>
      <c r="C3139" s="26">
        <v>276</v>
      </c>
      <c r="D3139" s="26" t="s">
        <v>605</v>
      </c>
      <c r="E3139" s="26" t="s">
        <v>408</v>
      </c>
      <c r="F3139" s="26" t="s">
        <v>651</v>
      </c>
      <c r="G3139" s="26">
        <f t="shared" si="48"/>
        <v>142551.01</v>
      </c>
    </row>
    <row r="3140" spans="1:7" x14ac:dyDescent="0.2">
      <c r="A3140" s="26">
        <v>165</v>
      </c>
      <c r="B3140" s="26">
        <v>111</v>
      </c>
      <c r="C3140" s="26">
        <v>276</v>
      </c>
      <c r="D3140" s="26" t="s">
        <v>655</v>
      </c>
      <c r="E3140" s="26" t="s">
        <v>409</v>
      </c>
      <c r="F3140" s="26" t="s">
        <v>410</v>
      </c>
      <c r="G3140" s="26">
        <f t="shared" si="48"/>
        <v>147636.01</v>
      </c>
    </row>
    <row r="3141" spans="1:7" x14ac:dyDescent="0.2">
      <c r="A3141" s="26">
        <v>169</v>
      </c>
      <c r="B3141" s="26">
        <v>108</v>
      </c>
      <c r="C3141" s="26">
        <v>277</v>
      </c>
      <c r="D3141" s="26" t="s">
        <v>574</v>
      </c>
      <c r="E3141" s="26" t="s">
        <v>411</v>
      </c>
      <c r="F3141" s="26" t="s">
        <v>412</v>
      </c>
      <c r="G3141" s="26">
        <f t="shared" si="48"/>
        <v>139576.01</v>
      </c>
    </row>
    <row r="3142" spans="1:7" x14ac:dyDescent="0.2">
      <c r="A3142" s="26">
        <v>168</v>
      </c>
      <c r="B3142" s="26">
        <v>109</v>
      </c>
      <c r="C3142" s="26">
        <v>277</v>
      </c>
      <c r="D3142" s="26" t="s">
        <v>1164</v>
      </c>
      <c r="E3142" s="26" t="s">
        <v>413</v>
      </c>
      <c r="F3142" s="26" t="s">
        <v>414</v>
      </c>
      <c r="G3142" s="26">
        <f t="shared" si="48"/>
        <v>141978.01</v>
      </c>
    </row>
    <row r="3143" spans="1:7" x14ac:dyDescent="0.2">
      <c r="A3143" s="26">
        <v>167</v>
      </c>
      <c r="B3143" s="26">
        <v>110</v>
      </c>
      <c r="C3143" s="26">
        <v>277</v>
      </c>
      <c r="D3143" s="26" t="s">
        <v>605</v>
      </c>
      <c r="E3143" s="26" t="s">
        <v>415</v>
      </c>
      <c r="F3143" s="26" t="s">
        <v>416</v>
      </c>
      <c r="G3143" s="26">
        <f t="shared" si="48"/>
        <v>144984.01</v>
      </c>
    </row>
    <row r="3144" spans="1:7" x14ac:dyDescent="0.2">
      <c r="A3144" s="26">
        <v>166</v>
      </c>
      <c r="B3144" s="26">
        <v>111</v>
      </c>
      <c r="C3144" s="26">
        <v>277</v>
      </c>
      <c r="D3144" s="26" t="s">
        <v>655</v>
      </c>
      <c r="E3144" s="26" t="s">
        <v>417</v>
      </c>
      <c r="F3144" s="26" t="s">
        <v>418</v>
      </c>
      <c r="G3144" s="26">
        <f t="shared" si="48"/>
        <v>148591.01</v>
      </c>
    </row>
    <row r="3145" spans="1:7" x14ac:dyDescent="0.2">
      <c r="A3145" s="26">
        <v>165</v>
      </c>
      <c r="B3145" s="26">
        <v>112</v>
      </c>
      <c r="C3145" s="26">
        <v>277</v>
      </c>
      <c r="D3145" s="26" t="s">
        <v>419</v>
      </c>
      <c r="E3145" s="26" t="s">
        <v>420</v>
      </c>
      <c r="F3145" s="26" t="s">
        <v>1514</v>
      </c>
      <c r="G3145" s="26">
        <f t="shared" si="48"/>
        <v>152712.01</v>
      </c>
    </row>
    <row r="3146" spans="1:7" x14ac:dyDescent="0.2">
      <c r="A3146" s="26">
        <v>169</v>
      </c>
      <c r="B3146" s="26">
        <v>109</v>
      </c>
      <c r="C3146" s="26">
        <v>278</v>
      </c>
      <c r="D3146" s="26" t="s">
        <v>1164</v>
      </c>
      <c r="E3146" s="26" t="s">
        <v>421</v>
      </c>
      <c r="F3146" s="26" t="s">
        <v>422</v>
      </c>
      <c r="G3146" s="26">
        <f t="shared" ref="G3146:G3187" si="49">IF(ISNUMBER(E3146),E3146,VALUE(SUBSTITUTE(E3146,"#",".01")))</f>
        <v>144207.01</v>
      </c>
    </row>
    <row r="3147" spans="1:7" x14ac:dyDescent="0.2">
      <c r="A3147" s="26">
        <v>168</v>
      </c>
      <c r="B3147" s="26">
        <v>110</v>
      </c>
      <c r="C3147" s="26">
        <v>278</v>
      </c>
      <c r="D3147" s="26" t="s">
        <v>605</v>
      </c>
      <c r="E3147" s="26" t="s">
        <v>423</v>
      </c>
      <c r="F3147" s="26" t="s">
        <v>407</v>
      </c>
      <c r="G3147" s="26">
        <f t="shared" si="49"/>
        <v>145750.01</v>
      </c>
    </row>
    <row r="3148" spans="1:7" x14ac:dyDescent="0.2">
      <c r="A3148" s="26">
        <v>167</v>
      </c>
      <c r="B3148" s="26">
        <v>111</v>
      </c>
      <c r="C3148" s="26">
        <v>278</v>
      </c>
      <c r="D3148" s="26" t="s">
        <v>655</v>
      </c>
      <c r="E3148" s="26" t="s">
        <v>424</v>
      </c>
      <c r="F3148" s="26" t="s">
        <v>425</v>
      </c>
      <c r="G3148" s="26">
        <f t="shared" si="49"/>
        <v>150533.01</v>
      </c>
    </row>
    <row r="3149" spans="1:7" x14ac:dyDescent="0.2">
      <c r="A3149" s="26">
        <v>166</v>
      </c>
      <c r="B3149" s="26">
        <v>112</v>
      </c>
      <c r="C3149" s="26">
        <v>278</v>
      </c>
      <c r="D3149" s="26" t="s">
        <v>419</v>
      </c>
      <c r="E3149" s="26" t="s">
        <v>426</v>
      </c>
      <c r="F3149" s="26" t="s">
        <v>427</v>
      </c>
      <c r="G3149" s="26">
        <f t="shared" si="49"/>
        <v>153056.01</v>
      </c>
    </row>
    <row r="3150" spans="1:7" x14ac:dyDescent="0.2">
      <c r="A3150" s="26">
        <v>170</v>
      </c>
      <c r="B3150" s="26">
        <v>109</v>
      </c>
      <c r="C3150" s="26">
        <v>279</v>
      </c>
      <c r="D3150" s="26" t="s">
        <v>1164</v>
      </c>
      <c r="E3150" s="26" t="s">
        <v>428</v>
      </c>
      <c r="F3150" s="26" t="s">
        <v>429</v>
      </c>
      <c r="G3150" s="26">
        <f t="shared" si="49"/>
        <v>145493.01</v>
      </c>
    </row>
    <row r="3151" spans="1:7" x14ac:dyDescent="0.2">
      <c r="A3151" s="26">
        <v>169</v>
      </c>
      <c r="B3151" s="26">
        <v>110</v>
      </c>
      <c r="C3151" s="26">
        <v>279</v>
      </c>
      <c r="D3151" s="26" t="s">
        <v>605</v>
      </c>
      <c r="E3151" s="26" t="s">
        <v>430</v>
      </c>
      <c r="F3151" s="26" t="s">
        <v>431</v>
      </c>
      <c r="G3151" s="26">
        <f t="shared" si="49"/>
        <v>147978.01</v>
      </c>
    </row>
    <row r="3152" spans="1:7" x14ac:dyDescent="0.2">
      <c r="A3152" s="26">
        <v>168</v>
      </c>
      <c r="B3152" s="26">
        <v>111</v>
      </c>
      <c r="C3152" s="26">
        <v>279</v>
      </c>
      <c r="D3152" s="26" t="s">
        <v>655</v>
      </c>
      <c r="E3152" s="26" t="s">
        <v>432</v>
      </c>
      <c r="F3152" s="26" t="s">
        <v>433</v>
      </c>
      <c r="G3152" s="26">
        <f t="shared" si="49"/>
        <v>151338.01</v>
      </c>
    </row>
    <row r="3153" spans="1:7" x14ac:dyDescent="0.2">
      <c r="A3153" s="26">
        <v>167</v>
      </c>
      <c r="B3153" s="26">
        <v>112</v>
      </c>
      <c r="C3153" s="26">
        <v>279</v>
      </c>
      <c r="D3153" s="26" t="s">
        <v>419</v>
      </c>
      <c r="E3153" s="26" t="s">
        <v>434</v>
      </c>
      <c r="F3153" s="26" t="s">
        <v>435</v>
      </c>
      <c r="G3153" s="26">
        <f t="shared" si="49"/>
        <v>155136.01</v>
      </c>
    </row>
    <row r="3154" spans="1:7" x14ac:dyDescent="0.2">
      <c r="A3154" s="26">
        <v>170</v>
      </c>
      <c r="B3154" s="26">
        <v>110</v>
      </c>
      <c r="C3154" s="26">
        <v>280</v>
      </c>
      <c r="D3154" s="26" t="s">
        <v>605</v>
      </c>
      <c r="E3154" s="26" t="s">
        <v>436</v>
      </c>
      <c r="F3154" s="26" t="s">
        <v>437</v>
      </c>
      <c r="G3154" s="26">
        <f t="shared" si="49"/>
        <v>148848.01</v>
      </c>
    </row>
    <row r="3155" spans="1:7" x14ac:dyDescent="0.2">
      <c r="A3155" s="26">
        <v>169</v>
      </c>
      <c r="B3155" s="26">
        <v>111</v>
      </c>
      <c r="C3155" s="26">
        <v>280</v>
      </c>
      <c r="D3155" s="26" t="s">
        <v>655</v>
      </c>
      <c r="E3155" s="26" t="s">
        <v>438</v>
      </c>
      <c r="F3155" s="26" t="s">
        <v>431</v>
      </c>
      <c r="G3155" s="26">
        <f t="shared" si="49"/>
        <v>153206.01</v>
      </c>
    </row>
    <row r="3156" spans="1:7" x14ac:dyDescent="0.2">
      <c r="A3156" s="26">
        <v>168</v>
      </c>
      <c r="B3156" s="26">
        <v>112</v>
      </c>
      <c r="C3156" s="26">
        <v>280</v>
      </c>
      <c r="D3156" s="26" t="s">
        <v>419</v>
      </c>
      <c r="E3156" s="26" t="s">
        <v>439</v>
      </c>
      <c r="F3156" s="26" t="s">
        <v>440</v>
      </c>
      <c r="G3156" s="26">
        <f t="shared" si="49"/>
        <v>155596.01</v>
      </c>
    </row>
    <row r="3157" spans="1:7" x14ac:dyDescent="0.2">
      <c r="A3157" s="26">
        <v>171</v>
      </c>
      <c r="B3157" s="26">
        <v>110</v>
      </c>
      <c r="C3157" s="26">
        <v>281</v>
      </c>
      <c r="D3157" s="26" t="s">
        <v>605</v>
      </c>
      <c r="E3157" s="26" t="s">
        <v>441</v>
      </c>
      <c r="F3157" s="26" t="s">
        <v>442</v>
      </c>
      <c r="G3157" s="26">
        <f t="shared" si="49"/>
        <v>150959.01</v>
      </c>
    </row>
    <row r="3158" spans="1:7" x14ac:dyDescent="0.2">
      <c r="A3158" s="26">
        <v>170</v>
      </c>
      <c r="B3158" s="26">
        <v>111</v>
      </c>
      <c r="C3158" s="26">
        <v>281</v>
      </c>
      <c r="D3158" s="26" t="s">
        <v>655</v>
      </c>
      <c r="E3158" s="26" t="s">
        <v>443</v>
      </c>
      <c r="F3158" s="26" t="s">
        <v>444</v>
      </c>
      <c r="G3158" s="26">
        <f t="shared" si="49"/>
        <v>154043.01</v>
      </c>
    </row>
    <row r="3159" spans="1:7" x14ac:dyDescent="0.2">
      <c r="A3159" s="26">
        <v>169</v>
      </c>
      <c r="B3159" s="26">
        <v>112</v>
      </c>
      <c r="C3159" s="26">
        <v>281</v>
      </c>
      <c r="D3159" s="26" t="s">
        <v>419</v>
      </c>
      <c r="E3159" s="26" t="s">
        <v>445</v>
      </c>
      <c r="F3159" s="26" t="s">
        <v>446</v>
      </c>
      <c r="G3159" s="26">
        <f t="shared" si="49"/>
        <v>157689.01</v>
      </c>
    </row>
    <row r="3160" spans="1:7" x14ac:dyDescent="0.2">
      <c r="A3160" s="26">
        <v>171</v>
      </c>
      <c r="B3160" s="26">
        <v>111</v>
      </c>
      <c r="C3160" s="26">
        <v>282</v>
      </c>
      <c r="D3160" s="26" t="s">
        <v>655</v>
      </c>
      <c r="E3160" s="26" t="s">
        <v>447</v>
      </c>
      <c r="F3160" s="26" t="s">
        <v>448</v>
      </c>
      <c r="G3160" s="26">
        <f t="shared" si="49"/>
        <v>156012.01</v>
      </c>
    </row>
    <row r="3161" spans="1:7" x14ac:dyDescent="0.2">
      <c r="A3161" s="26">
        <v>170</v>
      </c>
      <c r="B3161" s="26">
        <v>112</v>
      </c>
      <c r="C3161" s="26">
        <v>282</v>
      </c>
      <c r="D3161" s="26" t="s">
        <v>419</v>
      </c>
      <c r="E3161" s="26" t="s">
        <v>449</v>
      </c>
      <c r="F3161" s="26" t="s">
        <v>450</v>
      </c>
      <c r="G3161" s="26">
        <f t="shared" si="49"/>
        <v>158135.01</v>
      </c>
    </row>
    <row r="3162" spans="1:7" x14ac:dyDescent="0.2">
      <c r="A3162" s="26">
        <v>172</v>
      </c>
      <c r="B3162" s="26">
        <v>111</v>
      </c>
      <c r="C3162" s="26">
        <v>283</v>
      </c>
      <c r="D3162" s="26" t="s">
        <v>655</v>
      </c>
      <c r="E3162" s="26" t="s">
        <v>734</v>
      </c>
      <c r="F3162" s="26" t="s">
        <v>735</v>
      </c>
      <c r="G3162" s="26">
        <f t="shared" si="49"/>
        <v>156878.01</v>
      </c>
    </row>
    <row r="3163" spans="1:7" x14ac:dyDescent="0.2">
      <c r="A3163" s="26">
        <v>171</v>
      </c>
      <c r="B3163" s="26">
        <v>112</v>
      </c>
      <c r="C3163" s="26">
        <v>283</v>
      </c>
      <c r="D3163" s="26" t="s">
        <v>419</v>
      </c>
      <c r="E3163" s="26" t="s">
        <v>736</v>
      </c>
      <c r="F3163" s="26" t="s">
        <v>737</v>
      </c>
      <c r="G3163" s="26">
        <f t="shared" si="49"/>
        <v>160023.01</v>
      </c>
    </row>
    <row r="3164" spans="1:7" x14ac:dyDescent="0.2">
      <c r="A3164" s="26">
        <v>170</v>
      </c>
      <c r="B3164" s="26">
        <v>113</v>
      </c>
      <c r="C3164" s="26">
        <v>283</v>
      </c>
      <c r="D3164" s="26" t="s">
        <v>738</v>
      </c>
      <c r="E3164" s="26" t="s">
        <v>739</v>
      </c>
      <c r="F3164" s="26" t="s">
        <v>442</v>
      </c>
      <c r="G3164" s="26">
        <f t="shared" si="49"/>
        <v>164363.01</v>
      </c>
    </row>
    <row r="3165" spans="1:7" x14ac:dyDescent="0.2">
      <c r="A3165" s="26">
        <v>172</v>
      </c>
      <c r="B3165" s="26">
        <v>112</v>
      </c>
      <c r="C3165" s="26">
        <v>284</v>
      </c>
      <c r="D3165" s="26" t="s">
        <v>419</v>
      </c>
      <c r="E3165" s="26" t="s">
        <v>740</v>
      </c>
      <c r="F3165" s="26" t="s">
        <v>741</v>
      </c>
      <c r="G3165" s="26">
        <f t="shared" si="49"/>
        <v>160574.01</v>
      </c>
    </row>
    <row r="3166" spans="1:7" x14ac:dyDescent="0.2">
      <c r="A3166" s="26">
        <v>171</v>
      </c>
      <c r="B3166" s="26">
        <v>113</v>
      </c>
      <c r="C3166" s="26">
        <v>284</v>
      </c>
      <c r="D3166" s="26" t="s">
        <v>738</v>
      </c>
      <c r="E3166" s="26" t="s">
        <v>742</v>
      </c>
      <c r="F3166" s="26" t="s">
        <v>743</v>
      </c>
      <c r="G3166" s="26">
        <f t="shared" si="49"/>
        <v>165881.01</v>
      </c>
    </row>
    <row r="3167" spans="1:7" x14ac:dyDescent="0.2">
      <c r="A3167" s="26">
        <v>173</v>
      </c>
      <c r="B3167" s="26">
        <v>112</v>
      </c>
      <c r="C3167" s="26">
        <v>285</v>
      </c>
      <c r="D3167" s="26" t="s">
        <v>419</v>
      </c>
      <c r="E3167" s="26" t="s">
        <v>744</v>
      </c>
      <c r="F3167" s="26" t="s">
        <v>745</v>
      </c>
      <c r="G3167" s="26">
        <f t="shared" si="49"/>
        <v>162177.01</v>
      </c>
    </row>
    <row r="3168" spans="1:7" x14ac:dyDescent="0.2">
      <c r="A3168" s="26">
        <v>172</v>
      </c>
      <c r="B3168" s="26">
        <v>113</v>
      </c>
      <c r="C3168" s="26">
        <v>285</v>
      </c>
      <c r="D3168" s="26" t="s">
        <v>738</v>
      </c>
      <c r="E3168" s="26" t="s">
        <v>746</v>
      </c>
      <c r="F3168" s="26" t="s">
        <v>747</v>
      </c>
      <c r="G3168" s="26">
        <f t="shared" si="49"/>
        <v>166488.01</v>
      </c>
    </row>
    <row r="3169" spans="1:7" x14ac:dyDescent="0.2">
      <c r="A3169" s="26">
        <v>171</v>
      </c>
      <c r="B3169" s="26">
        <v>114</v>
      </c>
      <c r="C3169" s="26">
        <v>285</v>
      </c>
      <c r="D3169" s="26" t="s">
        <v>748</v>
      </c>
      <c r="E3169" s="26" t="s">
        <v>749</v>
      </c>
      <c r="F3169" s="26" t="s">
        <v>750</v>
      </c>
      <c r="G3169" s="26">
        <f t="shared" si="49"/>
        <v>171114.01</v>
      </c>
    </row>
    <row r="3170" spans="1:7" x14ac:dyDescent="0.2">
      <c r="A3170" s="26">
        <v>173</v>
      </c>
      <c r="B3170" s="26">
        <v>113</v>
      </c>
      <c r="C3170" s="26">
        <v>286</v>
      </c>
      <c r="D3170" s="26" t="s">
        <v>738</v>
      </c>
      <c r="E3170" s="26" t="s">
        <v>751</v>
      </c>
      <c r="F3170" s="26" t="s">
        <v>752</v>
      </c>
      <c r="G3170" s="26">
        <f t="shared" si="49"/>
        <v>168117.01</v>
      </c>
    </row>
    <row r="3171" spans="1:7" x14ac:dyDescent="0.2">
      <c r="A3171" s="26">
        <v>172</v>
      </c>
      <c r="B3171" s="26">
        <v>114</v>
      </c>
      <c r="C3171" s="26">
        <v>286</v>
      </c>
      <c r="D3171" s="26" t="s">
        <v>748</v>
      </c>
      <c r="E3171" s="26" t="s">
        <v>753</v>
      </c>
      <c r="F3171" s="26" t="s">
        <v>737</v>
      </c>
      <c r="G3171" s="26">
        <f t="shared" si="49"/>
        <v>171260.01</v>
      </c>
    </row>
    <row r="3172" spans="1:7" x14ac:dyDescent="0.2">
      <c r="A3172" s="26">
        <v>174</v>
      </c>
      <c r="B3172" s="26">
        <v>113</v>
      </c>
      <c r="C3172" s="26">
        <v>287</v>
      </c>
      <c r="D3172" s="26" t="s">
        <v>738</v>
      </c>
      <c r="E3172" s="26" t="s">
        <v>754</v>
      </c>
      <c r="F3172" s="26" t="s">
        <v>755</v>
      </c>
      <c r="G3172" s="26">
        <f t="shared" si="49"/>
        <v>168643.01</v>
      </c>
    </row>
    <row r="3173" spans="1:7" x14ac:dyDescent="0.2">
      <c r="A3173" s="26">
        <v>173</v>
      </c>
      <c r="B3173" s="26">
        <v>114</v>
      </c>
      <c r="C3173" s="26">
        <v>287</v>
      </c>
      <c r="D3173" s="26" t="s">
        <v>748</v>
      </c>
      <c r="E3173" s="26" t="s">
        <v>756</v>
      </c>
      <c r="F3173" s="26" t="s">
        <v>459</v>
      </c>
      <c r="G3173" s="26">
        <f t="shared" si="49"/>
        <v>172884.01</v>
      </c>
    </row>
    <row r="3174" spans="1:7" x14ac:dyDescent="0.2">
      <c r="A3174" s="26">
        <v>172</v>
      </c>
      <c r="B3174" s="26">
        <v>115</v>
      </c>
      <c r="C3174" s="26">
        <v>287</v>
      </c>
      <c r="D3174" s="26" t="s">
        <v>460</v>
      </c>
      <c r="E3174" s="26" t="s">
        <v>461</v>
      </c>
      <c r="F3174" s="26" t="s">
        <v>462</v>
      </c>
      <c r="G3174" s="26">
        <f t="shared" si="49"/>
        <v>178088.01</v>
      </c>
    </row>
    <row r="3175" spans="1:7" x14ac:dyDescent="0.2">
      <c r="A3175" s="26">
        <v>174</v>
      </c>
      <c r="B3175" s="26">
        <v>114</v>
      </c>
      <c r="C3175" s="26">
        <v>288</v>
      </c>
      <c r="D3175" s="26" t="s">
        <v>748</v>
      </c>
      <c r="E3175" s="26" t="s">
        <v>463</v>
      </c>
      <c r="F3175" s="26" t="s">
        <v>464</v>
      </c>
      <c r="G3175" s="26">
        <f t="shared" si="49"/>
        <v>172968.01</v>
      </c>
    </row>
    <row r="3176" spans="1:7" x14ac:dyDescent="0.2">
      <c r="A3176" s="26">
        <v>173</v>
      </c>
      <c r="B3176" s="26">
        <v>115</v>
      </c>
      <c r="C3176" s="26">
        <v>288</v>
      </c>
      <c r="D3176" s="26" t="s">
        <v>460</v>
      </c>
      <c r="E3176" s="26" t="s">
        <v>465</v>
      </c>
      <c r="F3176" s="26" t="s">
        <v>466</v>
      </c>
      <c r="G3176" s="26">
        <f t="shared" si="49"/>
        <v>179305.01</v>
      </c>
    </row>
    <row r="3177" spans="1:7" x14ac:dyDescent="0.2">
      <c r="A3177" s="26">
        <v>175</v>
      </c>
      <c r="B3177" s="26">
        <v>114</v>
      </c>
      <c r="C3177" s="26">
        <v>289</v>
      </c>
      <c r="D3177" s="26" t="s">
        <v>748</v>
      </c>
      <c r="E3177" s="26" t="s">
        <v>467</v>
      </c>
      <c r="F3177" s="26" t="s">
        <v>468</v>
      </c>
      <c r="G3177" s="26">
        <f t="shared" si="49"/>
        <v>174449.01</v>
      </c>
    </row>
    <row r="3178" spans="1:7" x14ac:dyDescent="0.2">
      <c r="A3178" s="26">
        <v>174</v>
      </c>
      <c r="B3178" s="26">
        <v>115</v>
      </c>
      <c r="C3178" s="26">
        <v>289</v>
      </c>
      <c r="D3178" s="26" t="s">
        <v>460</v>
      </c>
      <c r="E3178" s="26" t="s">
        <v>469</v>
      </c>
      <c r="F3178" s="26" t="s">
        <v>470</v>
      </c>
      <c r="G3178" s="26">
        <f t="shared" si="49"/>
        <v>179513.01</v>
      </c>
    </row>
    <row r="3179" spans="1:7" x14ac:dyDescent="0.2">
      <c r="A3179" s="26">
        <v>173</v>
      </c>
      <c r="B3179" s="26">
        <v>116</v>
      </c>
      <c r="C3179" s="26">
        <v>289</v>
      </c>
      <c r="D3179" s="26" t="s">
        <v>471</v>
      </c>
      <c r="E3179" s="26" t="s">
        <v>472</v>
      </c>
      <c r="F3179" s="26" t="s">
        <v>473</v>
      </c>
      <c r="G3179" s="26">
        <f t="shared" si="49"/>
        <v>185239.01</v>
      </c>
    </row>
    <row r="3180" spans="1:7" x14ac:dyDescent="0.2">
      <c r="A3180" s="26">
        <v>175</v>
      </c>
      <c r="B3180" s="26">
        <v>115</v>
      </c>
      <c r="C3180" s="26">
        <v>290</v>
      </c>
      <c r="D3180" s="26" t="s">
        <v>460</v>
      </c>
      <c r="E3180" s="26" t="s">
        <v>474</v>
      </c>
      <c r="F3180" s="26" t="s">
        <v>475</v>
      </c>
      <c r="G3180" s="26">
        <f t="shared" si="49"/>
        <v>180842.01</v>
      </c>
    </row>
    <row r="3181" spans="1:7" x14ac:dyDescent="0.2">
      <c r="A3181" s="26">
        <v>174</v>
      </c>
      <c r="B3181" s="26">
        <v>116</v>
      </c>
      <c r="C3181" s="26">
        <v>290</v>
      </c>
      <c r="D3181" s="26" t="s">
        <v>471</v>
      </c>
      <c r="E3181" s="26" t="s">
        <v>247</v>
      </c>
      <c r="F3181" s="26" t="s">
        <v>248</v>
      </c>
      <c r="G3181" s="26">
        <f t="shared" si="49"/>
        <v>184985.01</v>
      </c>
    </row>
    <row r="3182" spans="1:7" x14ac:dyDescent="0.2">
      <c r="A3182" s="26">
        <v>176</v>
      </c>
      <c r="B3182" s="26">
        <v>115</v>
      </c>
      <c r="C3182" s="26">
        <v>291</v>
      </c>
      <c r="D3182" s="26" t="s">
        <v>460</v>
      </c>
      <c r="E3182" s="26" t="s">
        <v>249</v>
      </c>
      <c r="F3182" s="26" t="s">
        <v>250</v>
      </c>
      <c r="G3182" s="26">
        <f t="shared" si="49"/>
        <v>181068.01</v>
      </c>
    </row>
    <row r="3183" spans="1:7" x14ac:dyDescent="0.2">
      <c r="A3183" s="26">
        <v>175</v>
      </c>
      <c r="B3183" s="26">
        <v>116</v>
      </c>
      <c r="C3183" s="26">
        <v>291</v>
      </c>
      <c r="D3183" s="26" t="s">
        <v>471</v>
      </c>
      <c r="E3183" s="26" t="s">
        <v>251</v>
      </c>
      <c r="F3183" s="26" t="s">
        <v>252</v>
      </c>
      <c r="G3183" s="26">
        <f t="shared" si="49"/>
        <v>186309.01</v>
      </c>
    </row>
    <row r="3184" spans="1:7" x14ac:dyDescent="0.2">
      <c r="A3184" s="26">
        <v>174</v>
      </c>
      <c r="B3184" s="26">
        <v>117</v>
      </c>
      <c r="C3184" s="26">
        <v>291</v>
      </c>
      <c r="D3184" s="26" t="s">
        <v>253</v>
      </c>
      <c r="E3184" s="26" t="s">
        <v>254</v>
      </c>
      <c r="F3184" s="26" t="s">
        <v>414</v>
      </c>
      <c r="G3184" s="26">
        <f t="shared" si="49"/>
        <v>192413.01</v>
      </c>
    </row>
    <row r="3185" spans="1:7" x14ac:dyDescent="0.2">
      <c r="A3185" s="26">
        <v>176</v>
      </c>
      <c r="B3185" s="26">
        <v>116</v>
      </c>
      <c r="C3185" s="26">
        <v>292</v>
      </c>
      <c r="D3185" s="26" t="s">
        <v>471</v>
      </c>
      <c r="E3185" s="26" t="s">
        <v>255</v>
      </c>
      <c r="F3185" s="26" t="s">
        <v>256</v>
      </c>
      <c r="G3185" s="26">
        <f t="shared" si="49"/>
        <v>186100.01</v>
      </c>
    </row>
    <row r="3186" spans="1:7" x14ac:dyDescent="0.2">
      <c r="A3186" s="26">
        <v>175</v>
      </c>
      <c r="B3186" s="26">
        <v>117</v>
      </c>
      <c r="C3186" s="26">
        <v>292</v>
      </c>
      <c r="D3186" s="26" t="s">
        <v>253</v>
      </c>
      <c r="E3186" s="26" t="s">
        <v>257</v>
      </c>
      <c r="F3186" s="26" t="s">
        <v>258</v>
      </c>
      <c r="G3186" s="26">
        <f t="shared" si="49"/>
        <v>193330.01</v>
      </c>
    </row>
    <row r="3187" spans="1:7" x14ac:dyDescent="0.2">
      <c r="A3187" s="26">
        <v>175</v>
      </c>
      <c r="B3187" s="26">
        <v>118</v>
      </c>
      <c r="C3187" s="26">
        <v>293</v>
      </c>
      <c r="D3187" s="26" t="s">
        <v>259</v>
      </c>
      <c r="E3187" s="26" t="s">
        <v>260</v>
      </c>
      <c r="F3187" s="26" t="s">
        <v>261</v>
      </c>
      <c r="G3187" s="26">
        <f t="shared" si="49"/>
        <v>199964.01</v>
      </c>
    </row>
  </sheetData>
  <phoneticPr fontId="6" type="noConversion"/>
  <pageMargins left="0.75" right="0.75" top="1" bottom="1" header="0.5" footer="0.5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39"/>
  <sheetViews>
    <sheetView topLeftCell="A8" zoomScale="80" zoomScaleNormal="80" workbookViewId="0">
      <selection activeCell="C25" sqref="C25"/>
    </sheetView>
  </sheetViews>
  <sheetFormatPr defaultColWidth="8.85546875" defaultRowHeight="12.75" x14ac:dyDescent="0.2"/>
  <cols>
    <col min="1" max="1" width="16.42578125" style="99" customWidth="1"/>
    <col min="2" max="2" width="44.7109375" bestFit="1" customWidth="1"/>
    <col min="4" max="4" width="10.140625" customWidth="1"/>
    <col min="5" max="5" width="13.28515625" bestFit="1" customWidth="1"/>
    <col min="6" max="6" width="12" bestFit="1" customWidth="1"/>
    <col min="7" max="8" width="11.140625" bestFit="1" customWidth="1"/>
    <col min="9" max="9" width="12.140625" bestFit="1" customWidth="1"/>
    <col min="11" max="11" width="15.28515625" bestFit="1" customWidth="1"/>
    <col min="15" max="15" width="3" customWidth="1"/>
    <col min="17" max="17" width="4.140625" customWidth="1"/>
    <col min="18" max="18" width="3.28515625" customWidth="1"/>
    <col min="19" max="19" width="7" customWidth="1"/>
    <col min="20" max="20" width="3.85546875" customWidth="1"/>
    <col min="21" max="21" width="4.42578125" customWidth="1"/>
    <col min="22" max="22" width="2.42578125" customWidth="1"/>
    <col min="23" max="23" width="5.42578125" customWidth="1"/>
  </cols>
  <sheetData>
    <row r="1" spans="1:24" ht="38.25" x14ac:dyDescent="0.2">
      <c r="A1" s="140" t="s">
        <v>507</v>
      </c>
      <c r="B1" s="128" t="s">
        <v>43</v>
      </c>
      <c r="C1" s="139" t="s">
        <v>508</v>
      </c>
      <c r="D1" s="37"/>
      <c r="M1" s="120"/>
      <c r="N1" s="120"/>
    </row>
    <row r="2" spans="1:24" ht="13.5" thickBot="1" x14ac:dyDescent="0.2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85" t="s">
        <v>58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x14ac:dyDescent="0.2">
      <c r="A3" s="124"/>
      <c r="B3" s="61" t="s">
        <v>312</v>
      </c>
      <c r="C3" s="62"/>
      <c r="D3" s="62"/>
      <c r="E3" s="62"/>
      <c r="F3" s="62"/>
      <c r="G3" s="62"/>
      <c r="H3" s="62"/>
      <c r="I3" s="62"/>
      <c r="J3" s="62"/>
      <c r="K3" s="62"/>
      <c r="L3" s="63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x14ac:dyDescent="0.2">
      <c r="A4" s="124"/>
      <c r="B4" s="64" t="s">
        <v>1628</v>
      </c>
      <c r="C4" s="53" t="s">
        <v>1629</v>
      </c>
      <c r="D4" s="2"/>
      <c r="E4" s="2"/>
      <c r="F4" s="2"/>
      <c r="G4" s="2"/>
      <c r="H4" s="2"/>
      <c r="I4" s="2"/>
      <c r="J4" s="2"/>
      <c r="K4" s="2"/>
      <c r="L4" s="6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4" ht="14.25" x14ac:dyDescent="0.25">
      <c r="A5" s="124"/>
      <c r="B5" s="66"/>
      <c r="C5" s="8"/>
      <c r="D5" s="8"/>
      <c r="E5" s="2"/>
      <c r="F5" s="8"/>
      <c r="G5" s="8"/>
      <c r="H5" s="8"/>
      <c r="I5" s="50" t="s">
        <v>266</v>
      </c>
      <c r="J5" s="2"/>
      <c r="K5" s="50" t="s">
        <v>267</v>
      </c>
      <c r="L5" s="65"/>
      <c r="M5" s="125"/>
      <c r="N5" s="125"/>
      <c r="O5" s="125"/>
      <c r="P5" s="125"/>
      <c r="Q5" s="179" t="s">
        <v>55</v>
      </c>
      <c r="R5" s="180" t="s">
        <v>246</v>
      </c>
      <c r="S5" s="181">
        <f>(F17/1000)</f>
        <v>1.1106550770229477E-2</v>
      </c>
      <c r="T5" s="182" t="s">
        <v>593</v>
      </c>
      <c r="U5" s="125"/>
      <c r="V5" s="125"/>
      <c r="W5" s="125"/>
      <c r="X5" s="125"/>
    </row>
    <row r="6" spans="1:24" x14ac:dyDescent="0.2">
      <c r="A6" s="124"/>
      <c r="B6" s="66"/>
      <c r="C6" s="50" t="s">
        <v>1749</v>
      </c>
      <c r="D6" s="18" t="s">
        <v>1750</v>
      </c>
      <c r="E6" s="2"/>
      <c r="F6" s="50" t="s">
        <v>1741</v>
      </c>
      <c r="G6" s="50" t="s">
        <v>1739</v>
      </c>
      <c r="H6" s="50" t="s">
        <v>265</v>
      </c>
      <c r="I6" s="50" t="s">
        <v>269</v>
      </c>
      <c r="J6" s="2"/>
      <c r="K6" s="50" t="s">
        <v>268</v>
      </c>
      <c r="L6" s="6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4" ht="14.25" x14ac:dyDescent="0.25">
      <c r="A7" s="124"/>
      <c r="B7" s="67" t="s">
        <v>1745</v>
      </c>
      <c r="C7" s="500" t="s">
        <v>1755</v>
      </c>
      <c r="D7" s="24">
        <v>7</v>
      </c>
      <c r="E7" s="2"/>
      <c r="F7" s="21">
        <f>INDEX(Z_values,MATCH(C7,Symbol_values,0))</f>
        <v>4</v>
      </c>
      <c r="G7" s="54">
        <f ca="1">Masses!E2</f>
        <v>7.0169298314000699</v>
      </c>
      <c r="H7" s="38">
        <f ca="1">Masses!E2*Masses!A2</f>
        <v>6536.2270540000009</v>
      </c>
      <c r="I7" s="21">
        <f ca="1">Masses!H2</f>
        <v>15.770033999999999</v>
      </c>
      <c r="J7" s="48"/>
      <c r="K7" s="38">
        <f ca="1">IF((D12=0),I7+I8-I10,I7+I8-I10-I12)</f>
        <v>0</v>
      </c>
      <c r="L7" s="65"/>
      <c r="M7" s="125"/>
      <c r="N7" s="125"/>
      <c r="O7" s="125"/>
      <c r="P7" s="125"/>
      <c r="Q7" s="179" t="s">
        <v>56</v>
      </c>
      <c r="R7" s="180" t="s">
        <v>246</v>
      </c>
      <c r="S7" s="181">
        <f>F16/1000</f>
        <v>1.7883945948314495E-2</v>
      </c>
      <c r="T7" s="182" t="s">
        <v>593</v>
      </c>
      <c r="U7" s="125"/>
      <c r="V7" s="125"/>
      <c r="W7" s="125"/>
      <c r="X7" s="125"/>
    </row>
    <row r="8" spans="1:24" x14ac:dyDescent="0.2">
      <c r="A8" s="124"/>
      <c r="B8" s="67" t="s">
        <v>1746</v>
      </c>
      <c r="C8" s="499" t="s">
        <v>1752</v>
      </c>
      <c r="D8" s="24">
        <v>1</v>
      </c>
      <c r="E8" s="2"/>
      <c r="F8" s="21">
        <f>INDEX(Z_values,MATCH(C8,Symbol_values,0))</f>
        <v>1</v>
      </c>
      <c r="G8" s="54">
        <f ca="1">Masses!E3</f>
        <v>1.0078250333287222</v>
      </c>
      <c r="H8" s="38">
        <f ca="1">Masses!E3*Masses!A2</f>
        <v>938.78283050000016</v>
      </c>
      <c r="I8" s="21">
        <f ca="1">Masses!H3</f>
        <v>7.2889705000000005</v>
      </c>
      <c r="J8" s="48"/>
      <c r="K8" s="48"/>
      <c r="L8" s="6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</row>
    <row r="9" spans="1:24" x14ac:dyDescent="0.2">
      <c r="A9" s="124"/>
      <c r="B9" s="67"/>
      <c r="C9" s="18"/>
      <c r="D9" s="20"/>
      <c r="E9" s="2"/>
      <c r="F9" s="19"/>
      <c r="G9" s="48"/>
      <c r="H9" s="48"/>
      <c r="I9" s="48"/>
      <c r="J9" s="48"/>
      <c r="K9" s="50" t="s">
        <v>1672</v>
      </c>
      <c r="L9" s="6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x14ac:dyDescent="0.2">
      <c r="A10" s="124"/>
      <c r="B10" s="67" t="s">
        <v>1747</v>
      </c>
      <c r="C10" s="499" t="s">
        <v>1752</v>
      </c>
      <c r="D10" s="24">
        <v>1</v>
      </c>
      <c r="E10" s="2"/>
      <c r="F10" s="21">
        <f>INDEX(Z_values,MATCH(C10,Symbol_values,0))</f>
        <v>1</v>
      </c>
      <c r="G10" s="54">
        <f ca="1">Masses!E4</f>
        <v>1.0078250333287222</v>
      </c>
      <c r="H10" s="38">
        <f ca="1">Masses!E4*Masses!A2</f>
        <v>938.78283050000016</v>
      </c>
      <c r="I10" s="21">
        <f ca="1">Masses!H4</f>
        <v>7.2889705000000005</v>
      </c>
      <c r="J10" s="48"/>
      <c r="K10" s="38">
        <f ca="1">(1.44*F$7*F$8)/(1.3*(G$7^(1/3)+G$8^(1/3)))</f>
        <v>1.5189089176641131</v>
      </c>
      <c r="L10" s="65"/>
      <c r="M10" s="125"/>
      <c r="N10" s="125"/>
      <c r="O10" s="125"/>
      <c r="P10" s="125"/>
      <c r="Q10" s="125"/>
      <c r="R10" s="125"/>
      <c r="S10" s="125"/>
      <c r="T10" s="125"/>
      <c r="U10" s="179" t="s">
        <v>57</v>
      </c>
      <c r="V10" s="180" t="s">
        <v>246</v>
      </c>
      <c r="W10" s="181">
        <f ca="1">K7+(F16/1000)</f>
        <v>1.7883945948314495E-2</v>
      </c>
      <c r="X10" s="182" t="s">
        <v>593</v>
      </c>
    </row>
    <row r="11" spans="1:24" x14ac:dyDescent="0.2">
      <c r="A11" s="124"/>
      <c r="B11" s="68"/>
      <c r="C11" s="2"/>
      <c r="D11" s="2"/>
      <c r="E11" s="2"/>
      <c r="F11" s="2"/>
      <c r="G11" s="2"/>
      <c r="H11" s="2"/>
      <c r="I11" s="2"/>
      <c r="J11" s="48"/>
      <c r="K11" s="48"/>
      <c r="L11" s="65"/>
      <c r="M11" s="125"/>
      <c r="N11" s="183" t="str">
        <f>C7</f>
        <v>Be</v>
      </c>
      <c r="O11" s="180" t="s">
        <v>244</v>
      </c>
      <c r="P11" s="182" t="str">
        <f>C8</f>
        <v>H</v>
      </c>
      <c r="Q11" s="125"/>
      <c r="R11" s="125"/>
      <c r="S11" s="125"/>
      <c r="T11" s="125"/>
      <c r="U11" s="125"/>
      <c r="V11" s="125"/>
      <c r="W11" s="125"/>
      <c r="X11" s="125"/>
    </row>
    <row r="12" spans="1:24" x14ac:dyDescent="0.2">
      <c r="A12" s="124"/>
      <c r="B12" s="67" t="s">
        <v>1748</v>
      </c>
      <c r="C12" s="21" t="str">
        <f>IF((D12=0),Masses!D8,INDEX(Symbol_values,MATCH(F12,Z_values,1)))</f>
        <v>Be</v>
      </c>
      <c r="D12" s="25">
        <f>D7+D8-D10</f>
        <v>7</v>
      </c>
      <c r="E12" s="2"/>
      <c r="F12" s="21">
        <f>F7+F8-F10</f>
        <v>4</v>
      </c>
      <c r="G12" s="54">
        <f ca="1">Masses!E5</f>
        <v>7.0169298314000699</v>
      </c>
      <c r="H12" s="38">
        <f ca="1">Masses!E5*Masses!A2</f>
        <v>6536.2270540000009</v>
      </c>
      <c r="I12" s="21">
        <f ca="1">Masses!H5</f>
        <v>15.770033999999999</v>
      </c>
      <c r="J12" s="2"/>
      <c r="K12" s="2"/>
      <c r="L12" s="6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x14ac:dyDescent="0.2">
      <c r="A13" s="124"/>
      <c r="B13" s="66"/>
      <c r="C13" s="2"/>
      <c r="D13" s="2"/>
      <c r="E13" s="2"/>
      <c r="F13" s="2"/>
      <c r="G13" s="2"/>
      <c r="H13" s="2"/>
      <c r="I13" s="2"/>
      <c r="J13" s="2"/>
      <c r="K13" s="2"/>
      <c r="L13" s="65"/>
      <c r="M13" s="125"/>
      <c r="N13" s="125"/>
      <c r="O13" s="125"/>
      <c r="P13" s="125"/>
      <c r="Q13" s="179" t="s">
        <v>245</v>
      </c>
      <c r="R13" s="180" t="s">
        <v>246</v>
      </c>
      <c r="S13" s="181">
        <f ca="1">K7</f>
        <v>0</v>
      </c>
      <c r="T13" s="182" t="s">
        <v>593</v>
      </c>
      <c r="U13" s="125"/>
      <c r="V13" s="125"/>
      <c r="W13" s="125"/>
      <c r="X13" s="125"/>
    </row>
    <row r="14" spans="1:24" x14ac:dyDescent="0.2">
      <c r="A14" s="124"/>
      <c r="B14" s="119" t="s">
        <v>538</v>
      </c>
      <c r="C14" s="2"/>
      <c r="D14" s="2"/>
      <c r="E14" s="2"/>
      <c r="F14" s="2"/>
      <c r="G14" s="2"/>
      <c r="H14" s="2"/>
      <c r="I14" s="2"/>
      <c r="J14" s="2"/>
      <c r="K14" s="2"/>
      <c r="L14" s="6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4" x14ac:dyDescent="0.2">
      <c r="A15" s="124"/>
      <c r="B15" s="66"/>
      <c r="C15" s="2"/>
      <c r="D15" s="2"/>
      <c r="E15" s="8" t="s">
        <v>1737</v>
      </c>
      <c r="F15" s="2"/>
      <c r="G15" s="2"/>
      <c r="H15" s="2"/>
      <c r="I15" s="2"/>
      <c r="J15" s="2"/>
      <c r="K15" s="2"/>
      <c r="L15" s="6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spans="1:24" ht="14.25" x14ac:dyDescent="0.25">
      <c r="A16" s="124"/>
      <c r="B16" s="72" t="s">
        <v>539</v>
      </c>
      <c r="C16" s="57">
        <v>15</v>
      </c>
      <c r="D16" s="2"/>
      <c r="E16" s="4" t="s">
        <v>318</v>
      </c>
      <c r="F16" s="392">
        <f>'Gamow Peak'!G7</f>
        <v>17.883945948314494</v>
      </c>
      <c r="G16" s="2"/>
      <c r="H16" s="2"/>
      <c r="I16" s="2"/>
      <c r="J16" s="2"/>
      <c r="K16" s="2"/>
      <c r="L16" s="6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ht="14.25" x14ac:dyDescent="0.25">
      <c r="A17" s="124"/>
      <c r="B17" s="66"/>
      <c r="C17" s="2"/>
      <c r="D17" s="2"/>
      <c r="E17" s="4" t="s">
        <v>1742</v>
      </c>
      <c r="F17" s="56">
        <f>'Gamow Peak'!G9</f>
        <v>11.106550770229477</v>
      </c>
      <c r="G17" s="2" t="s">
        <v>42</v>
      </c>
      <c r="H17" s="2"/>
      <c r="I17" s="2"/>
      <c r="J17" s="2"/>
      <c r="K17" s="2"/>
      <c r="L17" s="65"/>
      <c r="M17" s="125"/>
      <c r="N17" s="125"/>
      <c r="O17" s="125"/>
      <c r="P17" s="125"/>
      <c r="Q17" s="179" t="str">
        <f>C10</f>
        <v>H</v>
      </c>
      <c r="R17" s="180" t="s">
        <v>244</v>
      </c>
      <c r="S17" s="182" t="str">
        <f>C12</f>
        <v>Be</v>
      </c>
      <c r="T17" s="125"/>
      <c r="U17" s="125"/>
      <c r="V17" s="125"/>
      <c r="W17" s="125"/>
      <c r="X17" s="125"/>
    </row>
    <row r="18" spans="1:24" ht="13.5" thickBot="1" x14ac:dyDescent="0.25">
      <c r="A18" s="124"/>
      <c r="B18" s="69"/>
      <c r="C18" s="60"/>
      <c r="D18" s="60"/>
      <c r="E18" s="60"/>
      <c r="F18" s="60"/>
      <c r="G18" s="60"/>
      <c r="H18" s="60"/>
      <c r="I18" s="60"/>
      <c r="J18" s="60"/>
      <c r="K18" s="60"/>
      <c r="L18" s="70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x14ac:dyDescent="0.2">
      <c r="A19" s="124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</row>
    <row r="20" spans="1:24" ht="13.5" thickBot="1" x14ac:dyDescent="0.2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x14ac:dyDescent="0.2">
      <c r="A21" s="124"/>
      <c r="B21" s="71" t="s">
        <v>299</v>
      </c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x14ac:dyDescent="0.2">
      <c r="A22" s="124"/>
      <c r="B22" s="64" t="s">
        <v>1628</v>
      </c>
      <c r="C22" s="53" t="s">
        <v>1629</v>
      </c>
      <c r="D22" s="2"/>
      <c r="E22" s="2"/>
      <c r="F22" s="2"/>
      <c r="G22" s="2"/>
      <c r="H22" s="2"/>
      <c r="I22" s="2"/>
      <c r="J22" s="2"/>
      <c r="K22" s="2"/>
      <c r="L22" s="6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x14ac:dyDescent="0.2">
      <c r="A23" s="124"/>
      <c r="B23" s="66"/>
      <c r="C23" s="2"/>
      <c r="D23" s="2"/>
      <c r="E23" s="2"/>
      <c r="F23" s="2"/>
      <c r="H23" s="2"/>
      <c r="I23" s="2"/>
      <c r="J23" s="2"/>
      <c r="K23" s="2"/>
      <c r="L23" s="6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x14ac:dyDescent="0.2">
      <c r="A24" s="124"/>
      <c r="B24" s="72" t="s">
        <v>310</v>
      </c>
      <c r="C24" s="261">
        <v>3</v>
      </c>
      <c r="D24" s="2"/>
      <c r="H24" s="2"/>
      <c r="I24" s="2"/>
      <c r="J24" s="2"/>
      <c r="K24" s="2"/>
      <c r="L24" s="6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ht="14.25" x14ac:dyDescent="0.25">
      <c r="A25" s="124"/>
      <c r="B25" s="72" t="s">
        <v>311</v>
      </c>
      <c r="C25" s="49">
        <f ca="1">C24*G32/(G32+G31)</f>
        <v>2.8968146478297325</v>
      </c>
      <c r="D25" s="40" t="s">
        <v>401</v>
      </c>
      <c r="E25" s="141" t="str">
        <f ca="1">IF((C25+K31)&gt;0,"above","below")</f>
        <v>above</v>
      </c>
      <c r="F25" s="2" t="s">
        <v>402</v>
      </c>
      <c r="G25" s="281"/>
      <c r="H25" s="2"/>
      <c r="I25" s="2"/>
      <c r="J25" s="2"/>
      <c r="K25" s="2"/>
      <c r="L25" s="65"/>
      <c r="M25" s="125"/>
      <c r="N25" s="125"/>
      <c r="O25" s="125"/>
      <c r="P25" s="125"/>
      <c r="Q25" s="179" t="s">
        <v>54</v>
      </c>
      <c r="R25" s="180" t="s">
        <v>246</v>
      </c>
      <c r="S25" s="184">
        <f ca="1">C25</f>
        <v>2.8968146478297325</v>
      </c>
      <c r="T25" s="182" t="s">
        <v>593</v>
      </c>
      <c r="U25" s="125"/>
      <c r="V25" s="125"/>
      <c r="W25" s="125"/>
      <c r="X25" s="125"/>
    </row>
    <row r="26" spans="1:24" x14ac:dyDescent="0.2">
      <c r="A26" s="124"/>
      <c r="B26" s="72"/>
      <c r="C26" s="260"/>
      <c r="D26" s="40"/>
      <c r="E26" s="18"/>
      <c r="F26" s="2"/>
      <c r="G26" s="2"/>
      <c r="H26" s="2"/>
      <c r="I26" s="2"/>
      <c r="J26" s="2"/>
      <c r="K26" s="2"/>
      <c r="L26" s="65"/>
      <c r="M26" s="125"/>
      <c r="N26" s="125"/>
      <c r="O26" s="125"/>
      <c r="P26" s="125"/>
      <c r="Q26" s="179"/>
      <c r="R26" s="180"/>
      <c r="S26" s="184"/>
      <c r="T26" s="182"/>
      <c r="U26" s="125"/>
      <c r="V26" s="125"/>
      <c r="W26" s="125"/>
      <c r="X26" s="125"/>
    </row>
    <row r="27" spans="1:24" x14ac:dyDescent="0.2">
      <c r="A27" s="124"/>
      <c r="B27" s="72" t="s">
        <v>339</v>
      </c>
      <c r="C27" s="261">
        <v>0</v>
      </c>
      <c r="D27" s="40"/>
      <c r="E27" s="18"/>
      <c r="F27" s="2"/>
      <c r="G27" s="2"/>
      <c r="H27" s="2"/>
      <c r="I27" s="2"/>
      <c r="J27" s="2"/>
      <c r="K27" s="8" t="s">
        <v>221</v>
      </c>
      <c r="L27" s="65"/>
      <c r="M27" s="125"/>
      <c r="N27" s="125"/>
      <c r="O27" s="125"/>
      <c r="P27" s="125"/>
      <c r="Q27" s="179"/>
      <c r="R27" s="180"/>
      <c r="S27" s="184"/>
      <c r="T27" s="182"/>
      <c r="U27" s="125"/>
      <c r="V27" s="125"/>
      <c r="W27" s="125"/>
      <c r="X27" s="125"/>
    </row>
    <row r="28" spans="1:24" x14ac:dyDescent="0.2">
      <c r="A28" s="124"/>
      <c r="B28" s="72" t="s">
        <v>141</v>
      </c>
      <c r="C28" s="261">
        <v>0</v>
      </c>
      <c r="D28" s="40"/>
      <c r="E28" s="18"/>
      <c r="F28" s="2"/>
      <c r="G28" s="2"/>
      <c r="H28" s="2"/>
      <c r="I28" s="2"/>
      <c r="J28" s="2"/>
      <c r="K28" s="21">
        <v>0</v>
      </c>
      <c r="L28" s="65"/>
      <c r="M28" s="125"/>
      <c r="N28" s="125"/>
      <c r="O28" s="125"/>
      <c r="P28" s="125"/>
      <c r="Q28" s="179"/>
      <c r="R28" s="180"/>
      <c r="S28" s="184"/>
      <c r="T28" s="182"/>
      <c r="U28" s="125"/>
      <c r="V28" s="125"/>
      <c r="W28" s="125"/>
      <c r="X28" s="125"/>
    </row>
    <row r="29" spans="1:24" x14ac:dyDescent="0.2">
      <c r="A29" s="124"/>
      <c r="B29" s="66"/>
      <c r="C29" s="2"/>
      <c r="D29" s="2"/>
      <c r="E29" s="2"/>
      <c r="F29" s="2"/>
      <c r="G29" s="8"/>
      <c r="H29" s="8"/>
      <c r="I29" s="50" t="s">
        <v>266</v>
      </c>
      <c r="J29" s="2"/>
      <c r="K29" s="50" t="s">
        <v>267</v>
      </c>
      <c r="L29" s="6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spans="1:24" x14ac:dyDescent="0.2">
      <c r="A30" s="124"/>
      <c r="B30" s="66"/>
      <c r="C30" s="52" t="s">
        <v>1749</v>
      </c>
      <c r="D30" s="20" t="s">
        <v>1750</v>
      </c>
      <c r="E30" s="52" t="s">
        <v>1741</v>
      </c>
      <c r="F30" s="2"/>
      <c r="G30" s="50" t="s">
        <v>1739</v>
      </c>
      <c r="H30" s="50" t="s">
        <v>265</v>
      </c>
      <c r="I30" s="50" t="s">
        <v>269</v>
      </c>
      <c r="J30" s="2"/>
      <c r="K30" s="50" t="s">
        <v>268</v>
      </c>
      <c r="L30" s="6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x14ac:dyDescent="0.2">
      <c r="A31" s="124"/>
      <c r="B31" s="73" t="s">
        <v>1745</v>
      </c>
      <c r="C31" s="500" t="s">
        <v>1754</v>
      </c>
      <c r="D31" s="24">
        <v>7</v>
      </c>
      <c r="E31" s="21">
        <f>INDEX(Z_values,MATCH(C31,Symbol_values,0))</f>
        <v>3</v>
      </c>
      <c r="F31" s="2"/>
      <c r="G31" s="54">
        <f ca="1">Masses!K2</f>
        <v>7.0160045510122844</v>
      </c>
      <c r="H31" s="38">
        <f ca="1">Masses!K2*Masses!A2</f>
        <v>6535.3651609999997</v>
      </c>
      <c r="I31" s="21">
        <f ca="1">Masses!N2</f>
        <v>14.908140999999999</v>
      </c>
      <c r="J31" s="48"/>
      <c r="K31" s="38">
        <f ca="1">IF((D36=0),I31+I32-I34-C27-C28,I31+I32-I34-I36-C27-C28)-K28</f>
        <v>-1.7763568394002505E-15</v>
      </c>
      <c r="L31" s="6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x14ac:dyDescent="0.2">
      <c r="A32" s="124"/>
      <c r="B32" s="73" t="s">
        <v>1746</v>
      </c>
      <c r="C32" s="499" t="s">
        <v>1698</v>
      </c>
      <c r="D32" s="24">
        <v>197</v>
      </c>
      <c r="E32" s="21">
        <f>INDEX(Z_values,MATCH(C32,Symbol_values,0))</f>
        <v>79</v>
      </c>
      <c r="F32" s="2"/>
      <c r="G32" s="54">
        <f ca="1">Masses!K3</f>
        <v>196.96656865671665</v>
      </c>
      <c r="H32" s="38">
        <f ca="1">Masses!K3*Masses!A2</f>
        <v>183473.14932900001</v>
      </c>
      <c r="I32" s="21">
        <f ca="1">Masses!N3</f>
        <v>-31.141090999999999</v>
      </c>
      <c r="J32" s="48"/>
      <c r="K32" s="48"/>
      <c r="L32" s="65"/>
      <c r="M32" s="125"/>
      <c r="N32" s="183" t="str">
        <f>C31</f>
        <v>Li</v>
      </c>
      <c r="O32" s="180" t="s">
        <v>244</v>
      </c>
      <c r="P32" s="182" t="str">
        <f>C32</f>
        <v>Au</v>
      </c>
      <c r="Q32" s="125"/>
      <c r="R32" s="125"/>
      <c r="S32" s="125"/>
      <c r="T32" s="125"/>
      <c r="U32" s="125"/>
      <c r="V32" s="125"/>
      <c r="W32" s="125"/>
      <c r="X32" s="125"/>
    </row>
    <row r="33" spans="1:24" x14ac:dyDescent="0.2">
      <c r="A33" s="124"/>
      <c r="B33" s="73"/>
      <c r="C33" s="18"/>
      <c r="D33" s="20"/>
      <c r="E33" s="19"/>
      <c r="F33" s="2"/>
      <c r="G33" s="48"/>
      <c r="H33" s="48"/>
      <c r="I33" s="48"/>
      <c r="J33" s="48"/>
      <c r="K33" s="50" t="s">
        <v>1672</v>
      </c>
      <c r="L33" s="6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</row>
    <row r="34" spans="1:24" x14ac:dyDescent="0.2">
      <c r="A34" s="124"/>
      <c r="B34" s="73" t="s">
        <v>1747</v>
      </c>
      <c r="C34" s="499" t="s">
        <v>1698</v>
      </c>
      <c r="D34" s="24">
        <v>197</v>
      </c>
      <c r="E34" s="21">
        <f>INDEX(Z_values,MATCH(C34,Symbol_values,0))</f>
        <v>79</v>
      </c>
      <c r="F34" s="2"/>
      <c r="G34" s="54">
        <f ca="1">Masses!K4</f>
        <v>196.96656865671665</v>
      </c>
      <c r="H34" s="38">
        <f ca="1">Masses!K4*Masses!A2</f>
        <v>183473.14932900001</v>
      </c>
      <c r="I34" s="21">
        <f ca="1">Masses!N4</f>
        <v>-31.141090999999999</v>
      </c>
      <c r="J34" s="48"/>
      <c r="K34" s="38">
        <f ca="1">(1.44*E$31*E$32)/(1.3*(G$31^(1/3)+G$32^(1/3)))</f>
        <v>33.94970071891067</v>
      </c>
      <c r="L34" s="65"/>
      <c r="M34" s="125"/>
      <c r="N34" s="125"/>
      <c r="O34" s="125"/>
      <c r="P34" s="125"/>
      <c r="Q34" s="179" t="s">
        <v>245</v>
      </c>
      <c r="R34" s="180" t="s">
        <v>246</v>
      </c>
      <c r="S34" s="181">
        <f ca="1">K31</f>
        <v>-1.7763568394002505E-15</v>
      </c>
      <c r="T34" s="182" t="s">
        <v>593</v>
      </c>
      <c r="U34" s="125"/>
      <c r="V34" s="125"/>
      <c r="W34" s="125"/>
      <c r="X34" s="125"/>
    </row>
    <row r="35" spans="1:24" x14ac:dyDescent="0.2">
      <c r="A35" s="124"/>
      <c r="B35" s="74"/>
      <c r="C35" s="2"/>
      <c r="D35" s="2"/>
      <c r="E35" s="2"/>
      <c r="F35" s="2"/>
      <c r="G35" s="2"/>
      <c r="H35" s="2"/>
      <c r="I35" s="2"/>
      <c r="J35" s="48"/>
      <c r="K35" s="48"/>
      <c r="L35" s="6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</row>
    <row r="36" spans="1:24" x14ac:dyDescent="0.2">
      <c r="A36" s="124"/>
      <c r="B36" s="73" t="s">
        <v>1748</v>
      </c>
      <c r="C36" s="21" t="str">
        <f>IF((D36=0),Masses!D8,INDEX(Symbol_values,MATCH(E36,Z_values,1)))</f>
        <v>Li</v>
      </c>
      <c r="D36" s="25">
        <f>D31+D32-D34</f>
        <v>7</v>
      </c>
      <c r="E36" s="21">
        <f>E31+E32-E34</f>
        <v>3</v>
      </c>
      <c r="F36" s="2"/>
      <c r="G36" s="54">
        <f ca="1">Masses!K5</f>
        <v>7.0160045510122844</v>
      </c>
      <c r="H36" s="38">
        <f ca="1">Masses!K5*Masses!A2</f>
        <v>6535.3651609999997</v>
      </c>
      <c r="I36" s="21">
        <f ca="1">Masses!N5</f>
        <v>14.908140999999999</v>
      </c>
      <c r="J36" s="2"/>
      <c r="K36" s="2"/>
      <c r="L36" s="6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ht="13.5" thickBot="1" x14ac:dyDescent="0.25">
      <c r="A37" s="124"/>
      <c r="B37" s="69"/>
      <c r="C37" s="60"/>
      <c r="D37" s="60"/>
      <c r="E37" s="60"/>
      <c r="F37" s="60"/>
      <c r="G37" s="60"/>
      <c r="H37" s="60"/>
      <c r="I37" s="60"/>
      <c r="J37" s="60"/>
      <c r="K37" s="60"/>
      <c r="L37" s="70"/>
      <c r="M37" s="125"/>
      <c r="N37" s="125"/>
      <c r="O37" s="125"/>
      <c r="P37" s="125"/>
      <c r="Q37" s="179" t="str">
        <f>C34</f>
        <v>Au</v>
      </c>
      <c r="R37" s="180" t="s">
        <v>244</v>
      </c>
      <c r="S37" s="182" t="str">
        <f>C36</f>
        <v>Li</v>
      </c>
      <c r="T37" s="125"/>
      <c r="U37" s="125"/>
      <c r="V37" s="125"/>
      <c r="W37" s="125"/>
      <c r="X37" s="125"/>
    </row>
    <row r="38" spans="1:24" x14ac:dyDescent="0.2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x14ac:dyDescent="0.2">
      <c r="N39" s="120"/>
    </row>
  </sheetData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Z182"/>
  <sheetViews>
    <sheetView tabSelected="1" topLeftCell="K9" zoomScaleNormal="100" workbookViewId="0">
      <selection activeCell="W29" sqref="W29"/>
    </sheetView>
  </sheetViews>
  <sheetFormatPr defaultColWidth="8.85546875" defaultRowHeight="12.75" x14ac:dyDescent="0.2"/>
  <cols>
    <col min="4" max="4" width="11.28515625" bestFit="1" customWidth="1"/>
    <col min="14" max="14" width="22.28515625" bestFit="1" customWidth="1"/>
    <col min="15" max="15" width="4.42578125" customWidth="1"/>
    <col min="16" max="16" width="6.28515625" customWidth="1"/>
    <col min="17" max="17" width="14" bestFit="1" customWidth="1"/>
    <col min="18" max="18" width="10.85546875" customWidth="1"/>
    <col min="20" max="21" width="10.7109375" style="77" customWidth="1"/>
    <col min="22" max="23" width="9.140625" style="77" customWidth="1"/>
    <col min="26" max="26" width="9.140625" style="14" customWidth="1"/>
  </cols>
  <sheetData>
    <row r="2" spans="1:25" x14ac:dyDescent="0.2">
      <c r="N2" s="13"/>
      <c r="S2" s="43" t="s">
        <v>537</v>
      </c>
      <c r="T2" s="75" t="s">
        <v>201</v>
      </c>
      <c r="U2" s="75" t="s">
        <v>202</v>
      </c>
      <c r="V2" s="75" t="s">
        <v>1666</v>
      </c>
      <c r="W2" s="75" t="s">
        <v>1667</v>
      </c>
      <c r="X2" s="44" t="s">
        <v>534</v>
      </c>
      <c r="Y2" s="44" t="s">
        <v>535</v>
      </c>
    </row>
    <row r="3" spans="1:25" x14ac:dyDescent="0.2">
      <c r="D3" s="305" t="s">
        <v>316</v>
      </c>
      <c r="E3" s="505" t="str">
        <f>P9</f>
        <v>Au</v>
      </c>
      <c r="G3" s="159" t="s">
        <v>317</v>
      </c>
      <c r="H3" s="505" t="str">
        <f>P10</f>
        <v>Li</v>
      </c>
      <c r="N3" s="59" t="s">
        <v>300</v>
      </c>
      <c r="S3" s="45">
        <v>1</v>
      </c>
      <c r="T3" s="76">
        <f ca="1">X3-180*(-1+SIGN(X3))/2</f>
        <v>0.49999999999999989</v>
      </c>
      <c r="U3" s="76">
        <f t="shared" ref="U3:U34" ca="1" si="0">Y3-180*(-1+SIGN(Y3))/2</f>
        <v>178.96315997696095</v>
      </c>
      <c r="V3" s="78">
        <f t="shared" ref="V3:V34" ca="1" si="1">(($R$11*SIN(RADIANS(S3))/SIN(RADIANS(X3)))^2)/(2*$O$9)</f>
        <v>0.39760524388994567</v>
      </c>
      <c r="W3" s="78">
        <f t="shared" ref="W3:W34" ca="1" si="2">(($R$11*SIN(RADIANS(S3))/SIN(RADIANS(Y3)))^2)/(2*$O$10)</f>
        <v>2.6023947561100544</v>
      </c>
      <c r="X3" s="46">
        <f t="shared" ref="X3:X34" ca="1" si="3">DEGREES(ATAN(SIN(RADIANS(S3))/($R$12/$R$11+COS(RADIANS(S3)))))</f>
        <v>0.49999999999999989</v>
      </c>
      <c r="Y3" s="46">
        <f t="shared" ref="Y3:Y34" ca="1" si="4">DEGREES(ATAN(SIN(RADIANS(S3))/($R$12/$R$13-COS(RADIANS(S3)))))</f>
        <v>-1.0368400230390575</v>
      </c>
    </row>
    <row r="4" spans="1:2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3" t="s">
        <v>78</v>
      </c>
      <c r="S4" s="45">
        <v>2</v>
      </c>
      <c r="T4" s="76">
        <f t="shared" ref="T4:T34" ca="1" si="5">X4-180*(-1+SIGN(X4))/2</f>
        <v>0.99999999999999978</v>
      </c>
      <c r="U4" s="76">
        <f t="shared" ca="1" si="0"/>
        <v>177.92633244615652</v>
      </c>
      <c r="V4" s="78">
        <f t="shared" ca="1" si="1"/>
        <v>0.39751441038917712</v>
      </c>
      <c r="W4" s="78">
        <f t="shared" ca="1" si="2"/>
        <v>2.6024855896108212</v>
      </c>
      <c r="X4" s="46">
        <f t="shared" ca="1" si="3"/>
        <v>0.99999999999999978</v>
      </c>
      <c r="Y4" s="46">
        <f t="shared" ca="1" si="4"/>
        <v>-2.0736675538434723</v>
      </c>
    </row>
    <row r="5" spans="1:2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9" t="s">
        <v>301</v>
      </c>
      <c r="S5" s="45">
        <v>3</v>
      </c>
      <c r="T5" s="76">
        <f t="shared" ca="1" si="5"/>
        <v>1.5</v>
      </c>
      <c r="U5" s="76">
        <f t="shared" ca="1" si="0"/>
        <v>176.88952989427256</v>
      </c>
      <c r="V5" s="78">
        <f t="shared" ca="1" si="1"/>
        <v>0.39736305196461302</v>
      </c>
      <c r="W5" s="78">
        <f t="shared" ca="1" si="2"/>
        <v>2.6026369480353853</v>
      </c>
      <c r="X5" s="46">
        <f t="shared" ca="1" si="3"/>
        <v>1.5</v>
      </c>
      <c r="Y5" s="46">
        <f t="shared" ca="1" si="4"/>
        <v>-3.1104701057274426</v>
      </c>
    </row>
    <row r="6" spans="1:25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3"/>
      <c r="S6" s="45">
        <v>4</v>
      </c>
      <c r="T6" s="76">
        <f t="shared" ca="1" si="5"/>
        <v>2</v>
      </c>
      <c r="U6" s="76">
        <f t="shared" ca="1" si="0"/>
        <v>175.85276479690157</v>
      </c>
      <c r="V6" s="78">
        <f t="shared" ca="1" si="1"/>
        <v>0.39715121472149606</v>
      </c>
      <c r="W6" s="78">
        <f t="shared" ca="1" si="2"/>
        <v>2.6028487852785025</v>
      </c>
      <c r="X6" s="46">
        <f t="shared" ca="1" si="3"/>
        <v>2</v>
      </c>
      <c r="Y6" s="46">
        <f t="shared" ca="1" si="4"/>
        <v>-4.147235203098429</v>
      </c>
    </row>
    <row r="7" spans="1:25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51" t="s">
        <v>302</v>
      </c>
      <c r="O7">
        <f>Reaction!D31</f>
        <v>7</v>
      </c>
      <c r="P7" s="266" t="str">
        <f>Reaction!C31</f>
        <v>Li</v>
      </c>
      <c r="Q7" s="40" t="s">
        <v>313</v>
      </c>
      <c r="R7" s="336">
        <f>Reaction!C24</f>
        <v>3</v>
      </c>
      <c r="S7" s="45">
        <v>5</v>
      </c>
      <c r="T7" s="76">
        <f t="shared" ca="1" si="5"/>
        <v>2.4999999999999996</v>
      </c>
      <c r="U7" s="76">
        <f t="shared" ca="1" si="0"/>
        <v>174.81604961300727</v>
      </c>
      <c r="V7" s="78">
        <f t="shared" ca="1" si="1"/>
        <v>0.39687896318750238</v>
      </c>
      <c r="W7" s="78">
        <f t="shared" ca="1" si="2"/>
        <v>2.6031210368124955</v>
      </c>
      <c r="X7" s="46">
        <f t="shared" ca="1" si="3"/>
        <v>2.4999999999999996</v>
      </c>
      <c r="Y7" s="46">
        <f t="shared" ca="1" si="4"/>
        <v>-5.1839503869927341</v>
      </c>
    </row>
    <row r="8" spans="1:25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51" t="s">
        <v>303</v>
      </c>
      <c r="O8">
        <f>Reaction!D32</f>
        <v>197</v>
      </c>
      <c r="P8" s="501" t="str">
        <f>Reaction!C32</f>
        <v>Au</v>
      </c>
      <c r="Q8" s="40" t="s">
        <v>314</v>
      </c>
      <c r="R8">
        <f ca="1">Reaction!K31</f>
        <v>-1.7763568394002505E-15</v>
      </c>
      <c r="S8" s="45">
        <v>6</v>
      </c>
      <c r="T8" s="76">
        <f t="shared" ca="1" si="5"/>
        <v>3</v>
      </c>
      <c r="U8" s="76">
        <f t="shared" ca="1" si="0"/>
        <v>173.77939677940216</v>
      </c>
      <c r="V8" s="78">
        <f t="shared" ca="1" si="1"/>
        <v>0.39654638029308631</v>
      </c>
      <c r="W8" s="78">
        <f t="shared" ca="1" si="2"/>
        <v>2.6034536197069116</v>
      </c>
      <c r="X8" s="46">
        <f t="shared" ca="1" si="3"/>
        <v>3</v>
      </c>
      <c r="Y8" s="46">
        <f t="shared" ca="1" si="4"/>
        <v>-6.2206032205978445</v>
      </c>
    </row>
    <row r="9" spans="1:25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51" t="s">
        <v>304</v>
      </c>
      <c r="O9">
        <f>Reaction!D34</f>
        <v>197</v>
      </c>
      <c r="P9" s="501" t="str">
        <f>Reaction!C34</f>
        <v>Au</v>
      </c>
      <c r="S9" s="45">
        <v>7</v>
      </c>
      <c r="T9" s="76">
        <f t="shared" ca="1" si="5"/>
        <v>3.4999999999999996</v>
      </c>
      <c r="U9" s="76">
        <f t="shared" ca="1" si="0"/>
        <v>172.74281870524285</v>
      </c>
      <c r="V9" s="78">
        <f t="shared" ca="1" si="1"/>
        <v>0.39615356734621993</v>
      </c>
      <c r="W9" s="78">
        <f t="shared" ca="1" si="2"/>
        <v>2.6038464326537785</v>
      </c>
      <c r="X9" s="46">
        <f t="shared" ca="1" si="3"/>
        <v>3.4999999999999996</v>
      </c>
      <c r="Y9" s="46">
        <f t="shared" ca="1" si="4"/>
        <v>-7.257181294757145</v>
      </c>
    </row>
    <row r="10" spans="1:25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51" t="s">
        <v>305</v>
      </c>
      <c r="O10">
        <f>Reaction!D36</f>
        <v>7</v>
      </c>
      <c r="P10" s="501" t="str">
        <f>Reaction!C36</f>
        <v>Li</v>
      </c>
      <c r="S10" s="45">
        <v>8</v>
      </c>
      <c r="T10" s="76">
        <f t="shared" ca="1" si="5"/>
        <v>3.9999999999999991</v>
      </c>
      <c r="U10" s="76">
        <f t="shared" ca="1" si="0"/>
        <v>171.70632776654733</v>
      </c>
      <c r="V10" s="78">
        <f t="shared" ca="1" si="1"/>
        <v>0.39570064400153176</v>
      </c>
      <c r="W10" s="78">
        <f t="shared" ca="1" si="2"/>
        <v>2.6042993559984682</v>
      </c>
      <c r="X10" s="46">
        <f t="shared" ca="1" si="3"/>
        <v>3.9999999999999991</v>
      </c>
      <c r="Y10" s="46">
        <f t="shared" ca="1" si="4"/>
        <v>-8.2936722334526589</v>
      </c>
    </row>
    <row r="11" spans="1:25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51"/>
      <c r="Q11" t="s">
        <v>529</v>
      </c>
      <c r="R11" s="313">
        <f ca="1">SQRT((R7*O8/(O7+O8)+R8)*2*O9*O10/(O9+O10))</f>
        <v>6.2583623411095495</v>
      </c>
      <c r="S11" s="45">
        <v>9</v>
      </c>
      <c r="T11" s="76">
        <f t="shared" ca="1" si="5"/>
        <v>4.5</v>
      </c>
      <c r="U11" s="76">
        <f t="shared" ca="1" si="0"/>
        <v>170.6699363007385</v>
      </c>
      <c r="V11" s="78">
        <f t="shared" ca="1" si="1"/>
        <v>0.39518774822386005</v>
      </c>
      <c r="W11" s="78">
        <f t="shared" ca="1" si="2"/>
        <v>2.604812251776139</v>
      </c>
      <c r="X11" s="46">
        <f t="shared" ca="1" si="3"/>
        <v>4.5</v>
      </c>
      <c r="Y11" s="46">
        <f t="shared" ca="1" si="4"/>
        <v>-9.3300636992614923</v>
      </c>
    </row>
    <row r="12" spans="1:25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51" t="s">
        <v>306</v>
      </c>
      <c r="O12">
        <f>Reaction!E31</f>
        <v>3</v>
      </c>
      <c r="Q12" t="s">
        <v>530</v>
      </c>
      <c r="R12">
        <f>SQRT(2*O7*R7)*O9/(O7+O8)</f>
        <v>6.2583623411095513</v>
      </c>
      <c r="S12" s="45">
        <v>10</v>
      </c>
      <c r="T12" s="76">
        <f t="shared" ca="1" si="5"/>
        <v>4.9999999999999991</v>
      </c>
      <c r="U12" s="76">
        <f t="shared" ca="1" si="0"/>
        <v>169.63365660121832</v>
      </c>
      <c r="V12" s="78">
        <f t="shared" ca="1" si="1"/>
        <v>0.39461503624622751</v>
      </c>
      <c r="W12" s="78">
        <f t="shared" ca="1" si="2"/>
        <v>2.6053849637537709</v>
      </c>
      <c r="X12" s="46">
        <f t="shared" ca="1" si="3"/>
        <v>4.9999999999999991</v>
      </c>
      <c r="Y12" s="46">
        <f t="shared" ca="1" si="4"/>
        <v>-10.366343398781677</v>
      </c>
    </row>
    <row r="13" spans="1:25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51" t="s">
        <v>307</v>
      </c>
      <c r="O13">
        <f>Reaction!E32</f>
        <v>79</v>
      </c>
      <c r="Q13" t="s">
        <v>531</v>
      </c>
      <c r="R13">
        <f ca="1">R11*O9/O10</f>
        <v>176.12819731408305</v>
      </c>
      <c r="S13" s="45">
        <v>11</v>
      </c>
      <c r="T13" s="76">
        <f t="shared" ca="1" si="5"/>
        <v>5.4999999999999991</v>
      </c>
      <c r="U13" s="76">
        <f t="shared" ca="1" si="0"/>
        <v>168.59750091197679</v>
      </c>
      <c r="V13" s="78">
        <f t="shared" ca="1" si="1"/>
        <v>0.39398268252225022</v>
      </c>
      <c r="W13" s="78">
        <f t="shared" ca="1" si="2"/>
        <v>2.6060173174777477</v>
      </c>
      <c r="X13" s="46">
        <f t="shared" ca="1" si="3"/>
        <v>5.4999999999999991</v>
      </c>
      <c r="Y13" s="46">
        <f t="shared" ca="1" si="4"/>
        <v>-11.402499088023212</v>
      </c>
    </row>
    <row r="14" spans="1:25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51" t="s">
        <v>308</v>
      </c>
      <c r="O14">
        <f>Reaction!E34</f>
        <v>79</v>
      </c>
      <c r="Q14" t="s">
        <v>532</v>
      </c>
      <c r="R14">
        <f ca="1">R12/R11</f>
        <v>1.0000000000000002</v>
      </c>
      <c r="S14" s="45">
        <v>12</v>
      </c>
      <c r="T14" s="76">
        <f t="shared" ca="1" si="5"/>
        <v>6</v>
      </c>
      <c r="U14" s="76">
        <f t="shared" ca="1" si="0"/>
        <v>167.56148142223989</v>
      </c>
      <c r="V14" s="78">
        <f t="shared" ca="1" si="1"/>
        <v>0.39329087967299836</v>
      </c>
      <c r="W14" s="78">
        <f t="shared" ca="1" si="2"/>
        <v>2.6067091203270003</v>
      </c>
      <c r="X14" s="46">
        <f t="shared" ca="1" si="3"/>
        <v>6</v>
      </c>
      <c r="Y14" s="46">
        <f t="shared" ca="1" si="4"/>
        <v>-12.438518577760107</v>
      </c>
    </row>
    <row r="15" spans="1:25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51" t="s">
        <v>309</v>
      </c>
      <c r="O15">
        <f>Reaction!E36</f>
        <v>3</v>
      </c>
      <c r="Q15" t="s">
        <v>533</v>
      </c>
      <c r="R15">
        <f ca="1">R12/R13</f>
        <v>3.5532994923857877E-2</v>
      </c>
      <c r="S15" s="45">
        <v>13</v>
      </c>
      <c r="T15" s="76">
        <f t="shared" ca="1" si="5"/>
        <v>6.5</v>
      </c>
      <c r="U15" s="76">
        <f t="shared" ca="1" si="0"/>
        <v>166.52561026116072</v>
      </c>
      <c r="V15" s="78">
        <f t="shared" ca="1" si="1"/>
        <v>0.39253983842832146</v>
      </c>
      <c r="W15" s="78">
        <f t="shared" ca="1" si="2"/>
        <v>2.607460161571677</v>
      </c>
      <c r="X15" s="46">
        <f t="shared" ca="1" si="3"/>
        <v>6.5</v>
      </c>
      <c r="Y15" s="46">
        <f t="shared" ca="1" si="4"/>
        <v>-13.474389738839276</v>
      </c>
    </row>
    <row r="16" spans="1:25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3"/>
      <c r="Q16" t="s">
        <v>536</v>
      </c>
      <c r="R16">
        <f ca="1">R11/R13</f>
        <v>3.5532994923857864E-2</v>
      </c>
      <c r="S16" s="45">
        <v>14</v>
      </c>
      <c r="T16" s="76">
        <f t="shared" ca="1" si="5"/>
        <v>6.9999999999999991</v>
      </c>
      <c r="U16" s="76">
        <f t="shared" ca="1" si="0"/>
        <v>165.48989949255773</v>
      </c>
      <c r="V16" s="78">
        <f t="shared" ca="1" si="1"/>
        <v>0.39172978756265847</v>
      </c>
      <c r="W16" s="78">
        <f t="shared" ca="1" si="2"/>
        <v>2.6082702124373394</v>
      </c>
      <c r="X16" s="46">
        <f t="shared" ca="1" si="3"/>
        <v>6.9999999999999991</v>
      </c>
      <c r="Y16" s="46">
        <f t="shared" ca="1" si="4"/>
        <v>-14.510100507442269</v>
      </c>
    </row>
    <row r="17" spans="1:25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3"/>
      <c r="S17" s="45">
        <v>15</v>
      </c>
      <c r="T17" s="76">
        <f t="shared" ca="1" si="5"/>
        <v>7.4999999999999982</v>
      </c>
      <c r="U17" s="76">
        <f t="shared" ca="1" si="0"/>
        <v>164.45436110970419</v>
      </c>
      <c r="V17" s="78">
        <f t="shared" ca="1" si="1"/>
        <v>0.39086097382534973</v>
      </c>
      <c r="W17" s="78">
        <f t="shared" ca="1" si="2"/>
        <v>2.6091390261746499</v>
      </c>
      <c r="X17" s="46">
        <f t="shared" ca="1" si="3"/>
        <v>7.4999999999999982</v>
      </c>
      <c r="Y17" s="46">
        <f t="shared" ca="1" si="4"/>
        <v>-15.545638890295795</v>
      </c>
    </row>
    <row r="18" spans="1:25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3"/>
      <c r="S18" s="45">
        <v>16</v>
      </c>
      <c r="T18" s="76">
        <f t="shared" ca="1" si="5"/>
        <v>7.9999999999999982</v>
      </c>
      <c r="U18" s="76">
        <f t="shared" ca="1" si="0"/>
        <v>163.41900703017279</v>
      </c>
      <c r="V18" s="78">
        <f t="shared" ca="1" si="1"/>
        <v>0.3899336618654759</v>
      </c>
      <c r="W18" s="78">
        <f t="shared" ca="1" si="2"/>
        <v>2.6100663381345233</v>
      </c>
      <c r="X18" s="46">
        <f ca="1">DEGREES(ATAN(SIN(RADIANS(S18))/($R$12/$R$11+COS(RADIANS(S18)))))</f>
        <v>7.9999999999999982</v>
      </c>
      <c r="Y18" s="46">
        <f t="shared" ca="1" si="4"/>
        <v>-16.580992969827211</v>
      </c>
    </row>
    <row r="19" spans="1:25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3"/>
      <c r="S19" s="45">
        <v>17</v>
      </c>
      <c r="T19" s="76">
        <f t="shared" ca="1" si="5"/>
        <v>8.5</v>
      </c>
      <c r="U19" s="76">
        <f t="shared" ca="1" si="0"/>
        <v>162.38384909073898</v>
      </c>
      <c r="V19" s="78">
        <f t="shared" ca="1" si="1"/>
        <v>0.38894813415124352</v>
      </c>
      <c r="W19" s="78">
        <f t="shared" ca="1" si="2"/>
        <v>2.6110518658487547</v>
      </c>
      <c r="X19" s="46">
        <f t="shared" ca="1" si="3"/>
        <v>8.5</v>
      </c>
      <c r="Y19" s="46">
        <f t="shared" ca="1" si="4"/>
        <v>-17.616150909261027</v>
      </c>
    </row>
    <row r="20" spans="1:25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3"/>
      <c r="P20" s="45"/>
      <c r="Q20" s="100"/>
      <c r="R20" s="100"/>
      <c r="S20" s="45">
        <v>18</v>
      </c>
      <c r="T20" s="76">
        <f t="shared" ca="1" si="5"/>
        <v>9</v>
      </c>
      <c r="U20" s="76">
        <f t="shared" ca="1" si="0"/>
        <v>161.34889904234726</v>
      </c>
      <c r="V20" s="78">
        <f t="shared" ca="1" si="1"/>
        <v>0.38790469088394103</v>
      </c>
      <c r="W20" s="78">
        <f t="shared" ca="1" si="2"/>
        <v>2.6120953091160568</v>
      </c>
      <c r="X20" s="46">
        <f t="shared" ca="1" si="3"/>
        <v>9</v>
      </c>
      <c r="Y20" s="46">
        <f t="shared" ca="1" si="4"/>
        <v>-18.651100957652755</v>
      </c>
    </row>
    <row r="21" spans="1:25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3"/>
      <c r="P21" s="45"/>
      <c r="Q21" s="100"/>
      <c r="R21" s="100"/>
      <c r="S21" s="45">
        <v>19</v>
      </c>
      <c r="T21" s="76">
        <f t="shared" ca="1" si="5"/>
        <v>9.5</v>
      </c>
      <c r="U21" s="76">
        <f t="shared" ca="1" si="0"/>
        <v>160.3141685451435</v>
      </c>
      <c r="V21" s="78">
        <f t="shared" ca="1" si="1"/>
        <v>0.38680364990649602</v>
      </c>
      <c r="W21" s="78">
        <f t="shared" ca="1" si="2"/>
        <v>2.6131963500935029</v>
      </c>
      <c r="X21" s="46">
        <f t="shared" ca="1" si="3"/>
        <v>9.5</v>
      </c>
      <c r="Y21" s="46">
        <f t="shared" ca="1" si="4"/>
        <v>-19.685831454856512</v>
      </c>
    </row>
    <row r="22" spans="1:25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3"/>
      <c r="P22" s="45"/>
      <c r="Q22" s="101"/>
      <c r="R22" s="102"/>
      <c r="S22" s="45">
        <v>20</v>
      </c>
      <c r="T22" s="76">
        <f t="shared" ca="1" si="5"/>
        <v>9.9999999999999982</v>
      </c>
      <c r="U22" s="76">
        <f t="shared" ca="1" si="0"/>
        <v>159.27966916357735</v>
      </c>
      <c r="V22" s="78">
        <f t="shared" ca="1" si="1"/>
        <v>0.38564534660665617</v>
      </c>
      <c r="W22" s="78">
        <f t="shared" ca="1" si="2"/>
        <v>2.6143546533933417</v>
      </c>
      <c r="X22" s="46">
        <f t="shared" ca="1" si="3"/>
        <v>9.9999999999999982</v>
      </c>
      <c r="Y22" s="46">
        <f t="shared" ca="1" si="4"/>
        <v>-20.72033083642264</v>
      </c>
    </row>
    <row r="23" spans="1:25" x14ac:dyDescent="0.2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3"/>
      <c r="P23" s="45"/>
      <c r="Q23" s="103"/>
      <c r="R23" s="103"/>
      <c r="S23" s="45">
        <v>21</v>
      </c>
      <c r="T23" s="76">
        <f t="shared" ca="1" si="5"/>
        <v>10.499999999999996</v>
      </c>
      <c r="U23" s="76">
        <f t="shared" ca="1" si="0"/>
        <v>158.24541236157793</v>
      </c>
      <c r="V23" s="78">
        <f t="shared" ca="1" si="1"/>
        <v>0.3844301338148271</v>
      </c>
      <c r="W23" s="78">
        <f t="shared" ca="1" si="2"/>
        <v>2.6155698661851714</v>
      </c>
      <c r="X23" s="46">
        <f t="shared" ca="1" si="3"/>
        <v>10.499999999999996</v>
      </c>
      <c r="Y23" s="46">
        <f t="shared" ca="1" si="4"/>
        <v>-21.75458763842207</v>
      </c>
    </row>
    <row r="24" spans="1:25" x14ac:dyDescent="0.2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3"/>
      <c r="P24" s="45"/>
      <c r="Q24" s="101"/>
      <c r="R24" s="101"/>
      <c r="S24" s="45">
        <v>22</v>
      </c>
      <c r="T24" s="76">
        <f t="shared" ca="1" si="5"/>
        <v>10.999999999999998</v>
      </c>
      <c r="U24" s="76">
        <f t="shared" ca="1" si="0"/>
        <v>157.21140949780602</v>
      </c>
      <c r="V24" s="78">
        <f t="shared" ca="1" si="1"/>
        <v>0.38315838169659733</v>
      </c>
      <c r="W24" s="78">
        <f t="shared" ca="1" si="2"/>
        <v>2.6168416183034009</v>
      </c>
      <c r="X24" s="46">
        <f t="shared" ca="1" si="3"/>
        <v>10.999999999999998</v>
      </c>
      <c r="Y24" s="46">
        <f t="shared" ca="1" si="4"/>
        <v>-22.788590502193994</v>
      </c>
    </row>
    <row r="25" spans="1:25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3"/>
      <c r="P25" s="45"/>
      <c r="Q25" s="100"/>
      <c r="R25" s="100"/>
      <c r="S25" s="45">
        <v>23</v>
      </c>
      <c r="T25" s="76">
        <f t="shared" ca="1" si="5"/>
        <v>11.5</v>
      </c>
      <c r="U25" s="76">
        <f t="shared" ca="1" si="0"/>
        <v>156.17767182098638</v>
      </c>
      <c r="V25" s="78">
        <f t="shared" ca="1" si="1"/>
        <v>0.38183047763998185</v>
      </c>
      <c r="W25" s="78">
        <f t="shared" ca="1" si="2"/>
        <v>2.6181695223600161</v>
      </c>
      <c r="X25" s="46">
        <f t="shared" ca="1" si="3"/>
        <v>11.5</v>
      </c>
      <c r="Y25" s="46">
        <f t="shared" ca="1" si="4"/>
        <v>-23.822328179013628</v>
      </c>
    </row>
    <row r="26" spans="1:25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3"/>
      <c r="P26" s="45"/>
      <c r="Q26" s="100"/>
      <c r="R26" s="100"/>
      <c r="S26" s="45">
        <v>24</v>
      </c>
      <c r="T26" s="76">
        <f t="shared" ca="1" si="5"/>
        <v>12</v>
      </c>
      <c r="U26" s="76">
        <f t="shared" ca="1" si="0"/>
        <v>155.14421046532308</v>
      </c>
      <c r="V26" s="78">
        <f t="shared" ca="1" si="1"/>
        <v>0.38044682613742009</v>
      </c>
      <c r="W26" s="78">
        <f t="shared" ca="1" si="2"/>
        <v>2.6195531738625784</v>
      </c>
      <c r="X26" s="46">
        <f t="shared" ca="1" si="3"/>
        <v>12</v>
      </c>
      <c r="Y26" s="46">
        <f t="shared" ca="1" si="4"/>
        <v>-24.855789534676909</v>
      </c>
    </row>
    <row r="27" spans="1:25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3"/>
      <c r="P27" s="45"/>
      <c r="Q27" s="101"/>
      <c r="R27" s="102"/>
      <c r="S27" s="45">
        <v>25</v>
      </c>
      <c r="T27" s="76">
        <f t="shared" ca="1" si="5"/>
        <v>12.5</v>
      </c>
      <c r="U27" s="76">
        <f t="shared" ca="1" si="0"/>
        <v>154.11103644600081</v>
      </c>
      <c r="V27" s="78">
        <f t="shared" ca="1" si="1"/>
        <v>0.37900784866256332</v>
      </c>
      <c r="W27" s="78">
        <f t="shared" ca="1" si="2"/>
        <v>2.6209921513374348</v>
      </c>
      <c r="X27" s="46">
        <f t="shared" ca="1" si="3"/>
        <v>12.5</v>
      </c>
      <c r="Y27" s="46">
        <f t="shared" ca="1" si="4"/>
        <v>-25.888963553999194</v>
      </c>
    </row>
    <row r="28" spans="1:25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3"/>
      <c r="P28" s="45"/>
      <c r="Q28" s="103"/>
      <c r="R28" s="103"/>
      <c r="S28" s="45">
        <v>26</v>
      </c>
      <c r="T28" s="76">
        <f t="shared" ca="1" si="5"/>
        <v>12.999999999999998</v>
      </c>
      <c r="U28" s="76">
        <f t="shared" ca="1" si="0"/>
        <v>153.07816065477499</v>
      </c>
      <c r="V28" s="78">
        <f t="shared" ca="1" si="1"/>
        <v>0.37751398354189014</v>
      </c>
      <c r="W28" s="78">
        <f t="shared" ca="1" si="2"/>
        <v>2.622486016458109</v>
      </c>
      <c r="X28" s="46">
        <f t="shared" ca="1" si="3"/>
        <v>12.999999999999998</v>
      </c>
      <c r="Y28" s="46">
        <f t="shared" ca="1" si="4"/>
        <v>-26.921839345225006</v>
      </c>
    </row>
    <row r="29" spans="1:25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"/>
      <c r="P29" s="45"/>
      <c r="Q29" s="101"/>
      <c r="R29" s="101"/>
      <c r="S29" s="45">
        <v>27</v>
      </c>
      <c r="T29" s="76">
        <f t="shared" ca="1" si="5"/>
        <v>13.499999999999996</v>
      </c>
      <c r="U29" s="76">
        <f t="shared" ca="1" si="0"/>
        <v>152.04559385565389</v>
      </c>
      <c r="V29" s="78">
        <f t="shared" ca="1" si="1"/>
        <v>0.37596568582118783</v>
      </c>
      <c r="W29" s="78">
        <f t="shared" ca="1" si="2"/>
        <v>2.6240343141788114</v>
      </c>
      <c r="X29" s="46">
        <f t="shared" ca="1" si="3"/>
        <v>13.499999999999996</v>
      </c>
      <c r="Y29" s="46">
        <f t="shared" ca="1" si="4"/>
        <v>-27.954406144346116</v>
      </c>
    </row>
    <row r="30" spans="1:25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3"/>
      <c r="P30" s="45"/>
      <c r="Q30" s="101"/>
      <c r="R30" s="101"/>
      <c r="S30" s="45">
        <v>28</v>
      </c>
      <c r="T30" s="76">
        <f t="shared" ca="1" si="5"/>
        <v>14</v>
      </c>
      <c r="U30" s="76">
        <f t="shared" ca="1" si="0"/>
        <v>151.01334668067472</v>
      </c>
      <c r="V30" s="78">
        <f t="shared" ca="1" si="1"/>
        <v>0.37436342712694048</v>
      </c>
      <c r="W30" s="78">
        <f t="shared" ca="1" si="2"/>
        <v>2.6256365728730584</v>
      </c>
      <c r="X30" s="46">
        <f t="shared" ca="1" si="3"/>
        <v>14</v>
      </c>
      <c r="Y30" s="46">
        <f t="shared" ca="1" si="4"/>
        <v>-28.986653319325278</v>
      </c>
    </row>
    <row r="31" spans="1:25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3"/>
      <c r="P31" s="45"/>
      <c r="Q31" s="103"/>
      <c r="R31" s="103"/>
      <c r="S31" s="45">
        <v>29</v>
      </c>
      <c r="T31" s="76">
        <f t="shared" ca="1" si="5"/>
        <v>14.500000000000002</v>
      </c>
      <c r="U31" s="76">
        <f t="shared" ca="1" si="0"/>
        <v>149.98142962577685</v>
      </c>
      <c r="V31" s="78">
        <f t="shared" ca="1" si="1"/>
        <v>0.37270769552266808</v>
      </c>
      <c r="W31" s="78">
        <f t="shared" ca="1" si="2"/>
        <v>2.6272923044773302</v>
      </c>
      <c r="X31" s="46">
        <f t="shared" ca="1" si="3"/>
        <v>14.500000000000002</v>
      </c>
      <c r="Y31" s="46">
        <f t="shared" ca="1" si="4"/>
        <v>-30.018570374223131</v>
      </c>
    </row>
    <row r="32" spans="1:25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3"/>
      <c r="P32" s="100"/>
      <c r="Q32" s="103"/>
      <c r="R32" s="103"/>
      <c r="S32" s="45">
        <v>30</v>
      </c>
      <c r="T32" s="76">
        <f t="shared" ca="1" si="5"/>
        <v>14.999999999999996</v>
      </c>
      <c r="U32" s="76">
        <f t="shared" ca="1" si="0"/>
        <v>148.94985304677402</v>
      </c>
      <c r="V32" s="78">
        <f t="shared" ca="1" si="1"/>
        <v>0.37099899536025666</v>
      </c>
      <c r="W32" s="78">
        <f t="shared" ca="1" si="2"/>
        <v>2.6290010046397425</v>
      </c>
      <c r="X32" s="46">
        <f t="shared" ca="1" si="3"/>
        <v>14.999999999999996</v>
      </c>
      <c r="Y32" s="46">
        <f t="shared" ca="1" si="4"/>
        <v>-31.05014695322599</v>
      </c>
    </row>
    <row r="33" spans="1:26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3"/>
      <c r="P33" s="100"/>
      <c r="Q33" s="101"/>
      <c r="R33" s="101"/>
      <c r="S33" s="45">
        <v>31</v>
      </c>
      <c r="T33" s="76">
        <f t="shared" ca="1" si="5"/>
        <v>15.5</v>
      </c>
      <c r="U33" s="76">
        <f t="shared" ca="1" si="0"/>
        <v>147.91862715542786</v>
      </c>
      <c r="V33" s="78">
        <f t="shared" ca="1" si="1"/>
        <v>0.36923784712632807</v>
      </c>
      <c r="W33" s="78">
        <f t="shared" ca="1" si="2"/>
        <v>2.6307621528736695</v>
      </c>
      <c r="X33" s="46">
        <f t="shared" ca="1" si="3"/>
        <v>15.5</v>
      </c>
      <c r="Y33" s="46">
        <f t="shared" ca="1" si="4"/>
        <v>-32.081372844572151</v>
      </c>
    </row>
    <row r="34" spans="1:26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3"/>
      <c r="S34" s="45">
        <v>32</v>
      </c>
      <c r="T34" s="76">
        <f t="shared" ca="1" si="5"/>
        <v>15.999999999999996</v>
      </c>
      <c r="U34" s="76">
        <f t="shared" ca="1" si="0"/>
        <v>146.88776201562541</v>
      </c>
      <c r="V34" s="78">
        <f t="shared" ca="1" si="1"/>
        <v>0.36742478728369532</v>
      </c>
      <c r="W34" s="78">
        <f t="shared" ca="1" si="2"/>
        <v>2.6325752127163016</v>
      </c>
      <c r="X34" s="46">
        <f t="shared" ca="1" si="3"/>
        <v>15.999999999999996</v>
      </c>
      <c r="Y34" s="46">
        <f t="shared" ca="1" si="4"/>
        <v>-33.112237984374602</v>
      </c>
    </row>
    <row r="35" spans="1:26" x14ac:dyDescent="0.2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3"/>
      <c r="S35" s="45">
        <v>33</v>
      </c>
      <c r="T35" s="76">
        <f t="shared" ref="T35:T66" ca="1" si="6">X35-180*(-1+SIGN(X35))/2</f>
        <v>16.499999999999996</v>
      </c>
      <c r="U35" s="76">
        <f t="shared" ref="U35:U66" ca="1" si="7">Y35-180*(-1+SIGN(Y35))/2</f>
        <v>145.85726753966162</v>
      </c>
      <c r="V35" s="78">
        <f t="shared" ref="V35:V66" ca="1" si="8">(($R$11*SIN(RADIANS(S35))/SIN(RADIANS(X35)))^2)/(2*$O$9)</f>
        <v>0.36556036810794973</v>
      </c>
      <c r="W35" s="78">
        <f t="shared" ref="W35:W66" ca="1" si="9">(($R$11*SIN(RADIANS(S35))/SIN(RADIANS(Y35)))^2)/(2*$O$10)</f>
        <v>2.634439631892048</v>
      </c>
      <c r="X35" s="46">
        <f t="shared" ref="X35:X66" ca="1" si="10">DEGREES(ATAN(SIN(RADIANS(S35))/($R$12/$R$11+COS(RADIANS(S35)))))</f>
        <v>16.499999999999996</v>
      </c>
      <c r="Y35" s="46">
        <f t="shared" ref="Y35:Y66" ca="1" si="11">DEGREES(ATAN(SIN(RADIANS(S35))/($R$12/$R$13-COS(RADIANS(S35)))))</f>
        <v>-34.142732460338365</v>
      </c>
    </row>
    <row r="36" spans="1:26" x14ac:dyDescent="0.2">
      <c r="B36" s="1" t="s">
        <v>315</v>
      </c>
      <c r="N36" s="13"/>
      <c r="S36" s="45">
        <v>34</v>
      </c>
      <c r="T36" s="331">
        <f t="shared" ca="1" si="6"/>
        <v>17</v>
      </c>
      <c r="U36" s="331">
        <f t="shared" ca="1" si="7"/>
        <v>144.82715348462952</v>
      </c>
      <c r="V36" s="332">
        <f t="shared" ca="1" si="8"/>
        <v>0.36364515751923304</v>
      </c>
      <c r="W36" s="332">
        <f t="shared" ca="1" si="9"/>
        <v>2.6363548424807655</v>
      </c>
      <c r="X36" s="46">
        <f t="shared" ca="1" si="10"/>
        <v>17</v>
      </c>
      <c r="Y36" s="46">
        <f t="shared" ca="1" si="11"/>
        <v>-35.17284651537048</v>
      </c>
    </row>
    <row r="37" spans="1:26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3"/>
      <c r="S37" s="45">
        <v>35</v>
      </c>
      <c r="T37" s="76">
        <f t="shared" ca="1" si="6"/>
        <v>17.5</v>
      </c>
      <c r="U37" s="76">
        <f t="shared" ca="1" si="7"/>
        <v>143.7974294489191</v>
      </c>
      <c r="V37" s="78">
        <f t="shared" ca="1" si="8"/>
        <v>0.36167973890924421</v>
      </c>
      <c r="W37" s="78">
        <f t="shared" ca="1" si="9"/>
        <v>2.6383202610907541</v>
      </c>
      <c r="X37" s="46">
        <f t="shared" ca="1" si="10"/>
        <v>17.5</v>
      </c>
      <c r="Y37" s="46">
        <f t="shared" ca="1" si="11"/>
        <v>-36.202570551080896</v>
      </c>
    </row>
    <row r="38" spans="1:26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3"/>
      <c r="S38" s="45">
        <v>36</v>
      </c>
      <c r="T38" s="76">
        <f t="shared" ca="1" si="6"/>
        <v>18</v>
      </c>
      <c r="U38" s="76">
        <f t="shared" ca="1" si="7"/>
        <v>142.76810486882704</v>
      </c>
      <c r="V38" s="78">
        <f t="shared" ca="1" si="8"/>
        <v>0.35966471096353114</v>
      </c>
      <c r="W38" s="78">
        <f t="shared" ca="1" si="9"/>
        <v>2.6403352890364675</v>
      </c>
      <c r="X38" s="46">
        <f t="shared" ca="1" si="10"/>
        <v>18</v>
      </c>
      <c r="Y38" s="46">
        <f t="shared" ca="1" si="11"/>
        <v>-37.231895131172969</v>
      </c>
    </row>
    <row r="39" spans="1:26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3"/>
      <c r="S39" s="45">
        <v>37</v>
      </c>
      <c r="T39" s="76">
        <f t="shared" ca="1" si="6"/>
        <v>18.499999999999996</v>
      </c>
      <c r="U39" s="76">
        <f t="shared" ca="1" si="7"/>
        <v>141.73918901527816</v>
      </c>
      <c r="V39" s="78">
        <f t="shared" ca="1" si="8"/>
        <v>0.35760068747912571</v>
      </c>
      <c r="W39" s="78">
        <f t="shared" ca="1" si="9"/>
        <v>2.6423993125208725</v>
      </c>
      <c r="X39" s="46">
        <f t="shared" ca="1" si="10"/>
        <v>18.499999999999996</v>
      </c>
      <c r="Y39" s="46">
        <f t="shared" ca="1" si="11"/>
        <v>-38.260810984721829</v>
      </c>
    </row>
    <row r="40" spans="1:26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3"/>
      <c r="S40" s="45">
        <v>38</v>
      </c>
      <c r="T40" s="76">
        <f t="shared" ca="1" si="6"/>
        <v>18.999999999999996</v>
      </c>
      <c r="U40" s="76">
        <f t="shared" ca="1" si="7"/>
        <v>140.71069099066034</v>
      </c>
      <c r="V40" s="78">
        <f t="shared" ca="1" si="8"/>
        <v>0.35548829717757618</v>
      </c>
      <c r="W40" s="78">
        <f t="shared" ca="1" si="9"/>
        <v>2.644511702822423</v>
      </c>
      <c r="X40" s="46">
        <f t="shared" ca="1" si="10"/>
        <v>18.999999999999996</v>
      </c>
      <c r="Y40" s="46">
        <f t="shared" ca="1" si="11"/>
        <v>-39.289309009339661</v>
      </c>
    </row>
    <row r="41" spans="1:26" x14ac:dyDescent="0.2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3"/>
      <c r="S41" s="45">
        <v>39</v>
      </c>
      <c r="T41" s="76">
        <f t="shared" ca="1" si="6"/>
        <v>19.499999999999996</v>
      </c>
      <c r="U41" s="76">
        <f t="shared" ca="1" si="7"/>
        <v>139.68261972577341</v>
      </c>
      <c r="V41" s="78">
        <f t="shared" ca="1" si="8"/>
        <v>0.3533281835134317</v>
      </c>
      <c r="W41" s="78">
        <f t="shared" ca="1" si="9"/>
        <v>2.6466718164865659</v>
      </c>
      <c r="X41" s="46">
        <f t="shared" ca="1" si="10"/>
        <v>19.499999999999996</v>
      </c>
      <c r="Y41" s="46">
        <f t="shared" ca="1" si="11"/>
        <v>-40.317380274226586</v>
      </c>
    </row>
    <row r="42" spans="1:26" x14ac:dyDescent="0.2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3"/>
      <c r="S42" s="45">
        <v>40</v>
      </c>
      <c r="T42" s="76">
        <f t="shared" ca="1" si="6"/>
        <v>19.999999999999993</v>
      </c>
      <c r="U42" s="76">
        <f t="shared" ca="1" si="7"/>
        <v>138.65498397689385</v>
      </c>
      <c r="V42" s="78">
        <f t="shared" ca="1" si="8"/>
        <v>0.35112100447823968</v>
      </c>
      <c r="W42" s="78">
        <f t="shared" ca="1" si="9"/>
        <v>2.6488789955217591</v>
      </c>
      <c r="X42" s="46">
        <f t="shared" ca="1" si="10"/>
        <v>19.999999999999993</v>
      </c>
      <c r="Y42" s="46">
        <f t="shared" ca="1" si="11"/>
        <v>-41.345016023106169</v>
      </c>
    </row>
    <row r="43" spans="1:26" x14ac:dyDescent="0.2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3"/>
      <c r="S43" s="45">
        <v>41</v>
      </c>
      <c r="T43" s="76">
        <f t="shared" ca="1" si="6"/>
        <v>20.499999999999996</v>
      </c>
      <c r="U43" s="76">
        <f t="shared" ca="1" si="7"/>
        <v>137.6277923229552</v>
      </c>
      <c r="V43" s="78">
        <f t="shared" ca="1" si="8"/>
        <v>0.34886743240011564</v>
      </c>
      <c r="W43" s="78">
        <f t="shared" ca="1" si="9"/>
        <v>2.6511325675998831</v>
      </c>
      <c r="X43" s="46">
        <f t="shared" ca="1" si="10"/>
        <v>20.499999999999996</v>
      </c>
      <c r="Y43" s="46">
        <f t="shared" ca="1" si="11"/>
        <v>-42.372207677044806</v>
      </c>
    </row>
    <row r="44" spans="1:26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3"/>
      <c r="S44" s="45">
        <v>42</v>
      </c>
      <c r="T44" s="76">
        <f t="shared" ca="1" si="6"/>
        <v>21</v>
      </c>
      <c r="U44" s="76">
        <f t="shared" ca="1" si="7"/>
        <v>136.6010531628458</v>
      </c>
      <c r="V44" s="78">
        <f t="shared" ca="1" si="8"/>
        <v>0.34656815373894539</v>
      </c>
      <c r="W44" s="78">
        <f t="shared" ca="1" si="9"/>
        <v>2.6534318462610513</v>
      </c>
      <c r="X44" s="46">
        <f t="shared" ca="1" si="10"/>
        <v>21</v>
      </c>
      <c r="Y44" s="46">
        <f t="shared" ca="1" si="11"/>
        <v>-43.398946837154192</v>
      </c>
      <c r="Z44" s="208"/>
    </row>
    <row r="45" spans="1:26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3"/>
      <c r="S45" s="45">
        <v>43</v>
      </c>
      <c r="T45" s="76">
        <f t="shared" ca="1" si="6"/>
        <v>21.5</v>
      </c>
      <c r="U45" s="76">
        <f t="shared" ca="1" si="7"/>
        <v>135.57477471282374</v>
      </c>
      <c r="V45" s="78">
        <f t="shared" ca="1" si="8"/>
        <v>0.34422386887728301</v>
      </c>
      <c r="W45" s="78">
        <f t="shared" ca="1" si="9"/>
        <v>2.6557761311227162</v>
      </c>
      <c r="X45" s="46">
        <f t="shared" ca="1" si="10"/>
        <v>21.5</v>
      </c>
      <c r="Y45" s="46">
        <f t="shared" ca="1" si="11"/>
        <v>-44.425225287176254</v>
      </c>
    </row>
    <row r="46" spans="1:26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3"/>
      <c r="S46" s="45">
        <v>44</v>
      </c>
      <c r="T46" s="76">
        <f t="shared" ca="1" si="6"/>
        <v>21.999999999999993</v>
      </c>
      <c r="U46" s="76">
        <f t="shared" ca="1" si="7"/>
        <v>134.54896500404965</v>
      </c>
      <c r="V46" s="78">
        <f t="shared" ca="1" si="8"/>
        <v>0.3418352919070069</v>
      </c>
      <c r="W46" s="78">
        <f t="shared" ca="1" si="9"/>
        <v>2.6581647080929911</v>
      </c>
      <c r="X46" s="46">
        <f t="shared" ca="1" si="10"/>
        <v>21.999999999999993</v>
      </c>
      <c r="Y46" s="46">
        <f t="shared" ca="1" si="11"/>
        <v>-45.451034995950344</v>
      </c>
    </row>
    <row r="47" spans="1:26" x14ac:dyDescent="0.2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3"/>
      <c r="S47" s="45">
        <v>45</v>
      </c>
      <c r="T47" s="76">
        <f t="shared" ca="1" si="6"/>
        <v>22.499999999999993</v>
      </c>
      <c r="U47" s="76">
        <f t="shared" ca="1" si="7"/>
        <v>133.52363188023799</v>
      </c>
      <c r="V47" s="78">
        <f t="shared" ca="1" si="8"/>
        <v>0.33940315041180052</v>
      </c>
      <c r="W47" s="78">
        <f t="shared" ca="1" si="9"/>
        <v>2.6605968495881966</v>
      </c>
      <c r="X47" s="46">
        <f t="shared" ca="1" si="10"/>
        <v>22.499999999999993</v>
      </c>
      <c r="Y47" s="46">
        <f t="shared" ca="1" si="11"/>
        <v>-46.476368119762029</v>
      </c>
    </row>
    <row r="48" spans="1:26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3"/>
      <c r="S48" s="45">
        <v>46</v>
      </c>
      <c r="T48" s="76">
        <f t="shared" ca="1" si="6"/>
        <v>22.999999999999996</v>
      </c>
      <c r="U48" s="76">
        <f t="shared" ca="1" si="7"/>
        <v>132.49878299542638</v>
      </c>
      <c r="V48" s="78">
        <f t="shared" ca="1" si="8"/>
        <v>0.3369281852455242</v>
      </c>
      <c r="W48" s="78">
        <f t="shared" ca="1" si="9"/>
        <v>2.6630718147544732</v>
      </c>
      <c r="X48" s="46">
        <f t="shared" ca="1" si="10"/>
        <v>22.999999999999996</v>
      </c>
      <c r="Y48" s="46">
        <f t="shared" ca="1" si="11"/>
        <v>-47.501217004573618</v>
      </c>
    </row>
    <row r="49" spans="1:25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3"/>
      <c r="S49" s="45">
        <v>47</v>
      </c>
      <c r="T49" s="76">
        <f t="shared" ca="1" si="6"/>
        <v>23.499999999999996</v>
      </c>
      <c r="U49" s="76">
        <f t="shared" ca="1" si="7"/>
        <v>131.4744258118638</v>
      </c>
      <c r="V49" s="78">
        <f t="shared" ca="1" si="8"/>
        <v>0.33441115030654328</v>
      </c>
      <c r="W49" s="78">
        <f t="shared" ca="1" si="9"/>
        <v>2.6655888496934543</v>
      </c>
      <c r="X49" s="46">
        <f t="shared" ca="1" si="10"/>
        <v>23.499999999999996</v>
      </c>
      <c r="Y49" s="46">
        <f t="shared" ca="1" si="11"/>
        <v>-48.52557418813619</v>
      </c>
    </row>
    <row r="50" spans="1:25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3"/>
      <c r="S50" s="45">
        <v>48</v>
      </c>
      <c r="T50" s="76">
        <f t="shared" ca="1" si="6"/>
        <v>24</v>
      </c>
      <c r="U50" s="76">
        <f t="shared" ca="1" si="7"/>
        <v>130.45056759801668</v>
      </c>
      <c r="V50" s="78">
        <f t="shared" ca="1" si="8"/>
        <v>0.33185281230808306</v>
      </c>
      <c r="W50" s="78">
        <f t="shared" ca="1" si="9"/>
        <v>2.6681471876919152</v>
      </c>
      <c r="X50" s="46">
        <f t="shared" ca="1" si="10"/>
        <v>24</v>
      </c>
      <c r="Y50" s="46">
        <f t="shared" ca="1" si="11"/>
        <v>-49.549432401983331</v>
      </c>
    </row>
    <row r="51" spans="1:25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3"/>
      <c r="S51" s="45">
        <v>49</v>
      </c>
      <c r="T51" s="76">
        <f t="shared" ca="1" si="6"/>
        <v>24.5</v>
      </c>
      <c r="U51" s="76">
        <f t="shared" ca="1" si="7"/>
        <v>129.42721542669329</v>
      </c>
      <c r="V51" s="78">
        <f t="shared" ca="1" si="8"/>
        <v>0.32925395054468126</v>
      </c>
      <c r="W51" s="78">
        <f t="shared" ca="1" si="9"/>
        <v>2.6707460494553179</v>
      </c>
      <c r="X51" s="46">
        <f t="shared" ca="1" si="10"/>
        <v>24.5</v>
      </c>
      <c r="Y51" s="46">
        <f t="shared" ca="1" si="11"/>
        <v>-50.572784573306699</v>
      </c>
    </row>
    <row r="52" spans="1:25" x14ac:dyDescent="0.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3"/>
      <c r="S52" s="45">
        <v>50</v>
      </c>
      <c r="T52" s="76">
        <f t="shared" ca="1" si="6"/>
        <v>24.999999999999993</v>
      </c>
      <c r="U52" s="76">
        <f t="shared" ca="1" si="7"/>
        <v>128.40437617328627</v>
      </c>
      <c r="V52" s="78">
        <f t="shared" ca="1" si="8"/>
        <v>0.3266153566548064</v>
      </c>
      <c r="W52" s="78">
        <f t="shared" ca="1" si="9"/>
        <v>2.6733846433451918</v>
      </c>
      <c r="X52" s="46">
        <f t="shared" ca="1" si="10"/>
        <v>24.999999999999993</v>
      </c>
      <c r="Y52" s="46">
        <f t="shared" ca="1" si="11"/>
        <v>-51.595623826713741</v>
      </c>
    </row>
    <row r="53" spans="1:25" x14ac:dyDescent="0.2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3"/>
      <c r="S53" s="45">
        <v>51</v>
      </c>
      <c r="T53" s="76">
        <f t="shared" ca="1" si="6"/>
        <v>25.499999999999996</v>
      </c>
      <c r="U53" s="76">
        <f t="shared" ca="1" si="7"/>
        <v>127.38205651413186</v>
      </c>
      <c r="V53" s="78">
        <f t="shared" ca="1" si="8"/>
        <v>0.32393783437971824</v>
      </c>
      <c r="W53" s="78">
        <f t="shared" ca="1" si="9"/>
        <v>2.6760621656202805</v>
      </c>
      <c r="X53" s="46">
        <f t="shared" ca="1" si="10"/>
        <v>25.499999999999996</v>
      </c>
      <c r="Y53" s="46">
        <f t="shared" ca="1" si="11"/>
        <v>-52.617943485868139</v>
      </c>
    </row>
    <row r="54" spans="1:25" x14ac:dyDescent="0.2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3"/>
      <c r="S54" s="45">
        <v>52</v>
      </c>
      <c r="T54" s="76">
        <f t="shared" ca="1" si="6"/>
        <v>26</v>
      </c>
      <c r="U54" s="76">
        <f t="shared" ca="1" si="7"/>
        <v>126.36026292498667</v>
      </c>
      <c r="V54" s="78">
        <f t="shared" ca="1" si="8"/>
        <v>0.32122219931863932</v>
      </c>
      <c r="W54" s="78">
        <f t="shared" ca="1" si="9"/>
        <v>2.6787778006813596</v>
      </c>
      <c r="X54" s="46">
        <f t="shared" ca="1" si="10"/>
        <v>26</v>
      </c>
      <c r="Y54" s="46">
        <f t="shared" ca="1" si="11"/>
        <v>-53.639737075013329</v>
      </c>
    </row>
    <row r="55" spans="1:25" x14ac:dyDescent="0.2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3"/>
      <c r="S55" s="45">
        <v>53</v>
      </c>
      <c r="T55" s="76">
        <f t="shared" ca="1" si="6"/>
        <v>26.5</v>
      </c>
      <c r="U55" s="76">
        <f t="shared" ca="1" si="7"/>
        <v>125.33900167962003</v>
      </c>
      <c r="V55" s="78">
        <f t="shared" ca="1" si="8"/>
        <v>0.31846927868031616</v>
      </c>
      <c r="W55" s="78">
        <f t="shared" ca="1" si="9"/>
        <v>2.6815307213196817</v>
      </c>
      <c r="X55" s="46">
        <f t="shared" ca="1" si="10"/>
        <v>26.5</v>
      </c>
      <c r="Y55" s="46">
        <f t="shared" ca="1" si="11"/>
        <v>-54.660998320379981</v>
      </c>
    </row>
    <row r="56" spans="1:25" x14ac:dyDescent="0.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3"/>
      <c r="S56" s="45">
        <v>54</v>
      </c>
      <c r="T56" s="76">
        <f t="shared" ca="1" si="6"/>
        <v>27</v>
      </c>
      <c r="U56" s="76">
        <f t="shared" ca="1" si="7"/>
        <v>124.31827884852186</v>
      </c>
      <c r="V56" s="78">
        <f t="shared" ca="1" si="8"/>
        <v>0.31567991103104376</v>
      </c>
      <c r="W56" s="78">
        <f t="shared" ca="1" si="9"/>
        <v>2.6843200889689554</v>
      </c>
      <c r="X56" s="46">
        <f t="shared" ca="1" si="10"/>
        <v>27</v>
      </c>
      <c r="Y56" s="46">
        <f t="shared" ca="1" si="11"/>
        <v>-55.681721151478143</v>
      </c>
    </row>
    <row r="57" spans="1:25" x14ac:dyDescent="0.2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3"/>
      <c r="S57" s="45">
        <v>55</v>
      </c>
      <c r="T57" s="76">
        <f t="shared" ca="1" si="6"/>
        <v>27.499999999999993</v>
      </c>
      <c r="U57" s="76">
        <f t="shared" ca="1" si="7"/>
        <v>123.29810029772517</v>
      </c>
      <c r="V57" s="78">
        <f t="shared" ca="1" si="8"/>
        <v>0.31285494603922909</v>
      </c>
      <c r="W57" s="78">
        <f t="shared" ca="1" si="9"/>
        <v>2.6871450539607702</v>
      </c>
      <c r="X57" s="46">
        <f t="shared" ca="1" si="10"/>
        <v>27.499999999999993</v>
      </c>
      <c r="Y57" s="46">
        <f t="shared" ca="1" si="11"/>
        <v>-56.701899702274829</v>
      </c>
    </row>
    <row r="58" spans="1:25" x14ac:dyDescent="0.2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3"/>
      <c r="S58" s="45">
        <v>56</v>
      </c>
      <c r="T58" s="76">
        <f t="shared" ca="1" si="6"/>
        <v>27.999999999999996</v>
      </c>
      <c r="U58" s="76">
        <f t="shared" ca="1" si="7"/>
        <v>122.27847168774167</v>
      </c>
      <c r="V58" s="78">
        <f t="shared" ca="1" si="8"/>
        <v>0.30999524421657426</v>
      </c>
      <c r="W58" s="78">
        <f t="shared" ca="1" si="9"/>
        <v>2.6900047557834248</v>
      </c>
      <c r="X58" s="46">
        <f t="shared" ca="1" si="10"/>
        <v>27.999999999999996</v>
      </c>
      <c r="Y58" s="46">
        <f t="shared" ca="1" si="11"/>
        <v>-57.721528312258322</v>
      </c>
    </row>
    <row r="59" spans="1:25" x14ac:dyDescent="0.2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3"/>
      <c r="S59" s="45">
        <v>57</v>
      </c>
      <c r="T59" s="76">
        <f t="shared" ca="1" si="6"/>
        <v>28.5</v>
      </c>
      <c r="U59" s="76">
        <f t="shared" ca="1" si="7"/>
        <v>121.25939847261009</v>
      </c>
      <c r="V59" s="78">
        <f t="shared" ca="1" si="8"/>
        <v>0.30710167665595756</v>
      </c>
      <c r="W59" s="78">
        <f t="shared" ca="1" si="9"/>
        <v>2.6928983233440413</v>
      </c>
      <c r="X59" s="46">
        <f t="shared" ca="1" si="10"/>
        <v>28.5</v>
      </c>
      <c r="Y59" s="46">
        <f t="shared" ca="1" si="11"/>
        <v>-58.740601527389906</v>
      </c>
    </row>
    <row r="60" spans="1:25" x14ac:dyDescent="0.2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3"/>
      <c r="S60" s="45">
        <v>58</v>
      </c>
      <c r="T60" s="76">
        <f t="shared" ca="1" si="6"/>
        <v>28.999999999999996</v>
      </c>
      <c r="U60" s="76">
        <f t="shared" ca="1" si="7"/>
        <v>120.2408858990554</v>
      </c>
      <c r="V60" s="78">
        <f t="shared" ca="1" si="8"/>
        <v>0.30417512476608838</v>
      </c>
      <c r="W60" s="78">
        <f t="shared" ca="1" si="9"/>
        <v>2.6958248752339098</v>
      </c>
      <c r="X60" s="46">
        <f t="shared" ca="1" si="10"/>
        <v>28.999999999999996</v>
      </c>
      <c r="Y60" s="46">
        <f t="shared" ca="1" si="11"/>
        <v>-59.759114100944601</v>
      </c>
    </row>
    <row r="61" spans="1:25" x14ac:dyDescent="0.2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3"/>
      <c r="S61" s="45">
        <v>59</v>
      </c>
      <c r="T61" s="76">
        <f t="shared" ca="1" si="6"/>
        <v>29.499999999999996</v>
      </c>
      <c r="U61" s="76">
        <f t="shared" ca="1" si="7"/>
        <v>119.22293900575804</v>
      </c>
      <c r="V61" s="78">
        <f t="shared" ca="1" si="8"/>
        <v>0.30121648000302254</v>
      </c>
      <c r="W61" s="78">
        <f t="shared" ca="1" si="9"/>
        <v>2.6987835199969759</v>
      </c>
      <c r="X61" s="46">
        <f t="shared" ca="1" si="10"/>
        <v>29.499999999999996</v>
      </c>
      <c r="Y61" s="46">
        <f t="shared" ca="1" si="11"/>
        <v>-60.777060994241957</v>
      </c>
    </row>
    <row r="62" spans="1:25" x14ac:dyDescent="0.2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3"/>
      <c r="S62" s="45">
        <v>60</v>
      </c>
      <c r="T62" s="76">
        <f t="shared" ca="1" si="6"/>
        <v>29.999999999999993</v>
      </c>
      <c r="U62" s="76">
        <f t="shared" ca="1" si="7"/>
        <v>118.20556262273186</v>
      </c>
      <c r="V62" s="78">
        <f t="shared" ca="1" si="8"/>
        <v>0.29822664359861589</v>
      </c>
      <c r="W62" s="78">
        <f t="shared" ca="1" si="9"/>
        <v>2.7017733564013828</v>
      </c>
      <c r="X62" s="46">
        <f t="shared" ca="1" si="10"/>
        <v>29.999999999999993</v>
      </c>
      <c r="Y62" s="46">
        <f t="shared" ca="1" si="11"/>
        <v>-61.794437377268146</v>
      </c>
    </row>
    <row r="63" spans="1:25" x14ac:dyDescent="0.2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3"/>
      <c r="S63" s="45">
        <v>61</v>
      </c>
      <c r="T63" s="76">
        <f t="shared" ca="1" si="6"/>
        <v>30.5</v>
      </c>
      <c r="U63" s="76">
        <f t="shared" ca="1" si="7"/>
        <v>117.18876137080869</v>
      </c>
      <c r="V63" s="78">
        <f t="shared" ca="1" si="8"/>
        <v>0.2952065262860003</v>
      </c>
      <c r="W63" s="78">
        <f t="shared" ca="1" si="9"/>
        <v>2.7047934737139983</v>
      </c>
      <c r="X63" s="46">
        <f t="shared" ca="1" si="10"/>
        <v>30.5</v>
      </c>
      <c r="Y63" s="46">
        <f t="shared" ca="1" si="11"/>
        <v>-62.811238629191301</v>
      </c>
    </row>
    <row r="64" spans="1:25" x14ac:dyDescent="0.2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3"/>
      <c r="S64" s="45">
        <v>62</v>
      </c>
      <c r="T64" s="76">
        <f t="shared" ca="1" si="6"/>
        <v>30.999999999999993</v>
      </c>
      <c r="U64" s="76">
        <f t="shared" ca="1" si="7"/>
        <v>116.17253966122901</v>
      </c>
      <c r="V64" s="78">
        <f t="shared" ca="1" si="8"/>
        <v>0.29215704802216597</v>
      </c>
      <c r="W64" s="78">
        <f t="shared" ca="1" si="9"/>
        <v>2.707842951977832</v>
      </c>
      <c r="X64" s="46">
        <f t="shared" ca="1" si="10"/>
        <v>30.999999999999993</v>
      </c>
      <c r="Y64" s="46">
        <f t="shared" ca="1" si="11"/>
        <v>-63.82746033877099</v>
      </c>
    </row>
    <row r="65" spans="1:25" x14ac:dyDescent="0.2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3"/>
      <c r="S65" s="45">
        <v>63</v>
      </c>
      <c r="T65" s="76">
        <f t="shared" ca="1" si="6"/>
        <v>31.499999999999993</v>
      </c>
      <c r="U65" s="76">
        <f t="shared" ca="1" si="7"/>
        <v>115.15690169533615</v>
      </c>
      <c r="V65" s="78">
        <f t="shared" ca="1" si="8"/>
        <v>0.28907913770773275</v>
      </c>
      <c r="W65" s="78">
        <f t="shared" ca="1" si="9"/>
        <v>2.7109208622922654</v>
      </c>
      <c r="X65" s="46">
        <f t="shared" ca="1" si="10"/>
        <v>31.499999999999993</v>
      </c>
      <c r="Y65" s="46">
        <f t="shared" ca="1" si="11"/>
        <v>-64.843098304663854</v>
      </c>
    </row>
    <row r="66" spans="1:25" x14ac:dyDescent="0.2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3"/>
      <c r="S66" s="45">
        <v>64</v>
      </c>
      <c r="T66" s="76">
        <f t="shared" ca="1" si="6"/>
        <v>32</v>
      </c>
      <c r="U66" s="76">
        <f t="shared" ca="1" si="7"/>
        <v>114.14185146437295</v>
      </c>
      <c r="V66" s="78">
        <f t="shared" ca="1" si="8"/>
        <v>0.28597373290399902</v>
      </c>
      <c r="W66" s="78">
        <f t="shared" ca="1" si="9"/>
        <v>2.7140262670959996</v>
      </c>
      <c r="X66" s="46">
        <f t="shared" ca="1" si="10"/>
        <v>32</v>
      </c>
      <c r="Y66" s="46">
        <f t="shared" ca="1" si="11"/>
        <v>-65.858148535627052</v>
      </c>
    </row>
    <row r="67" spans="1:25" x14ac:dyDescent="0.2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3"/>
      <c r="S67" s="45">
        <v>65</v>
      </c>
      <c r="T67" s="76">
        <f t="shared" ref="T67:T98" ca="1" si="12">X67-180*(-1+SIGN(X67))/2</f>
        <v>32.499999999999993</v>
      </c>
      <c r="U67" s="76">
        <f t="shared" ref="U67:U98" ca="1" si="13">Y67-180*(-1+SIGN(Y67))/2</f>
        <v>113.12739274937896</v>
      </c>
      <c r="V67" s="78">
        <f t="shared" ref="V67:V98" ca="1" si="14">(($R$11*SIN(RADIANS(S67))/SIN(RADIANS(X67)))^2)/(2*$O$9)</f>
        <v>0.28284177954735057</v>
      </c>
      <c r="W67" s="78">
        <f t="shared" ref="W67:W98" ca="1" si="15">(($R$11*SIN(RADIANS(S67))/SIN(RADIANS(Y67)))^2)/(2*$O$10)</f>
        <v>2.7171582204526481</v>
      </c>
      <c r="X67" s="46">
        <f t="shared" ref="X67:X98" ca="1" si="16">DEGREES(ATAN(SIN(RADIANS(S67))/($R$12/$R$11+COS(RADIANS(S67)))))</f>
        <v>32.499999999999993</v>
      </c>
      <c r="Y67" s="46">
        <f t="shared" ref="Y67:Y98" ca="1" si="17">DEGREES(ATAN(SIN(RADIANS(S67))/($R$12/$R$13-COS(RADIANS(S67)))))</f>
        <v>-66.872607250621044</v>
      </c>
    </row>
    <row r="68" spans="1:25" x14ac:dyDescent="0.2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3"/>
      <c r="S68" s="45">
        <v>66</v>
      </c>
      <c r="T68" s="76">
        <f t="shared" ca="1" si="12"/>
        <v>32.999999999999993</v>
      </c>
      <c r="U68" s="76">
        <f t="shared" ca="1" si="13"/>
        <v>112.11352912118626</v>
      </c>
      <c r="V68" s="78">
        <f t="shared" ca="1" si="14"/>
        <v>0.27968423166111994</v>
      </c>
      <c r="W68" s="78">
        <f t="shared" ca="1" si="15"/>
        <v>2.7203157683388777</v>
      </c>
      <c r="X68" s="46">
        <f t="shared" ca="1" si="16"/>
        <v>32.999999999999993</v>
      </c>
      <c r="Y68" s="46">
        <f t="shared" ca="1" si="17"/>
        <v>-67.886470878813739</v>
      </c>
    </row>
    <row r="69" spans="1:25" x14ac:dyDescent="0.2">
      <c r="N69" s="13"/>
      <c r="S69" s="45">
        <v>67</v>
      </c>
      <c r="T69" s="76">
        <f t="shared" ca="1" si="12"/>
        <v>33.499999999999993</v>
      </c>
      <c r="U69" s="76">
        <f t="shared" ca="1" si="13"/>
        <v>111.10026394051228</v>
      </c>
      <c r="V69" s="78">
        <f t="shared" ca="1" si="14"/>
        <v>0.27650205106498094</v>
      </c>
      <c r="W69" s="78">
        <f t="shared" ca="1" si="15"/>
        <v>2.7234979489350168</v>
      </c>
      <c r="X69" s="46">
        <f t="shared" ca="1" si="16"/>
        <v>33.499999999999993</v>
      </c>
      <c r="Y69" s="46">
        <f t="shared" ca="1" si="17"/>
        <v>-68.899736059487722</v>
      </c>
    </row>
    <row r="70" spans="1:25" x14ac:dyDescent="0.2">
      <c r="S70" s="45">
        <v>68</v>
      </c>
      <c r="T70" s="76">
        <f t="shared" ca="1" si="12"/>
        <v>34</v>
      </c>
      <c r="U70" s="76">
        <f t="shared" ca="1" si="13"/>
        <v>110.08760035814747</v>
      </c>
      <c r="V70" s="78">
        <f t="shared" ca="1" si="14"/>
        <v>0.27329620708196956</v>
      </c>
      <c r="W70" s="78">
        <f t="shared" ca="1" si="15"/>
        <v>2.7267037929180278</v>
      </c>
      <c r="X70" s="46">
        <f t="shared" ca="1" si="16"/>
        <v>34</v>
      </c>
      <c r="Y70" s="46">
        <f t="shared" ca="1" si="17"/>
        <v>-69.912399641852531</v>
      </c>
    </row>
    <row r="71" spans="1:25" x14ac:dyDescent="0.2">
      <c r="S71" s="45">
        <v>69</v>
      </c>
      <c r="T71" s="76">
        <f t="shared" ca="1" si="12"/>
        <v>34.5</v>
      </c>
      <c r="U71" s="76">
        <f t="shared" ca="1" si="13"/>
        <v>109.07554131523594</v>
      </c>
      <c r="V71" s="78">
        <f t="shared" ca="1" si="14"/>
        <v>0.2700676762432192</v>
      </c>
      <c r="W71" s="78">
        <f t="shared" ca="1" si="15"/>
        <v>2.729932323756779</v>
      </c>
      <c r="X71" s="46">
        <f t="shared" ca="1" si="16"/>
        <v>34.5</v>
      </c>
      <c r="Y71" s="46">
        <f t="shared" ca="1" si="17"/>
        <v>-70.924458684764062</v>
      </c>
    </row>
    <row r="72" spans="1:25" x14ac:dyDescent="0.2">
      <c r="S72" s="45">
        <v>70</v>
      </c>
      <c r="T72" s="76">
        <f t="shared" ca="1" si="12"/>
        <v>34.999999999999993</v>
      </c>
      <c r="U72" s="76">
        <f t="shared" ca="1" si="13"/>
        <v>108.06408954364711</v>
      </c>
      <c r="V72" s="78">
        <f t="shared" ca="1" si="14"/>
        <v>0.26681744199049839</v>
      </c>
      <c r="W72" s="78">
        <f t="shared" ca="1" si="15"/>
        <v>2.7331825580095002</v>
      </c>
      <c r="X72" s="46">
        <f t="shared" ca="1" si="16"/>
        <v>34.999999999999993</v>
      </c>
      <c r="Y72" s="46">
        <f t="shared" ca="1" si="17"/>
        <v>-71.935910456352886</v>
      </c>
    </row>
    <row r="73" spans="1:25" x14ac:dyDescent="0.2">
      <c r="S73" s="45">
        <v>71</v>
      </c>
      <c r="T73" s="76">
        <f t="shared" ca="1" si="12"/>
        <v>35.499999999999993</v>
      </c>
      <c r="U73" s="76">
        <f t="shared" ca="1" si="13"/>
        <v>107.0532475664363</v>
      </c>
      <c r="V73" s="78">
        <f t="shared" ca="1" si="14"/>
        <v>0.26354649437664623</v>
      </c>
      <c r="W73" s="78">
        <f t="shared" ca="1" si="15"/>
        <v>2.7364535056233521</v>
      </c>
      <c r="X73" s="46">
        <f t="shared" ca="1" si="16"/>
        <v>35.499999999999993</v>
      </c>
      <c r="Y73" s="46">
        <f t="shared" ca="1" si="17"/>
        <v>-72.946752433563702</v>
      </c>
    </row>
    <row r="74" spans="1:25" x14ac:dyDescent="0.2">
      <c r="S74" s="45">
        <v>72</v>
      </c>
      <c r="T74" s="76">
        <f t="shared" ca="1" si="12"/>
        <v>35.999999999999993</v>
      </c>
      <c r="U74" s="76">
        <f t="shared" ca="1" si="13"/>
        <v>106.04301769839191</v>
      </c>
      <c r="V74" s="78">
        <f t="shared" ca="1" si="14"/>
        <v>0.26025582976399253</v>
      </c>
      <c r="W74" s="78">
        <f t="shared" ca="1" si="15"/>
        <v>2.7397441702360048</v>
      </c>
      <c r="X74" s="46">
        <f t="shared" ca="1" si="16"/>
        <v>35.999999999999993</v>
      </c>
      <c r="Y74" s="46">
        <f t="shared" ca="1" si="17"/>
        <v>-73.956982301608093</v>
      </c>
    </row>
    <row r="75" spans="1:25" x14ac:dyDescent="0.2">
      <c r="S75" s="45">
        <v>73</v>
      </c>
      <c r="T75" s="76">
        <f t="shared" ca="1" si="12"/>
        <v>36.499999999999993</v>
      </c>
      <c r="U75" s="76">
        <f t="shared" ca="1" si="13"/>
        <v>105.0334020466676</v>
      </c>
      <c r="V75" s="78">
        <f t="shared" ca="1" si="14"/>
        <v>0.25694645052085546</v>
      </c>
      <c r="W75" s="78">
        <f t="shared" ca="1" si="15"/>
        <v>2.7430535494791428</v>
      </c>
      <c r="X75" s="46">
        <f t="shared" ca="1" si="16"/>
        <v>36.499999999999993</v>
      </c>
      <c r="Y75" s="46">
        <f t="shared" ca="1" si="17"/>
        <v>-74.966597953332396</v>
      </c>
    </row>
    <row r="76" spans="1:25" x14ac:dyDescent="0.2">
      <c r="S76" s="45">
        <v>74</v>
      </c>
      <c r="T76" s="76">
        <f t="shared" ca="1" si="12"/>
        <v>37</v>
      </c>
      <c r="U76" s="76">
        <f t="shared" ca="1" si="13"/>
        <v>104.02440251149666</v>
      </c>
      <c r="V76" s="78">
        <f t="shared" ca="1" si="14"/>
        <v>0.25361936471621127</v>
      </c>
      <c r="W76" s="78">
        <f t="shared" ca="1" si="15"/>
        <v>2.7463806352837876</v>
      </c>
      <c r="X76" s="46">
        <f t="shared" ca="1" si="16"/>
        <v>37</v>
      </c>
      <c r="Y76" s="46">
        <f t="shared" ca="1" si="17"/>
        <v>-75.97559748850334</v>
      </c>
    </row>
    <row r="77" spans="1:25" x14ac:dyDescent="0.2">
      <c r="S77" s="45">
        <v>75</v>
      </c>
      <c r="T77" s="76">
        <f t="shared" ca="1" si="12"/>
        <v>37.499999999999993</v>
      </c>
      <c r="U77" s="76">
        <f t="shared" ca="1" si="13"/>
        <v>103.01602078698691</v>
      </c>
      <c r="V77" s="78">
        <f t="shared" ca="1" si="14"/>
        <v>0.25027558581262627</v>
      </c>
      <c r="W77" s="78">
        <f t="shared" ca="1" si="15"/>
        <v>2.7497244141873725</v>
      </c>
      <c r="X77" s="46">
        <f t="shared" ca="1" si="16"/>
        <v>37.499999999999993</v>
      </c>
      <c r="Y77" s="46">
        <f t="shared" ca="1" si="17"/>
        <v>-76.983979213013086</v>
      </c>
    </row>
    <row r="78" spans="1:25" x14ac:dyDescent="0.2">
      <c r="S78" s="45">
        <v>76</v>
      </c>
      <c r="T78" s="76">
        <f t="shared" ca="1" si="12"/>
        <v>37.999999999999993</v>
      </c>
      <c r="U78" s="76">
        <f t="shared" ca="1" si="13"/>
        <v>102.00825836199361</v>
      </c>
      <c r="V78" s="78">
        <f t="shared" ca="1" si="14"/>
        <v>0.24691613235754631</v>
      </c>
      <c r="W78" s="78">
        <f t="shared" ca="1" si="15"/>
        <v>2.7530838676424523</v>
      </c>
      <c r="X78" s="46">
        <f t="shared" ca="1" si="16"/>
        <v>37.999999999999993</v>
      </c>
      <c r="Y78" s="46">
        <f t="shared" ca="1" si="17"/>
        <v>-77.991741638006388</v>
      </c>
    </row>
    <row r="79" spans="1:25" x14ac:dyDescent="0.2">
      <c r="S79" s="45">
        <v>77</v>
      </c>
      <c r="T79" s="333">
        <f t="shared" ca="1" si="12"/>
        <v>38.5</v>
      </c>
      <c r="U79" s="333">
        <f t="shared" ca="1" si="13"/>
        <v>101.00111652106824</v>
      </c>
      <c r="V79" s="334">
        <f t="shared" ca="1" si="14"/>
        <v>0.24354202767303762</v>
      </c>
      <c r="W79" s="334">
        <f t="shared" ca="1" si="15"/>
        <v>2.7564579723269604</v>
      </c>
      <c r="X79" s="335">
        <f t="shared" ca="1" si="16"/>
        <v>38.5</v>
      </c>
      <c r="Y79" s="46">
        <f t="shared" ca="1" si="17"/>
        <v>-78.998883478931759</v>
      </c>
    </row>
    <row r="80" spans="1:25" x14ac:dyDescent="0.2">
      <c r="S80" s="45">
        <v>78</v>
      </c>
      <c r="T80" s="76">
        <f t="shared" ca="1" si="12"/>
        <v>38.999999999999993</v>
      </c>
      <c r="U80" s="76">
        <f t="shared" ca="1" si="13"/>
        <v>99.994596345480986</v>
      </c>
      <c r="V80" s="78">
        <f t="shared" ca="1" si="14"/>
        <v>0.24015429954407294</v>
      </c>
      <c r="W80" s="78">
        <f t="shared" ca="1" si="15"/>
        <v>2.7598457004559256</v>
      </c>
      <c r="X80" s="46">
        <f t="shared" ca="1" si="16"/>
        <v>38.999999999999993</v>
      </c>
      <c r="Y80" s="46">
        <f t="shared" ca="1" si="17"/>
        <v>-80.005403654519014</v>
      </c>
    </row>
    <row r="81" spans="19:25" x14ac:dyDescent="0.2">
      <c r="S81" s="45">
        <v>79</v>
      </c>
      <c r="T81" s="76">
        <f t="shared" ca="1" si="12"/>
        <v>39.5</v>
      </c>
      <c r="U81" s="76">
        <f t="shared" ca="1" si="13"/>
        <v>98.988698714314495</v>
      </c>
      <c r="V81" s="78">
        <f t="shared" ca="1" si="14"/>
        <v>0.23675397990545771</v>
      </c>
      <c r="W81" s="78">
        <f t="shared" ca="1" si="15"/>
        <v>2.7632460200945412</v>
      </c>
      <c r="X81" s="46">
        <f t="shared" ca="1" si="16"/>
        <v>39.5</v>
      </c>
      <c r="Y81" s="46">
        <f t="shared" ca="1" si="17"/>
        <v>-81.011301285685505</v>
      </c>
    </row>
    <row r="82" spans="19:25" x14ac:dyDescent="0.2">
      <c r="S82" s="45">
        <v>80</v>
      </c>
      <c r="T82" s="76">
        <f t="shared" ca="1" si="12"/>
        <v>39.999999999999993</v>
      </c>
      <c r="U82" s="76">
        <f t="shared" ca="1" si="13"/>
        <v>97.983424305626741</v>
      </c>
      <c r="V82" s="78">
        <f t="shared" ca="1" si="14"/>
        <v>0.23334210452749371</v>
      </c>
      <c r="W82" s="78">
        <f t="shared" ca="1" si="15"/>
        <v>2.766657895472505</v>
      </c>
      <c r="X82" s="46">
        <f t="shared" ca="1" si="16"/>
        <v>39.999999999999993</v>
      </c>
      <c r="Y82" s="46">
        <f t="shared" ca="1" si="17"/>
        <v>-82.016575694373259</v>
      </c>
    </row>
    <row r="83" spans="19:25" x14ac:dyDescent="0.2">
      <c r="S83" s="45">
        <v>81</v>
      </c>
      <c r="T83" s="76">
        <f t="shared" ca="1" si="12"/>
        <v>40.499999999999993</v>
      </c>
      <c r="U83" s="76">
        <f t="shared" ca="1" si="13"/>
        <v>96.978773597680828</v>
      </c>
      <c r="V83" s="78">
        <f t="shared" ca="1" si="14"/>
        <v>0.22991971270047259</v>
      </c>
      <c r="W83" s="78">
        <f t="shared" ca="1" si="15"/>
        <v>2.770080287299526</v>
      </c>
      <c r="X83" s="46">
        <f t="shared" ca="1" si="16"/>
        <v>40.499999999999993</v>
      </c>
      <c r="Y83" s="46">
        <f t="shared" ca="1" si="17"/>
        <v>-83.021226402319172</v>
      </c>
    </row>
    <row r="84" spans="19:25" x14ac:dyDescent="0.2">
      <c r="S84" s="45">
        <v>82</v>
      </c>
      <c r="T84" s="76">
        <f t="shared" ca="1" si="12"/>
        <v>41</v>
      </c>
      <c r="U84" s="76">
        <f t="shared" ca="1" si="13"/>
        <v>95.97474687023913</v>
      </c>
      <c r="V84" s="78">
        <f t="shared" ca="1" si="14"/>
        <v>0.22648784691809828</v>
      </c>
      <c r="W84" s="78">
        <f t="shared" ca="1" si="15"/>
        <v>2.7735121530818998</v>
      </c>
      <c r="X84" s="46">
        <f t="shared" ca="1" si="16"/>
        <v>41</v>
      </c>
      <c r="Y84" s="46">
        <f t="shared" ca="1" si="17"/>
        <v>-84.02525312976087</v>
      </c>
    </row>
    <row r="85" spans="19:25" x14ac:dyDescent="0.2">
      <c r="S85" s="45">
        <v>83</v>
      </c>
      <c r="T85" s="76">
        <f t="shared" ca="1" si="12"/>
        <v>41.499999999999993</v>
      </c>
      <c r="U85" s="76">
        <f t="shared" ca="1" si="13"/>
        <v>94.971344205919934</v>
      </c>
      <c r="V85" s="78">
        <f t="shared" ca="1" si="14"/>
        <v>0.22304755255993336</v>
      </c>
      <c r="W85" s="78">
        <f t="shared" ca="1" si="15"/>
        <v>2.7769524474400642</v>
      </c>
      <c r="X85" s="46">
        <f t="shared" ca="1" si="16"/>
        <v>41.499999999999993</v>
      </c>
      <c r="Y85" s="46">
        <f t="shared" ca="1" si="17"/>
        <v>-85.028655794080066</v>
      </c>
    </row>
    <row r="86" spans="19:25" x14ac:dyDescent="0.2">
      <c r="S86" s="45">
        <v>84</v>
      </c>
      <c r="T86" s="76">
        <f t="shared" ca="1" si="12"/>
        <v>41.999999999999993</v>
      </c>
      <c r="U86" s="76">
        <f t="shared" ca="1" si="13"/>
        <v>93.96856549161383</v>
      </c>
      <c r="V86" s="78">
        <f t="shared" ca="1" si="14"/>
        <v>0.21959987757296617</v>
      </c>
      <c r="W86" s="78">
        <f t="shared" ca="1" si="15"/>
        <v>2.7804001224270318</v>
      </c>
      <c r="X86" s="46">
        <f t="shared" ca="1" si="16"/>
        <v>41.999999999999993</v>
      </c>
      <c r="Y86" s="46">
        <f t="shared" ca="1" si="17"/>
        <v>-86.03143450838617</v>
      </c>
    </row>
    <row r="87" spans="19:25" x14ac:dyDescent="0.2">
      <c r="S87" s="45">
        <v>85</v>
      </c>
      <c r="T87" s="76">
        <f t="shared" ca="1" si="12"/>
        <v>42.499999999999993</v>
      </c>
      <c r="U87" s="76">
        <f t="shared" ca="1" si="13"/>
        <v>92.966410419958095</v>
      </c>
      <c r="V87" s="78">
        <f t="shared" ca="1" si="14"/>
        <v>0.21614587215239617</v>
      </c>
      <c r="W87" s="78">
        <f t="shared" ca="1" si="15"/>
        <v>2.7838541278476017</v>
      </c>
      <c r="X87" s="46">
        <f t="shared" ca="1" si="16"/>
        <v>42.499999999999993</v>
      </c>
      <c r="Y87" s="46">
        <f t="shared" ca="1" si="17"/>
        <v>-87.033589580041905</v>
      </c>
    </row>
    <row r="88" spans="19:25" x14ac:dyDescent="0.2">
      <c r="S88" s="45">
        <v>86</v>
      </c>
      <c r="T88" s="76">
        <f t="shared" ca="1" si="12"/>
        <v>43</v>
      </c>
      <c r="U88" s="76">
        <f t="shared" ca="1" si="13"/>
        <v>91.96487849086634</v>
      </c>
      <c r="V88" s="78">
        <f t="shared" ca="1" si="14"/>
        <v>0.21268658842173419</v>
      </c>
      <c r="W88" s="78">
        <f t="shared" ca="1" si="15"/>
        <v>2.7873134115782636</v>
      </c>
      <c r="X88" s="46">
        <f t="shared" ca="1" si="16"/>
        <v>43</v>
      </c>
      <c r="Y88" s="46">
        <f t="shared" ca="1" si="17"/>
        <v>-88.03512150913366</v>
      </c>
    </row>
    <row r="89" spans="19:25" x14ac:dyDescent="0.2">
      <c r="S89" s="45">
        <v>87</v>
      </c>
      <c r="T89" s="76">
        <f t="shared" ca="1" si="12"/>
        <v>43.499999999999993</v>
      </c>
      <c r="U89" s="76">
        <f t="shared" ca="1" si="13"/>
        <v>90.96396901311148</v>
      </c>
      <c r="V89" s="78">
        <f t="shared" ca="1" si="14"/>
        <v>0.20922308011231538</v>
      </c>
      <c r="W89" s="78">
        <f t="shared" ca="1" si="15"/>
        <v>2.7907769198876835</v>
      </c>
      <c r="X89" s="46">
        <f t="shared" ca="1" si="16"/>
        <v>43.499999999999993</v>
      </c>
      <c r="Y89" s="46">
        <f t="shared" ca="1" si="17"/>
        <v>-89.03603098688852</v>
      </c>
    </row>
    <row r="90" spans="19:25" x14ac:dyDescent="0.2">
      <c r="S90" s="45">
        <v>88</v>
      </c>
      <c r="T90" s="76">
        <f t="shared" ca="1" si="12"/>
        <v>43.999999999999993</v>
      </c>
      <c r="U90" s="76">
        <f t="shared" ca="1" si="13"/>
        <v>89.963681105959722</v>
      </c>
      <c r="V90" s="78">
        <f t="shared" ca="1" si="14"/>
        <v>0.2057564022423225</v>
      </c>
      <c r="W90" s="78">
        <f t="shared" ca="1" si="15"/>
        <v>2.7942435977576756</v>
      </c>
      <c r="X90" s="46">
        <f t="shared" ca="1" si="16"/>
        <v>43.999999999999993</v>
      </c>
      <c r="Y90" s="46">
        <f t="shared" ca="1" si="17"/>
        <v>89.963681105959722</v>
      </c>
    </row>
    <row r="91" spans="19:25" x14ac:dyDescent="0.2">
      <c r="S91" s="45">
        <v>89</v>
      </c>
      <c r="T91" s="76">
        <f t="shared" ca="1" si="12"/>
        <v>44.499999999999993</v>
      </c>
      <c r="U91" s="76">
        <f t="shared" ca="1" si="13"/>
        <v>88.964013700853371</v>
      </c>
      <c r="V91" s="78">
        <f t="shared" ca="1" si="14"/>
        <v>0.20228761079541718</v>
      </c>
      <c r="W91" s="78">
        <f t="shared" ca="1" si="15"/>
        <v>2.7977123892045808</v>
      </c>
      <c r="X91" s="46">
        <f t="shared" ca="1" si="16"/>
        <v>44.499999999999993</v>
      </c>
      <c r="Y91" s="46">
        <f t="shared" ca="1" si="17"/>
        <v>88.964013700853371</v>
      </c>
    </row>
    <row r="92" spans="19:25" x14ac:dyDescent="0.2">
      <c r="S92" s="45">
        <v>90</v>
      </c>
      <c r="T92" s="76">
        <f t="shared" ca="1" si="12"/>
        <v>44.999999999999993</v>
      </c>
      <c r="U92" s="76">
        <f t="shared" ca="1" si="13"/>
        <v>87.964965543140124</v>
      </c>
      <c r="V92" s="78">
        <f t="shared" ca="1" si="14"/>
        <v>0.19881776239907717</v>
      </c>
      <c r="W92" s="78">
        <f t="shared" ca="1" si="15"/>
        <v>2.8011822376009214</v>
      </c>
      <c r="X92" s="46">
        <f t="shared" ca="1" si="16"/>
        <v>44.999999999999993</v>
      </c>
      <c r="Y92" s="46">
        <f t="shared" ca="1" si="17"/>
        <v>87.964965543140124</v>
      </c>
    </row>
    <row r="93" spans="19:25" x14ac:dyDescent="0.2">
      <c r="S93" s="45">
        <v>91</v>
      </c>
      <c r="T93" s="76">
        <f t="shared" ca="1" si="12"/>
        <v>45.499999999999993</v>
      </c>
      <c r="U93" s="76">
        <f t="shared" ca="1" si="13"/>
        <v>86.966535193846909</v>
      </c>
      <c r="V93" s="78">
        <f t="shared" ca="1" si="14"/>
        <v>0.19534791400273727</v>
      </c>
      <c r="W93" s="78">
        <f t="shared" ca="1" si="15"/>
        <v>2.8046520859972617</v>
      </c>
      <c r="X93" s="46">
        <f t="shared" ca="1" si="16"/>
        <v>45.499999999999993</v>
      </c>
      <c r="Y93" s="46">
        <f t="shared" ca="1" si="17"/>
        <v>86.966535193846909</v>
      </c>
    </row>
    <row r="94" spans="19:25" x14ac:dyDescent="0.2">
      <c r="S94" s="45">
        <v>92</v>
      </c>
      <c r="T94" s="76">
        <f t="shared" ca="1" si="12"/>
        <v>45.999999999999986</v>
      </c>
      <c r="U94" s="76">
        <f t="shared" ca="1" si="13"/>
        <v>85.968721031496088</v>
      </c>
      <c r="V94" s="78">
        <f t="shared" ca="1" si="14"/>
        <v>0.19187912255583206</v>
      </c>
      <c r="W94" s="78">
        <f t="shared" ca="1" si="15"/>
        <v>2.8081208774441655</v>
      </c>
      <c r="X94" s="46">
        <f t="shared" ca="1" si="16"/>
        <v>45.999999999999986</v>
      </c>
      <c r="Y94" s="46">
        <f t="shared" ca="1" si="17"/>
        <v>85.968721031496088</v>
      </c>
    </row>
    <row r="95" spans="19:25" x14ac:dyDescent="0.2">
      <c r="S95" s="45">
        <v>93</v>
      </c>
      <c r="T95" s="76">
        <f t="shared" ca="1" si="12"/>
        <v>46.499999999999993</v>
      </c>
      <c r="U95" s="76">
        <f t="shared" ca="1" si="13"/>
        <v>84.971521253961583</v>
      </c>
      <c r="V95" s="78">
        <f t="shared" ca="1" si="14"/>
        <v>0.18841244468583912</v>
      </c>
      <c r="W95" s="78">
        <f t="shared" ca="1" si="15"/>
        <v>2.8115875553141594</v>
      </c>
      <c r="X95" s="46">
        <f t="shared" ca="1" si="16"/>
        <v>46.499999999999993</v>
      </c>
      <c r="Y95" s="46">
        <f t="shared" ca="1" si="17"/>
        <v>84.971521253961583</v>
      </c>
    </row>
    <row r="96" spans="19:25" x14ac:dyDescent="0.2">
      <c r="S96" s="45">
        <v>94</v>
      </c>
      <c r="T96" s="76">
        <f t="shared" ca="1" si="12"/>
        <v>46.999999999999993</v>
      </c>
      <c r="U96" s="76">
        <f t="shared" ca="1" si="13"/>
        <v>83.974933880363466</v>
      </c>
      <c r="V96" s="78">
        <f t="shared" ca="1" si="14"/>
        <v>0.18494893637642018</v>
      </c>
      <c r="W96" s="78">
        <f t="shared" ca="1" si="15"/>
        <v>2.8150510636235779</v>
      </c>
      <c r="X96" s="46">
        <f t="shared" ca="1" si="16"/>
        <v>46.999999999999993</v>
      </c>
      <c r="Y96" s="46">
        <f t="shared" ca="1" si="17"/>
        <v>83.974933880363466</v>
      </c>
    </row>
    <row r="97" spans="19:25" x14ac:dyDescent="0.2">
      <c r="S97" s="45">
        <v>95</v>
      </c>
      <c r="T97" s="76">
        <f t="shared" ca="1" si="12"/>
        <v>47.5</v>
      </c>
      <c r="U97" s="76">
        <f t="shared" ca="1" si="13"/>
        <v>82.978956752998215</v>
      </c>
      <c r="V97" s="78">
        <f t="shared" ca="1" si="14"/>
        <v>0.18148965264575809</v>
      </c>
      <c r="W97" s="78">
        <f t="shared" ca="1" si="15"/>
        <v>2.8185103473542399</v>
      </c>
      <c r="X97" s="46">
        <f t="shared" ca="1" si="16"/>
        <v>47.5</v>
      </c>
      <c r="Y97" s="46">
        <f t="shared" ca="1" si="17"/>
        <v>82.978956752998215</v>
      </c>
    </row>
    <row r="98" spans="19:25" x14ac:dyDescent="0.2">
      <c r="S98" s="45">
        <v>96</v>
      </c>
      <c r="T98" s="76">
        <f t="shared" ca="1" si="12"/>
        <v>47.999999999999993</v>
      </c>
      <c r="U98" s="76">
        <f t="shared" ca="1" si="13"/>
        <v>81.983587539303258</v>
      </c>
      <c r="V98" s="78">
        <f t="shared" ca="1" si="14"/>
        <v>0.17803564722518825</v>
      </c>
      <c r="W98" s="78">
        <f t="shared" ca="1" si="15"/>
        <v>2.8219643527748102</v>
      </c>
      <c r="X98" s="46">
        <f t="shared" ca="1" si="16"/>
        <v>47.999999999999993</v>
      </c>
      <c r="Y98" s="46">
        <f t="shared" ca="1" si="17"/>
        <v>81.983587539303258</v>
      </c>
    </row>
    <row r="99" spans="19:25" x14ac:dyDescent="0.2">
      <c r="S99" s="45">
        <v>97</v>
      </c>
      <c r="T99" s="76">
        <f t="shared" ref="T99:T130" ca="1" si="18">X99-180*(-1+SIGN(X99))/2</f>
        <v>48.499999999999993</v>
      </c>
      <c r="U99" s="76">
        <f t="shared" ref="U99:U130" ca="1" si="19">Y99-180*(-1+SIGN(Y99))/2</f>
        <v>80.988823733853437</v>
      </c>
      <c r="V99" s="78">
        <f t="shared" ref="V99:V130" ca="1" si="20">(($R$11*SIN(RADIANS(S99))/SIN(RADIANS(X99)))^2)/(2*$O$9)</f>
        <v>0.17458797223822103</v>
      </c>
      <c r="W99" s="78">
        <f t="shared" ref="W99:W130" ca="1" si="21">(($R$11*SIN(RADIANS(S99))/SIN(RADIANS(Y99)))^2)/(2*$O$10)</f>
        <v>2.8254120277617774</v>
      </c>
      <c r="X99" s="46">
        <f t="shared" ref="X99:X130" ca="1" si="22">DEGREES(ATAN(SIN(RADIANS(S99))/($R$12/$R$11+COS(RADIANS(S99)))))</f>
        <v>48.499999999999993</v>
      </c>
      <c r="Y99" s="46">
        <f t="shared" ref="Y99:Y130" ca="1" si="23">DEGREES(ATAN(SIN(RADIANS(S99))/($R$12/$R$13-COS(RADIANS(S99)))))</f>
        <v>80.988823733853437</v>
      </c>
    </row>
    <row r="100" spans="19:25" x14ac:dyDescent="0.2">
      <c r="S100" s="45">
        <v>98</v>
      </c>
      <c r="T100" s="76">
        <f t="shared" ca="1" si="18"/>
        <v>48.999999999999993</v>
      </c>
      <c r="U100" s="76">
        <f t="shared" ca="1" si="19"/>
        <v>79.994662660387505</v>
      </c>
      <c r="V100" s="78">
        <f t="shared" ca="1" si="20"/>
        <v>0.17114767788005616</v>
      </c>
      <c r="W100" s="78">
        <f t="shared" ca="1" si="21"/>
        <v>2.8288523221199426</v>
      </c>
      <c r="X100" s="46">
        <f t="shared" ca="1" si="22"/>
        <v>48.999999999999993</v>
      </c>
      <c r="Y100" s="46">
        <f t="shared" ca="1" si="23"/>
        <v>79.994662660387505</v>
      </c>
    </row>
    <row r="101" spans="19:25" x14ac:dyDescent="0.2">
      <c r="S101" s="45">
        <v>99</v>
      </c>
      <c r="T101" s="76">
        <f t="shared" ca="1" si="18"/>
        <v>49.499999999999993</v>
      </c>
      <c r="U101" s="76">
        <f t="shared" ca="1" si="19"/>
        <v>79.001101473862846</v>
      </c>
      <c r="V101" s="78">
        <f t="shared" ca="1" si="20"/>
        <v>0.16771581209768185</v>
      </c>
      <c r="W101" s="78">
        <f t="shared" ca="1" si="21"/>
        <v>2.8322841879023168</v>
      </c>
      <c r="X101" s="46">
        <f t="shared" ca="1" si="22"/>
        <v>49.499999999999993</v>
      </c>
      <c r="Y101" s="46">
        <f t="shared" ca="1" si="23"/>
        <v>79.001101473862846</v>
      </c>
    </row>
    <row r="102" spans="19:25" x14ac:dyDescent="0.2">
      <c r="S102" s="45">
        <v>100</v>
      </c>
      <c r="T102" s="76">
        <f t="shared" ca="1" si="18"/>
        <v>49.999999999999993</v>
      </c>
      <c r="U102" s="76">
        <f t="shared" ca="1" si="19"/>
        <v>78.008137162536485</v>
      </c>
      <c r="V102" s="78">
        <f t="shared" ca="1" si="20"/>
        <v>0.16429342027066071</v>
      </c>
      <c r="W102" s="78">
        <f t="shared" ca="1" si="21"/>
        <v>2.835706579729337</v>
      </c>
      <c r="X102" s="46">
        <f t="shared" ca="1" si="22"/>
        <v>49.999999999999993</v>
      </c>
      <c r="Y102" s="46">
        <f t="shared" ca="1" si="23"/>
        <v>78.008137162536485</v>
      </c>
    </row>
    <row r="103" spans="19:25" x14ac:dyDescent="0.2">
      <c r="S103" s="45">
        <v>101</v>
      </c>
      <c r="T103" s="76">
        <f t="shared" ca="1" si="18"/>
        <v>50.499999999999993</v>
      </c>
      <c r="U103" s="76">
        <f t="shared" ca="1" si="19"/>
        <v>77.015766550070367</v>
      </c>
      <c r="V103" s="78">
        <f t="shared" ca="1" si="20"/>
        <v>0.16088154489269671</v>
      </c>
      <c r="W103" s="78">
        <f t="shared" ca="1" si="21"/>
        <v>2.8391184551073017</v>
      </c>
      <c r="X103" s="46">
        <f t="shared" ca="1" si="22"/>
        <v>50.499999999999993</v>
      </c>
      <c r="Y103" s="46">
        <f t="shared" ca="1" si="23"/>
        <v>77.015766550070367</v>
      </c>
    </row>
    <row r="104" spans="19:25" x14ac:dyDescent="0.2">
      <c r="S104" s="45">
        <v>102</v>
      </c>
      <c r="T104" s="76">
        <f t="shared" ca="1" si="18"/>
        <v>51</v>
      </c>
      <c r="U104" s="76">
        <f t="shared" ca="1" si="19"/>
        <v>76.023986297659491</v>
      </c>
      <c r="V104" s="78">
        <f t="shared" ca="1" si="20"/>
        <v>0.15748122525408151</v>
      </c>
      <c r="W104" s="78">
        <f t="shared" ca="1" si="21"/>
        <v>2.8425187747459177</v>
      </c>
      <c r="X104" s="46">
        <f t="shared" ca="1" si="22"/>
        <v>51</v>
      </c>
      <c r="Y104" s="46">
        <f t="shared" ca="1" si="23"/>
        <v>76.023986297659491</v>
      </c>
    </row>
    <row r="105" spans="19:25" x14ac:dyDescent="0.2">
      <c r="S105" s="45">
        <v>103</v>
      </c>
      <c r="T105" s="76">
        <f t="shared" ca="1" si="18"/>
        <v>51.499999999999993</v>
      </c>
      <c r="U105" s="76">
        <f t="shared" ca="1" si="19"/>
        <v>75.032792906180802</v>
      </c>
      <c r="V105" s="78">
        <f t="shared" ca="1" si="20"/>
        <v>0.15409349712511675</v>
      </c>
      <c r="W105" s="78">
        <f t="shared" ca="1" si="21"/>
        <v>2.8459065028748811</v>
      </c>
      <c r="X105" s="46">
        <f t="shared" ca="1" si="22"/>
        <v>51.499999999999993</v>
      </c>
      <c r="Y105" s="46">
        <f t="shared" ca="1" si="23"/>
        <v>75.032792906180802</v>
      </c>
    </row>
    <row r="106" spans="19:25" x14ac:dyDescent="0.2">
      <c r="S106" s="45">
        <v>104</v>
      </c>
      <c r="T106" s="76">
        <f t="shared" ca="1" si="18"/>
        <v>52</v>
      </c>
      <c r="U106" s="76">
        <f t="shared" ca="1" si="19"/>
        <v>74.04218271836119</v>
      </c>
      <c r="V106" s="78">
        <f t="shared" ca="1" si="20"/>
        <v>0.15071939244060806</v>
      </c>
      <c r="W106" s="78">
        <f t="shared" ca="1" si="21"/>
        <v>2.8492806075593906</v>
      </c>
      <c r="X106" s="46">
        <f t="shared" ca="1" si="22"/>
        <v>52</v>
      </c>
      <c r="Y106" s="46">
        <f t="shared" ca="1" si="23"/>
        <v>74.04218271836119</v>
      </c>
    </row>
    <row r="107" spans="19:25" x14ac:dyDescent="0.2">
      <c r="S107" s="45">
        <v>105</v>
      </c>
      <c r="T107" s="76">
        <f t="shared" ca="1" si="18"/>
        <v>52.5</v>
      </c>
      <c r="U107" s="76">
        <f t="shared" ca="1" si="19"/>
        <v>73.052151920963112</v>
      </c>
      <c r="V107" s="78">
        <f t="shared" ca="1" si="20"/>
        <v>0.14735993898552818</v>
      </c>
      <c r="W107" s="78">
        <f t="shared" ca="1" si="21"/>
        <v>2.8526400610144704</v>
      </c>
      <c r="X107" s="46">
        <f t="shared" ca="1" si="22"/>
        <v>52.5</v>
      </c>
      <c r="Y107" s="46">
        <f t="shared" ca="1" si="23"/>
        <v>73.052151920963112</v>
      </c>
    </row>
    <row r="108" spans="19:25" x14ac:dyDescent="0.2">
      <c r="S108" s="45">
        <v>106</v>
      </c>
      <c r="T108" s="76">
        <f t="shared" ca="1" si="18"/>
        <v>52.999999999999993</v>
      </c>
      <c r="U108" s="76">
        <f t="shared" ca="1" si="19"/>
        <v>72.062696546985919</v>
      </c>
      <c r="V108" s="78">
        <f t="shared" ca="1" si="20"/>
        <v>0.14401616008194318</v>
      </c>
      <c r="W108" s="78">
        <f t="shared" ca="1" si="21"/>
        <v>2.8559838399180548</v>
      </c>
      <c r="X108" s="46">
        <f t="shared" ca="1" si="22"/>
        <v>52.999999999999993</v>
      </c>
      <c r="Y108" s="46">
        <f t="shared" ca="1" si="23"/>
        <v>72.062696546985919</v>
      </c>
    </row>
    <row r="109" spans="19:25" x14ac:dyDescent="0.2">
      <c r="S109" s="45">
        <v>107</v>
      </c>
      <c r="T109" s="333">
        <f t="shared" ca="1" si="18"/>
        <v>53.499999999999993</v>
      </c>
      <c r="U109" s="333">
        <f t="shared" ca="1" si="19"/>
        <v>71.073812477881617</v>
      </c>
      <c r="V109" s="334">
        <f t="shared" ca="1" si="20"/>
        <v>0.14068907427729896</v>
      </c>
      <c r="W109" s="334">
        <f t="shared" ca="1" si="21"/>
        <v>2.8593109257226992</v>
      </c>
      <c r="X109" s="46">
        <f t="shared" ca="1" si="22"/>
        <v>53.499999999999993</v>
      </c>
      <c r="Y109" s="46">
        <f t="shared" ca="1" si="23"/>
        <v>71.073812477881617</v>
      </c>
    </row>
    <row r="110" spans="19:25" x14ac:dyDescent="0.2">
      <c r="S110" s="45">
        <v>108</v>
      </c>
      <c r="T110" s="76">
        <f t="shared" ca="1" si="18"/>
        <v>53.999999999999993</v>
      </c>
      <c r="U110" s="76">
        <f t="shared" ca="1" si="19"/>
        <v>70.085495445783181</v>
      </c>
      <c r="V110" s="78">
        <f t="shared" ca="1" si="20"/>
        <v>0.13737969503416195</v>
      </c>
      <c r="W110" s="78">
        <f t="shared" ca="1" si="21"/>
        <v>2.8626203049658372</v>
      </c>
      <c r="X110" s="46">
        <f t="shared" ca="1" si="22"/>
        <v>53.999999999999993</v>
      </c>
      <c r="Y110" s="46">
        <f t="shared" ca="1" si="23"/>
        <v>70.085495445783181</v>
      </c>
    </row>
    <row r="111" spans="19:25" x14ac:dyDescent="0.2">
      <c r="S111" s="45">
        <v>109</v>
      </c>
      <c r="T111" s="76">
        <f t="shared" ca="1" si="18"/>
        <v>54.499999999999993</v>
      </c>
      <c r="U111" s="76">
        <f t="shared" ca="1" si="19"/>
        <v>69.097741035744335</v>
      </c>
      <c r="V111" s="78">
        <f t="shared" ca="1" si="20"/>
        <v>0.13408903042150819</v>
      </c>
      <c r="W111" s="78">
        <f t="shared" ca="1" si="21"/>
        <v>2.8659109695784903</v>
      </c>
      <c r="X111" s="46">
        <f t="shared" ca="1" si="22"/>
        <v>54.499999999999993</v>
      </c>
      <c r="Y111" s="46">
        <f t="shared" ca="1" si="23"/>
        <v>69.097741035744335</v>
      </c>
    </row>
    <row r="112" spans="19:25" x14ac:dyDescent="0.2">
      <c r="S112" s="45">
        <v>110</v>
      </c>
      <c r="T112" s="76">
        <f t="shared" ca="1" si="18"/>
        <v>54.999999999999986</v>
      </c>
      <c r="U112" s="76">
        <f t="shared" ca="1" si="19"/>
        <v>68.110544687988877</v>
      </c>
      <c r="V112" s="78">
        <f t="shared" ca="1" si="20"/>
        <v>0.13081808280765608</v>
      </c>
      <c r="W112" s="78">
        <f t="shared" ca="1" si="21"/>
        <v>2.8691819171923423</v>
      </c>
      <c r="X112" s="46">
        <f t="shared" ca="1" si="22"/>
        <v>54.999999999999986</v>
      </c>
      <c r="Y112" s="46">
        <f t="shared" ca="1" si="23"/>
        <v>68.110544687988877</v>
      </c>
    </row>
    <row r="113" spans="19:25" x14ac:dyDescent="0.2">
      <c r="S113" s="45">
        <v>111</v>
      </c>
      <c r="T113" s="76">
        <f t="shared" ca="1" si="18"/>
        <v>55.499999999999986</v>
      </c>
      <c r="U113" s="76">
        <f t="shared" ca="1" si="19"/>
        <v>67.123901700168574</v>
      </c>
      <c r="V113" s="78">
        <f t="shared" ca="1" si="20"/>
        <v>0.12756784855493519</v>
      </c>
      <c r="W113" s="78">
        <f t="shared" ca="1" si="21"/>
        <v>2.8724321514450635</v>
      </c>
      <c r="X113" s="46">
        <f t="shared" ca="1" si="22"/>
        <v>55.499999999999986</v>
      </c>
      <c r="Y113" s="46">
        <f t="shared" ca="1" si="23"/>
        <v>67.123901700168574</v>
      </c>
    </row>
    <row r="114" spans="19:25" x14ac:dyDescent="0.2">
      <c r="S114" s="45">
        <v>112</v>
      </c>
      <c r="T114" s="76">
        <f t="shared" ca="1" si="18"/>
        <v>55.999999999999993</v>
      </c>
      <c r="U114" s="76">
        <f t="shared" ca="1" si="19"/>
        <v>66.137807229628052</v>
      </c>
      <c r="V114" s="78">
        <f t="shared" ca="1" si="20"/>
        <v>0.12433931771618467</v>
      </c>
      <c r="W114" s="78">
        <f t="shared" ca="1" si="21"/>
        <v>2.8756606822838138</v>
      </c>
      <c r="X114" s="46">
        <f t="shared" ca="1" si="22"/>
        <v>55.999999999999993</v>
      </c>
      <c r="Y114" s="46">
        <f t="shared" ca="1" si="23"/>
        <v>66.137807229628052</v>
      </c>
    </row>
    <row r="115" spans="19:25" x14ac:dyDescent="0.2">
      <c r="S115" s="45">
        <v>113</v>
      </c>
      <c r="T115" s="76">
        <f t="shared" ca="1" si="18"/>
        <v>56.499999999999993</v>
      </c>
      <c r="U115" s="76">
        <f t="shared" ca="1" si="19"/>
        <v>65.152256295675457</v>
      </c>
      <c r="V115" s="78">
        <f t="shared" ca="1" si="20"/>
        <v>0.12113347373317347</v>
      </c>
      <c r="W115" s="78">
        <f t="shared" ca="1" si="21"/>
        <v>2.8788665262668252</v>
      </c>
      <c r="X115" s="46">
        <f t="shared" ca="1" si="22"/>
        <v>56.499999999999993</v>
      </c>
      <c r="Y115" s="46">
        <f t="shared" ca="1" si="23"/>
        <v>65.152256295675457</v>
      </c>
    </row>
    <row r="116" spans="19:25" x14ac:dyDescent="0.2">
      <c r="S116" s="45">
        <v>114</v>
      </c>
      <c r="T116" s="76">
        <f t="shared" ca="1" si="18"/>
        <v>57</v>
      </c>
      <c r="U116" s="76">
        <f t="shared" ca="1" si="19"/>
        <v>64.167243781857394</v>
      </c>
      <c r="V116" s="78">
        <f t="shared" ca="1" si="20"/>
        <v>0.11795129313703444</v>
      </c>
      <c r="W116" s="78">
        <f t="shared" ca="1" si="21"/>
        <v>2.8820487068629634</v>
      </c>
      <c r="X116" s="46">
        <f t="shared" ca="1" si="22"/>
        <v>57</v>
      </c>
      <c r="Y116" s="46">
        <f t="shared" ca="1" si="23"/>
        <v>64.167243781857394</v>
      </c>
    </row>
    <row r="117" spans="19:25" x14ac:dyDescent="0.2">
      <c r="S117" s="45">
        <v>115</v>
      </c>
      <c r="T117" s="76">
        <f t="shared" ca="1" si="18"/>
        <v>57.499999999999986</v>
      </c>
      <c r="U117" s="76">
        <f t="shared" ca="1" si="19"/>
        <v>63.182764438237463</v>
      </c>
      <c r="V117" s="78">
        <f t="shared" ca="1" si="20"/>
        <v>0.11479374525080384</v>
      </c>
      <c r="W117" s="78">
        <f t="shared" ca="1" si="21"/>
        <v>2.8852062547491939</v>
      </c>
      <c r="X117" s="46">
        <f t="shared" ca="1" si="22"/>
        <v>57.499999999999986</v>
      </c>
      <c r="Y117" s="46">
        <f t="shared" ca="1" si="23"/>
        <v>63.182764438237463</v>
      </c>
    </row>
    <row r="118" spans="19:25" x14ac:dyDescent="0.2">
      <c r="S118" s="45">
        <v>116</v>
      </c>
      <c r="T118" s="76">
        <f t="shared" ca="1" si="18"/>
        <v>57.999999999999993</v>
      </c>
      <c r="U118" s="76">
        <f t="shared" ca="1" si="19"/>
        <v>62.198812883676531</v>
      </c>
      <c r="V118" s="78">
        <f t="shared" ca="1" si="20"/>
        <v>0.1116617918941554</v>
      </c>
      <c r="W118" s="78">
        <f t="shared" ca="1" si="21"/>
        <v>2.8883382081058429</v>
      </c>
      <c r="X118" s="46">
        <f t="shared" ca="1" si="22"/>
        <v>57.999999999999993</v>
      </c>
      <c r="Y118" s="46">
        <f t="shared" ca="1" si="23"/>
        <v>62.198812883676531</v>
      </c>
    </row>
    <row r="119" spans="19:25" x14ac:dyDescent="0.2">
      <c r="S119" s="45">
        <v>117</v>
      </c>
      <c r="T119" s="76">
        <f t="shared" ca="1" si="18"/>
        <v>58.499999999999986</v>
      </c>
      <c r="U119" s="76">
        <f t="shared" ca="1" si="19"/>
        <v>61.21538360811433</v>
      </c>
      <c r="V119" s="78">
        <f t="shared" ca="1" si="20"/>
        <v>0.10855638709042172</v>
      </c>
      <c r="W119" s="78">
        <f t="shared" ca="1" si="21"/>
        <v>2.8914436129095766</v>
      </c>
      <c r="X119" s="46">
        <f t="shared" ca="1" si="22"/>
        <v>58.499999999999986</v>
      </c>
      <c r="Y119" s="46">
        <f t="shared" ca="1" si="23"/>
        <v>61.21538360811433</v>
      </c>
    </row>
    <row r="120" spans="19:25" x14ac:dyDescent="0.2">
      <c r="S120" s="45">
        <v>118</v>
      </c>
      <c r="T120" s="76">
        <f t="shared" ca="1" si="18"/>
        <v>59.000000000000007</v>
      </c>
      <c r="U120" s="76">
        <f t="shared" ca="1" si="19"/>
        <v>60.232470974850557</v>
      </c>
      <c r="V120" s="78">
        <f t="shared" ca="1" si="20"/>
        <v>0.10547847677598847</v>
      </c>
      <c r="W120" s="78">
        <f t="shared" ca="1" si="21"/>
        <v>2.89452152322401</v>
      </c>
      <c r="X120" s="46">
        <f t="shared" ca="1" si="22"/>
        <v>59.000000000000007</v>
      </c>
      <c r="Y120" s="46">
        <f t="shared" ca="1" si="23"/>
        <v>60.232470974850557</v>
      </c>
    </row>
    <row r="121" spans="19:25" x14ac:dyDescent="0.2">
      <c r="S121" s="45">
        <v>119</v>
      </c>
      <c r="T121" s="76">
        <f t="shared" ca="1" si="18"/>
        <v>59.499999999999986</v>
      </c>
      <c r="U121" s="76">
        <f t="shared" ca="1" si="19"/>
        <v>59.250069222825296</v>
      </c>
      <c r="V121" s="78">
        <f t="shared" ca="1" si="20"/>
        <v>0.10242899851215415</v>
      </c>
      <c r="W121" s="78">
        <f t="shared" ca="1" si="21"/>
        <v>2.8975710014878451</v>
      </c>
      <c r="X121" s="46">
        <f t="shared" ca="1" si="22"/>
        <v>59.499999999999986</v>
      </c>
      <c r="Y121" s="46">
        <f t="shared" ca="1" si="23"/>
        <v>59.250069222825296</v>
      </c>
    </row>
    <row r="122" spans="19:25" x14ac:dyDescent="0.2">
      <c r="S122" s="45">
        <v>120</v>
      </c>
      <c r="T122" s="76">
        <f t="shared" ca="1" si="18"/>
        <v>59.999999999999986</v>
      </c>
      <c r="U122" s="76">
        <f t="shared" ca="1" si="19"/>
        <v>58.268172468896871</v>
      </c>
      <c r="V122" s="78">
        <f t="shared" ca="1" si="20"/>
        <v>9.940888119953864E-2</v>
      </c>
      <c r="W122" s="78">
        <f t="shared" ca="1" si="21"/>
        <v>2.9005911188004596</v>
      </c>
      <c r="X122" s="46">
        <f t="shared" ca="1" si="22"/>
        <v>59.999999999999986</v>
      </c>
      <c r="Y122" s="46">
        <f t="shared" ca="1" si="23"/>
        <v>58.268172468896871</v>
      </c>
    </row>
    <row r="123" spans="19:25" x14ac:dyDescent="0.2">
      <c r="S123" s="45">
        <v>121</v>
      </c>
      <c r="T123" s="76">
        <f t="shared" ca="1" si="18"/>
        <v>60.5</v>
      </c>
      <c r="U123" s="76">
        <f t="shared" ca="1" si="19"/>
        <v>57.286774710117044</v>
      </c>
      <c r="V123" s="78">
        <f t="shared" ca="1" si="20"/>
        <v>9.6419044795131914E-2</v>
      </c>
      <c r="W123" s="78">
        <f t="shared" ca="1" si="21"/>
        <v>2.9035809552048661</v>
      </c>
      <c r="X123" s="46">
        <f t="shared" ca="1" si="22"/>
        <v>60.5</v>
      </c>
      <c r="Y123" s="46">
        <f t="shared" ca="1" si="23"/>
        <v>57.286774710117044</v>
      </c>
    </row>
    <row r="124" spans="19:25" x14ac:dyDescent="0.2">
      <c r="S124" s="45">
        <v>122</v>
      </c>
      <c r="T124" s="76">
        <f t="shared" ca="1" si="18"/>
        <v>60.999999999999986</v>
      </c>
      <c r="U124" s="76">
        <f t="shared" ca="1" si="19"/>
        <v>56.305869826002095</v>
      </c>
      <c r="V124" s="78">
        <f t="shared" ca="1" si="20"/>
        <v>9.3460400032066085E-2</v>
      </c>
      <c r="W124" s="78">
        <f t="shared" ca="1" si="21"/>
        <v>2.9065395999679327</v>
      </c>
      <c r="X124" s="46">
        <f t="shared" ca="1" si="22"/>
        <v>60.999999999999986</v>
      </c>
      <c r="Y124" s="46">
        <f t="shared" ca="1" si="23"/>
        <v>56.305869826002095</v>
      </c>
    </row>
    <row r="125" spans="19:25" x14ac:dyDescent="0.2">
      <c r="S125" s="45">
        <v>123</v>
      </c>
      <c r="T125" s="76">
        <f t="shared" ca="1" si="18"/>
        <v>61.499999999999993</v>
      </c>
      <c r="U125" s="76">
        <f t="shared" ca="1" si="19"/>
        <v>55.325451580799054</v>
      </c>
      <c r="V125" s="78">
        <f t="shared" ca="1" si="20"/>
        <v>9.0533848142196865E-2</v>
      </c>
      <c r="W125" s="78">
        <f t="shared" ca="1" si="21"/>
        <v>2.9094661518578016</v>
      </c>
      <c r="X125" s="46">
        <f t="shared" ca="1" si="22"/>
        <v>61.499999999999993</v>
      </c>
      <c r="Y125" s="46">
        <f t="shared" ca="1" si="23"/>
        <v>55.325451580799054</v>
      </c>
    </row>
    <row r="126" spans="19:25" x14ac:dyDescent="0.2">
      <c r="S126" s="45">
        <v>124</v>
      </c>
      <c r="T126" s="76">
        <f t="shared" ca="1" si="18"/>
        <v>61.999999999999986</v>
      </c>
      <c r="U126" s="76">
        <f t="shared" ca="1" si="19"/>
        <v>54.345513625746641</v>
      </c>
      <c r="V126" s="78">
        <f t="shared" ca="1" si="20"/>
        <v>8.7640280581580188E-2</v>
      </c>
      <c r="W126" s="78">
        <f t="shared" ca="1" si="21"/>
        <v>2.9123597194184172</v>
      </c>
      <c r="X126" s="46">
        <f t="shared" ca="1" si="22"/>
        <v>61.999999999999986</v>
      </c>
      <c r="Y126" s="46">
        <f t="shared" ca="1" si="23"/>
        <v>54.345513625746641</v>
      </c>
    </row>
    <row r="127" spans="19:25" x14ac:dyDescent="0.2">
      <c r="S127" s="45">
        <v>125</v>
      </c>
      <c r="T127" s="76">
        <f t="shared" ca="1" si="18"/>
        <v>62.499999999999993</v>
      </c>
      <c r="U127" s="76">
        <f t="shared" ca="1" si="19"/>
        <v>53.366049501329428</v>
      </c>
      <c r="V127" s="78">
        <f t="shared" ca="1" si="20"/>
        <v>8.4780578758925459E-2</v>
      </c>
      <c r="W127" s="78">
        <f t="shared" ca="1" si="21"/>
        <v>2.9152194212410727</v>
      </c>
      <c r="X127" s="46">
        <f t="shared" ca="1" si="22"/>
        <v>62.499999999999993</v>
      </c>
      <c r="Y127" s="46">
        <f t="shared" ca="1" si="23"/>
        <v>53.366049501329428</v>
      </c>
    </row>
    <row r="128" spans="19:25" x14ac:dyDescent="0.2">
      <c r="S128" s="45">
        <v>126</v>
      </c>
      <c r="T128" s="76">
        <f t="shared" ca="1" si="18"/>
        <v>62.999999999999986</v>
      </c>
      <c r="U128" s="76">
        <f t="shared" ca="1" si="19"/>
        <v>52.387052639525528</v>
      </c>
      <c r="V128" s="78">
        <f t="shared" ca="1" si="20"/>
        <v>8.1955613767110622E-2</v>
      </c>
      <c r="W128" s="78">
        <f t="shared" ca="1" si="21"/>
        <v>2.9180443862328866</v>
      </c>
      <c r="X128" s="46">
        <f t="shared" ca="1" si="22"/>
        <v>62.999999999999986</v>
      </c>
      <c r="Y128" s="46">
        <f t="shared" ca="1" si="23"/>
        <v>52.387052639525528</v>
      </c>
    </row>
    <row r="129" spans="19:25" x14ac:dyDescent="0.2">
      <c r="S129" s="45">
        <v>127</v>
      </c>
      <c r="T129" s="76">
        <f t="shared" ca="1" si="18"/>
        <v>63.499999999999993</v>
      </c>
      <c r="U129" s="76">
        <f t="shared" ca="1" si="19"/>
        <v>51.408516366045944</v>
      </c>
      <c r="V129" s="78">
        <f t="shared" ca="1" si="20"/>
        <v>7.9166246117838096E-2</v>
      </c>
      <c r="W129" s="78">
        <f t="shared" ca="1" si="21"/>
        <v>2.9208337538821603</v>
      </c>
      <c r="X129" s="46">
        <f t="shared" ca="1" si="22"/>
        <v>63.499999999999993</v>
      </c>
      <c r="Y129" s="46">
        <f t="shared" ca="1" si="23"/>
        <v>51.408516366045944</v>
      </c>
    </row>
    <row r="130" spans="19:25" x14ac:dyDescent="0.2">
      <c r="S130" s="45">
        <v>128</v>
      </c>
      <c r="T130" s="76">
        <f t="shared" ca="1" si="18"/>
        <v>63.999999999999986</v>
      </c>
      <c r="U130" s="76">
        <f t="shared" ca="1" si="19"/>
        <v>50.430433902566172</v>
      </c>
      <c r="V130" s="78">
        <f t="shared" ca="1" si="20"/>
        <v>7.6413325479515154E-2</v>
      </c>
      <c r="W130" s="78">
        <f t="shared" ca="1" si="21"/>
        <v>2.9235866745204846</v>
      </c>
      <c r="X130" s="46">
        <f t="shared" ca="1" si="22"/>
        <v>63.999999999999986</v>
      </c>
      <c r="Y130" s="46">
        <f t="shared" ca="1" si="23"/>
        <v>50.430433902566172</v>
      </c>
    </row>
    <row r="131" spans="19:25" x14ac:dyDescent="0.2">
      <c r="S131" s="45">
        <v>129</v>
      </c>
      <c r="T131" s="76">
        <f t="shared" ref="T131:T162" ca="1" si="24">X131-180*(-1+SIGN(X131))/2</f>
        <v>64.499999999999986</v>
      </c>
      <c r="U131" s="76">
        <f t="shared" ref="U131:U162" ca="1" si="25">Y131-180*(-1+SIGN(Y131))/2</f>
        <v>49.452798368948365</v>
      </c>
      <c r="V131" s="78">
        <f t="shared" ref="V131:V162" ca="1" si="26">(($R$11*SIN(RADIANS(S131))/SIN(RADIANS(X131)))^2)/(2*$O$9)</f>
        <v>7.3697690418436324E-2</v>
      </c>
      <c r="W131" s="78">
        <f t="shared" ref="W131:W162" ca="1" si="27">(($R$11*SIN(RADIANS(S131))/SIN(RADIANS(Y131)))^2)/(2*$O$10)</f>
        <v>2.9263023095815628</v>
      </c>
      <c r="X131" s="46">
        <f t="shared" ref="X131:X162" ca="1" si="28">DEGREES(ATAN(SIN(RADIANS(S131))/($R$12/$R$11+COS(RADIANS(S131)))))</f>
        <v>64.499999999999986</v>
      </c>
      <c r="Y131" s="46">
        <f t="shared" ref="Y131:Y162" ca="1" si="29">DEGREES(ATAN(SIN(RADIANS(S131))/($R$12/$R$13-COS(RADIANS(S131)))))</f>
        <v>49.452798368948365</v>
      </c>
    </row>
    <row r="132" spans="19:25" x14ac:dyDescent="0.2">
      <c r="S132" s="45">
        <v>130</v>
      </c>
      <c r="T132" s="76">
        <f t="shared" ca="1" si="24"/>
        <v>64.999999999999986</v>
      </c>
      <c r="U132" s="76">
        <f t="shared" ca="1" si="25"/>
        <v>48.475602785454392</v>
      </c>
      <c r="V132" s="78">
        <f t="shared" ca="1" si="26"/>
        <v>7.1020168143348064E-2</v>
      </c>
      <c r="W132" s="78">
        <f t="shared" ca="1" si="27"/>
        <v>2.9289798318566498</v>
      </c>
      <c r="X132" s="46">
        <f t="shared" ca="1" si="28"/>
        <v>64.999999999999986</v>
      </c>
      <c r="Y132" s="46">
        <f t="shared" ca="1" si="29"/>
        <v>48.475602785454392</v>
      </c>
    </row>
    <row r="133" spans="19:25" x14ac:dyDescent="0.2">
      <c r="S133" s="45">
        <v>131</v>
      </c>
      <c r="T133" s="76">
        <f t="shared" ca="1" si="24"/>
        <v>65.499999999999986</v>
      </c>
      <c r="U133" s="76">
        <f t="shared" ca="1" si="25"/>
        <v>47.498840074948802</v>
      </c>
      <c r="V133" s="78">
        <f t="shared" ca="1" si="26"/>
        <v>6.8381574253473243E-2</v>
      </c>
      <c r="W133" s="78">
        <f t="shared" ca="1" si="27"/>
        <v>2.931618425746525</v>
      </c>
      <c r="X133" s="46">
        <f t="shared" ca="1" si="28"/>
        <v>65.499999999999986</v>
      </c>
      <c r="Y133" s="46">
        <f t="shared" ca="1" si="29"/>
        <v>47.498840074948802</v>
      </c>
    </row>
    <row r="134" spans="19:25" x14ac:dyDescent="0.2">
      <c r="S134" s="45">
        <v>132</v>
      </c>
      <c r="T134" s="76">
        <f t="shared" ca="1" si="24"/>
        <v>65.999999999999986</v>
      </c>
      <c r="U134" s="76">
        <f t="shared" ca="1" si="25"/>
        <v>46.522503065091207</v>
      </c>
      <c r="V134" s="78">
        <f t="shared" ca="1" si="26"/>
        <v>6.5782712490071268E-2</v>
      </c>
      <c r="W134" s="78">
        <f t="shared" ca="1" si="27"/>
        <v>2.9342172875099277</v>
      </c>
      <c r="X134" s="46">
        <f t="shared" ca="1" si="28"/>
        <v>65.999999999999986</v>
      </c>
      <c r="Y134" s="46">
        <f t="shared" ca="1" si="29"/>
        <v>46.522503065091207</v>
      </c>
    </row>
    <row r="135" spans="19:25" x14ac:dyDescent="0.2">
      <c r="S135" s="45">
        <v>133</v>
      </c>
      <c r="T135" s="76">
        <f t="shared" ca="1" si="24"/>
        <v>66.499999999999986</v>
      </c>
      <c r="U135" s="76">
        <f t="shared" ca="1" si="25"/>
        <v>45.546584490518136</v>
      </c>
      <c r="V135" s="78">
        <f t="shared" ca="1" si="26"/>
        <v>6.3224374491611085E-2</v>
      </c>
      <c r="W135" s="78">
        <f t="shared" ca="1" si="27"/>
        <v>2.9367756255083863</v>
      </c>
      <c r="X135" s="46">
        <f t="shared" ca="1" si="28"/>
        <v>66.499999999999986</v>
      </c>
      <c r="Y135" s="46">
        <f t="shared" ca="1" si="29"/>
        <v>45.546584490518136</v>
      </c>
    </row>
    <row r="136" spans="19:25" x14ac:dyDescent="0.2">
      <c r="S136" s="45">
        <v>134</v>
      </c>
      <c r="T136" s="76">
        <f t="shared" ca="1" si="24"/>
        <v>66.999999999999986</v>
      </c>
      <c r="U136" s="76">
        <f t="shared" ca="1" si="25"/>
        <v>44.5710769950132</v>
      </c>
      <c r="V136" s="78">
        <f t="shared" ca="1" si="26"/>
        <v>6.07073395526301E-2</v>
      </c>
      <c r="W136" s="78">
        <f t="shared" ca="1" si="27"/>
        <v>2.9392926604473679</v>
      </c>
      <c r="X136" s="46">
        <f t="shared" ca="1" si="28"/>
        <v>66.999999999999986</v>
      </c>
      <c r="Y136" s="46">
        <f t="shared" ca="1" si="29"/>
        <v>44.5710769950132</v>
      </c>
    </row>
    <row r="137" spans="19:25" x14ac:dyDescent="0.2">
      <c r="S137" s="45">
        <v>135</v>
      </c>
      <c r="T137" s="76">
        <f t="shared" ca="1" si="24"/>
        <v>67.499999999999986</v>
      </c>
      <c r="U137" s="76">
        <f t="shared" ca="1" si="25"/>
        <v>43.595973133666149</v>
      </c>
      <c r="V137" s="78">
        <f t="shared" ca="1" si="26"/>
        <v>5.8232374386353938E-2</v>
      </c>
      <c r="W137" s="78">
        <f t="shared" ca="1" si="27"/>
        <v>2.9417676256136436</v>
      </c>
      <c r="X137" s="46">
        <f t="shared" ca="1" si="28"/>
        <v>67.499999999999986</v>
      </c>
      <c r="Y137" s="46">
        <f t="shared" ca="1" si="29"/>
        <v>43.595973133666149</v>
      </c>
    </row>
    <row r="138" spans="19:25" x14ac:dyDescent="0.2">
      <c r="S138" s="45">
        <v>136</v>
      </c>
      <c r="T138" s="76">
        <f t="shared" ca="1" si="24"/>
        <v>67.999999999999986</v>
      </c>
      <c r="U138" s="76">
        <f t="shared" ca="1" si="25"/>
        <v>42.621265375019519</v>
      </c>
      <c r="V138" s="78">
        <f t="shared" ca="1" si="26"/>
        <v>5.5800232891147585E-2</v>
      </c>
      <c r="W138" s="78">
        <f t="shared" ca="1" si="27"/>
        <v>2.94419976710885</v>
      </c>
      <c r="X138" s="46">
        <f t="shared" ca="1" si="28"/>
        <v>67.999999999999986</v>
      </c>
      <c r="Y138" s="46">
        <f t="shared" ca="1" si="29"/>
        <v>42.621265375019519</v>
      </c>
    </row>
    <row r="139" spans="19:25" x14ac:dyDescent="0.2">
      <c r="S139" s="45">
        <v>137</v>
      </c>
      <c r="T139" s="76">
        <f t="shared" ca="1" si="24"/>
        <v>68.499999999999986</v>
      </c>
      <c r="U139" s="76">
        <f t="shared" ca="1" si="25"/>
        <v>41.646946103203561</v>
      </c>
      <c r="V139" s="78">
        <f t="shared" ca="1" si="26"/>
        <v>5.3411655920871361E-2</v>
      </c>
      <c r="W139" s="78">
        <f t="shared" ca="1" si="27"/>
        <v>2.9465883440791272</v>
      </c>
      <c r="X139" s="46">
        <f t="shared" ca="1" si="28"/>
        <v>68.499999999999986</v>
      </c>
      <c r="Y139" s="46">
        <f t="shared" ca="1" si="29"/>
        <v>41.646946103203561</v>
      </c>
    </row>
    <row r="140" spans="19:25" x14ac:dyDescent="0.2">
      <c r="S140" s="45">
        <v>138</v>
      </c>
      <c r="T140" s="76">
        <f t="shared" ca="1" si="24"/>
        <v>68.999999999999972</v>
      </c>
      <c r="U140" s="76">
        <f t="shared" ca="1" si="25"/>
        <v>40.673007620058378</v>
      </c>
      <c r="V140" s="78">
        <f t="shared" ca="1" si="26"/>
        <v>5.1067371059208964E-2</v>
      </c>
      <c r="W140" s="78">
        <f t="shared" ca="1" si="27"/>
        <v>2.9489326289407876</v>
      </c>
      <c r="X140" s="46">
        <f t="shared" ca="1" si="28"/>
        <v>68.999999999999972</v>
      </c>
      <c r="Y140" s="46">
        <f t="shared" ca="1" si="29"/>
        <v>40.673007620058378</v>
      </c>
    </row>
    <row r="141" spans="19:25" x14ac:dyDescent="0.2">
      <c r="S141" s="45">
        <v>139</v>
      </c>
      <c r="T141" s="76">
        <f t="shared" ca="1" si="24"/>
        <v>69.499999999999986</v>
      </c>
      <c r="U141" s="76">
        <f t="shared" ca="1" si="25"/>
        <v>39.699442147243566</v>
      </c>
      <c r="V141" s="78">
        <f t="shared" ca="1" si="26"/>
        <v>4.8768092398038816E-2</v>
      </c>
      <c r="W141" s="78">
        <f t="shared" ca="1" si="27"/>
        <v>2.9512319076019593</v>
      </c>
      <c r="X141" s="46">
        <f t="shared" ca="1" si="28"/>
        <v>69.499999999999986</v>
      </c>
      <c r="Y141" s="46">
        <f t="shared" ca="1" si="29"/>
        <v>39.699442147243566</v>
      </c>
    </row>
    <row r="142" spans="19:25" x14ac:dyDescent="0.2">
      <c r="S142" s="45">
        <v>140</v>
      </c>
      <c r="T142" s="76">
        <f t="shared" ca="1" si="24"/>
        <v>69.999999999999972</v>
      </c>
      <c r="U142" s="76">
        <f t="shared" ca="1" si="25"/>
        <v>38.726241828335226</v>
      </c>
      <c r="V142" s="78">
        <f t="shared" ca="1" si="26"/>
        <v>4.6514520319914848E-2</v>
      </c>
      <c r="W142" s="78">
        <f t="shared" ca="1" si="27"/>
        <v>2.9534854796800842</v>
      </c>
      <c r="X142" s="46">
        <f t="shared" ca="1" si="28"/>
        <v>69.999999999999972</v>
      </c>
      <c r="Y142" s="46">
        <f t="shared" ca="1" si="29"/>
        <v>38.726241828335226</v>
      </c>
    </row>
    <row r="143" spans="19:25" x14ac:dyDescent="0.2">
      <c r="S143" s="45">
        <v>141</v>
      </c>
      <c r="T143" s="76">
        <f t="shared" ca="1" si="24"/>
        <v>70.499999999999972</v>
      </c>
      <c r="U143" s="76">
        <f t="shared" ca="1" si="25"/>
        <v>37.753398730909595</v>
      </c>
      <c r="V143" s="78">
        <f t="shared" ca="1" si="26"/>
        <v>4.4307341284722752E-2</v>
      </c>
      <c r="W143" s="78">
        <f t="shared" ca="1" si="27"/>
        <v>2.9556926587152752</v>
      </c>
      <c r="X143" s="46">
        <f t="shared" ca="1" si="28"/>
        <v>70.499999999999972</v>
      </c>
      <c r="Y143" s="46">
        <f t="shared" ca="1" si="29"/>
        <v>37.753398730909595</v>
      </c>
    </row>
    <row r="144" spans="19:25" x14ac:dyDescent="0.2">
      <c r="S144" s="45">
        <v>142</v>
      </c>
      <c r="T144" s="76">
        <f t="shared" ca="1" si="24"/>
        <v>70.999999999999986</v>
      </c>
      <c r="U144" s="76">
        <f t="shared" ca="1" si="25"/>
        <v>36.780904848614135</v>
      </c>
      <c r="V144" s="78">
        <f t="shared" ca="1" si="26"/>
        <v>4.2147227620578202E-2</v>
      </c>
      <c r="W144" s="78">
        <f t="shared" ca="1" si="27"/>
        <v>2.9578527723794203</v>
      </c>
      <c r="X144" s="46">
        <f t="shared" ca="1" si="28"/>
        <v>70.999999999999986</v>
      </c>
      <c r="Y144" s="46">
        <f t="shared" ca="1" si="29"/>
        <v>36.780904848614135</v>
      </c>
    </row>
    <row r="145" spans="19:25" x14ac:dyDescent="0.2">
      <c r="S145" s="45">
        <v>143</v>
      </c>
      <c r="T145" s="76">
        <f t="shared" ca="1" si="24"/>
        <v>71.499999999999986</v>
      </c>
      <c r="U145" s="76">
        <f t="shared" ca="1" si="25"/>
        <v>35.808752103225004</v>
      </c>
      <c r="V145" s="78">
        <f t="shared" ca="1" si="26"/>
        <v>4.0034837319028675E-2</v>
      </c>
      <c r="W145" s="78">
        <f t="shared" ca="1" si="27"/>
        <v>2.9599651626809695</v>
      </c>
      <c r="X145" s="46">
        <f t="shared" ca="1" si="28"/>
        <v>71.499999999999986</v>
      </c>
      <c r="Y145" s="46">
        <f t="shared" ca="1" si="29"/>
        <v>35.808752103225004</v>
      </c>
    </row>
    <row r="146" spans="19:25" x14ac:dyDescent="0.2">
      <c r="S146" s="45">
        <v>144</v>
      </c>
      <c r="T146" s="76">
        <f t="shared" ca="1" si="24"/>
        <v>71.999999999999972</v>
      </c>
      <c r="U146" s="76">
        <f t="shared" ca="1" si="25"/>
        <v>34.836932346691825</v>
      </c>
      <c r="V146" s="78">
        <f t="shared" ca="1" si="26"/>
        <v>3.7970813834623342E-2</v>
      </c>
      <c r="W146" s="78">
        <f t="shared" ca="1" si="27"/>
        <v>2.962029186165374</v>
      </c>
      <c r="X146" s="46">
        <f t="shared" ca="1" si="28"/>
        <v>71.999999999999972</v>
      </c>
      <c r="Y146" s="46">
        <f t="shared" ca="1" si="29"/>
        <v>34.836932346691825</v>
      </c>
    </row>
    <row r="147" spans="19:25" x14ac:dyDescent="0.2">
      <c r="S147" s="45">
        <v>145</v>
      </c>
      <c r="T147" s="76">
        <f t="shared" ca="1" si="24"/>
        <v>72.5</v>
      </c>
      <c r="U147" s="76">
        <f t="shared" ca="1" si="25"/>
        <v>33.865437363168716</v>
      </c>
      <c r="V147" s="78">
        <f t="shared" ca="1" si="26"/>
        <v>3.595578588891004E-2</v>
      </c>
      <c r="W147" s="78">
        <f t="shared" ca="1" si="27"/>
        <v>2.9640442141110879</v>
      </c>
      <c r="X147" s="46">
        <f t="shared" ca="1" si="28"/>
        <v>72.5</v>
      </c>
      <c r="Y147" s="46">
        <f t="shared" ca="1" si="29"/>
        <v>33.865437363168716</v>
      </c>
    </row>
    <row r="148" spans="19:25" x14ac:dyDescent="0.2">
      <c r="S148" s="45">
        <v>146</v>
      </c>
      <c r="T148" s="76">
        <f t="shared" ca="1" si="24"/>
        <v>72.999999999999972</v>
      </c>
      <c r="U148" s="76">
        <f t="shared" ca="1" si="25"/>
        <v>32.894258871032747</v>
      </c>
      <c r="V148" s="78">
        <f t="shared" ca="1" si="26"/>
        <v>3.3990367278921199E-2</v>
      </c>
      <c r="W148" s="78">
        <f t="shared" ca="1" si="27"/>
        <v>2.9660096327210765</v>
      </c>
      <c r="X148" s="46">
        <f t="shared" ca="1" si="28"/>
        <v>72.999999999999972</v>
      </c>
      <c r="Y148" s="46">
        <f t="shared" ca="1" si="29"/>
        <v>32.894258871032747</v>
      </c>
    </row>
    <row r="149" spans="19:25" x14ac:dyDescent="0.2">
      <c r="S149" s="45">
        <v>147</v>
      </c>
      <c r="T149" s="76">
        <f t="shared" ca="1" si="24"/>
        <v>73.499999999999986</v>
      </c>
      <c r="U149" s="76">
        <f t="shared" ca="1" si="25"/>
        <v>31.923388524888647</v>
      </c>
      <c r="V149" s="78">
        <f t="shared" ca="1" si="26"/>
        <v>3.2075156690204776E-2</v>
      </c>
      <c r="W149" s="78">
        <f t="shared" ca="1" si="27"/>
        <v>2.9679248433097931</v>
      </c>
      <c r="X149" s="46">
        <f t="shared" ca="1" si="28"/>
        <v>73.499999999999986</v>
      </c>
      <c r="Y149" s="46">
        <f t="shared" ca="1" si="29"/>
        <v>31.923388524888647</v>
      </c>
    </row>
    <row r="150" spans="19:25" x14ac:dyDescent="0.2">
      <c r="S150" s="45">
        <v>148</v>
      </c>
      <c r="T150" s="76">
        <f t="shared" ca="1" si="24"/>
        <v>73.999999999999972</v>
      </c>
      <c r="U150" s="76">
        <f t="shared" ca="1" si="25"/>
        <v>30.952817917560843</v>
      </c>
      <c r="V150" s="78">
        <f t="shared" ca="1" si="26"/>
        <v>3.0210737514459119E-2</v>
      </c>
      <c r="W150" s="78">
        <f t="shared" ca="1" si="27"/>
        <v>2.96978926248554</v>
      </c>
      <c r="X150" s="46">
        <f t="shared" ca="1" si="28"/>
        <v>73.999999999999972</v>
      </c>
      <c r="Y150" s="46">
        <f t="shared" ca="1" si="29"/>
        <v>30.952817917560843</v>
      </c>
    </row>
    <row r="151" spans="19:25" x14ac:dyDescent="0.2">
      <c r="S151" s="45">
        <v>149</v>
      </c>
      <c r="T151" s="76">
        <f t="shared" ca="1" si="24"/>
        <v>74.499999999999972</v>
      </c>
      <c r="U151" s="76">
        <f t="shared" ca="1" si="25"/>
        <v>29.982538582072443</v>
      </c>
      <c r="V151" s="78">
        <f t="shared" ca="1" si="26"/>
        <v>2.8397677671826306E-2</v>
      </c>
      <c r="W151" s="78">
        <f t="shared" ca="1" si="27"/>
        <v>2.9716023223281716</v>
      </c>
      <c r="X151" s="46">
        <f t="shared" ca="1" si="28"/>
        <v>74.499999999999972</v>
      </c>
      <c r="Y151" s="46">
        <f t="shared" ca="1" si="29"/>
        <v>29.982538582072443</v>
      </c>
    </row>
    <row r="152" spans="19:25" x14ac:dyDescent="0.2">
      <c r="S152" s="45">
        <v>150</v>
      </c>
      <c r="T152" s="331">
        <f t="shared" ca="1" si="24"/>
        <v>74.999999999999972</v>
      </c>
      <c r="U152" s="331">
        <f t="shared" ca="1" si="25"/>
        <v>29.012541993611062</v>
      </c>
      <c r="V152" s="332">
        <f t="shared" ca="1" si="26"/>
        <v>2.6636529437897776E-2</v>
      </c>
      <c r="W152" s="332">
        <f t="shared" ca="1" si="27"/>
        <v>2.9733634705621008</v>
      </c>
      <c r="X152" s="46">
        <f t="shared" ca="1" si="28"/>
        <v>74.999999999999972</v>
      </c>
      <c r="Y152" s="46">
        <f t="shared" ca="1" si="29"/>
        <v>29.012541993611062</v>
      </c>
    </row>
    <row r="153" spans="19:25" x14ac:dyDescent="0.2">
      <c r="S153" s="45">
        <v>151</v>
      </c>
      <c r="T153" s="76">
        <f t="shared" ca="1" si="24"/>
        <v>75.499999999999972</v>
      </c>
      <c r="U153" s="76">
        <f t="shared" ca="1" si="25"/>
        <v>28.04281957148239</v>
      </c>
      <c r="V153" s="78">
        <f t="shared" ca="1" si="26"/>
        <v>2.4927829275486337E-2</v>
      </c>
      <c r="W153" s="78">
        <f t="shared" ca="1" si="27"/>
        <v>2.9750721707245127</v>
      </c>
      <c r="X153" s="46">
        <f t="shared" ca="1" si="28"/>
        <v>75.499999999999972</v>
      </c>
      <c r="Y153" s="46">
        <f t="shared" ca="1" si="29"/>
        <v>28.04281957148239</v>
      </c>
    </row>
    <row r="154" spans="19:25" x14ac:dyDescent="0.2">
      <c r="S154" s="45">
        <v>152</v>
      </c>
      <c r="T154" s="76">
        <f t="shared" ca="1" si="24"/>
        <v>75.999999999999986</v>
      </c>
      <c r="U154" s="76">
        <f t="shared" ca="1" si="25"/>
        <v>27.073362681050678</v>
      </c>
      <c r="V154" s="78">
        <f t="shared" ca="1" si="26"/>
        <v>2.3272097671213895E-2</v>
      </c>
      <c r="W154" s="78">
        <f t="shared" ca="1" si="27"/>
        <v>2.9767279023287849</v>
      </c>
      <c r="X154" s="46">
        <f t="shared" ca="1" si="28"/>
        <v>75.999999999999986</v>
      </c>
      <c r="Y154" s="46">
        <f t="shared" ca="1" si="29"/>
        <v>27.073362681050678</v>
      </c>
    </row>
    <row r="155" spans="19:25" x14ac:dyDescent="0.2">
      <c r="S155" s="45">
        <v>153</v>
      </c>
      <c r="T155" s="76">
        <f t="shared" ca="1" si="24"/>
        <v>76.499999999999972</v>
      </c>
      <c r="U155" s="76">
        <f t="shared" ca="1" si="25"/>
        <v>26.104162635667336</v>
      </c>
      <c r="V155" s="78">
        <f t="shared" ca="1" si="26"/>
        <v>2.1669838976966661E-2</v>
      </c>
      <c r="W155" s="78">
        <f t="shared" ca="1" si="27"/>
        <v>2.9783301610230315</v>
      </c>
      <c r="X155" s="46">
        <f t="shared" ca="1" si="28"/>
        <v>76.499999999999972</v>
      </c>
      <c r="Y155" s="46">
        <f t="shared" ca="1" si="29"/>
        <v>26.104162635667336</v>
      </c>
    </row>
    <row r="156" spans="19:25" x14ac:dyDescent="0.2">
      <c r="S156" s="45">
        <v>154</v>
      </c>
      <c r="T156" s="76">
        <f t="shared" ca="1" si="24"/>
        <v>76.999999999999986</v>
      </c>
      <c r="U156" s="76">
        <f t="shared" ca="1" si="25"/>
        <v>25.135210698586903</v>
      </c>
      <c r="V156" s="78">
        <f t="shared" ca="1" si="26"/>
        <v>2.0121541256264214E-2</v>
      </c>
      <c r="W156" s="78">
        <f t="shared" ca="1" si="27"/>
        <v>2.9798784587437335</v>
      </c>
      <c r="X156" s="46">
        <f t="shared" ca="1" si="28"/>
        <v>76.999999999999986</v>
      </c>
      <c r="Y156" s="46">
        <f t="shared" ca="1" si="29"/>
        <v>25.135210698586903</v>
      </c>
    </row>
    <row r="157" spans="19:25" x14ac:dyDescent="0.2">
      <c r="S157" s="45">
        <v>155</v>
      </c>
      <c r="T157" s="76">
        <f t="shared" ca="1" si="24"/>
        <v>77.499999999999972</v>
      </c>
      <c r="U157" s="76">
        <f t="shared" ca="1" si="25"/>
        <v>24.166498084871506</v>
      </c>
      <c r="V157" s="78">
        <f t="shared" ca="1" si="26"/>
        <v>1.8627676135591079E-2</v>
      </c>
      <c r="W157" s="78">
        <f t="shared" ca="1" si="27"/>
        <v>2.9813723238644068</v>
      </c>
      <c r="X157" s="46">
        <f t="shared" ca="1" si="28"/>
        <v>77.499999999999972</v>
      </c>
      <c r="Y157" s="46">
        <f t="shared" ca="1" si="29"/>
        <v>24.166498084871506</v>
      </c>
    </row>
    <row r="158" spans="19:25" x14ac:dyDescent="0.2">
      <c r="S158" s="45">
        <v>156</v>
      </c>
      <c r="T158" s="76">
        <f t="shared" ca="1" si="24"/>
        <v>77.999999999999957</v>
      </c>
      <c r="U158" s="76">
        <f t="shared" ca="1" si="25"/>
        <v>23.198015963283247</v>
      </c>
      <c r="V158" s="78">
        <f t="shared" ca="1" si="26"/>
        <v>1.7188698660734358E-2</v>
      </c>
      <c r="W158" s="78">
        <f t="shared" ca="1" si="27"/>
        <v>2.9828113013392645</v>
      </c>
      <c r="X158" s="46">
        <f t="shared" ca="1" si="28"/>
        <v>77.999999999999957</v>
      </c>
      <c r="Y158" s="46">
        <f t="shared" ca="1" si="29"/>
        <v>23.198015963283247</v>
      </c>
    </row>
    <row r="159" spans="19:25" x14ac:dyDescent="0.2">
      <c r="S159" s="45">
        <v>157</v>
      </c>
      <c r="T159" s="76">
        <f t="shared" ca="1" si="24"/>
        <v>78.499999999999972</v>
      </c>
      <c r="U159" s="76">
        <f t="shared" ca="1" si="25"/>
        <v>22.229755458165432</v>
      </c>
      <c r="V159" s="78">
        <f t="shared" ca="1" si="26"/>
        <v>1.5805047158172547E-2</v>
      </c>
      <c r="W159" s="78">
        <f t="shared" ca="1" si="27"/>
        <v>2.984194952841825</v>
      </c>
      <c r="X159" s="46">
        <f t="shared" ca="1" si="28"/>
        <v>78.499999999999972</v>
      </c>
      <c r="Y159" s="46">
        <f t="shared" ca="1" si="29"/>
        <v>22.229755458165432</v>
      </c>
    </row>
    <row r="160" spans="19:25" x14ac:dyDescent="0.2">
      <c r="S160" s="45">
        <v>158</v>
      </c>
      <c r="T160" s="76">
        <f t="shared" ca="1" si="24"/>
        <v>78.999999999999957</v>
      </c>
      <c r="U160" s="76">
        <f t="shared" ca="1" si="25"/>
        <v>21.261707651312655</v>
      </c>
      <c r="V160" s="78">
        <f t="shared" ca="1" si="26"/>
        <v>1.4477143101557129E-2</v>
      </c>
      <c r="W160" s="78">
        <f t="shared" ca="1" si="27"/>
        <v>2.9855228568984407</v>
      </c>
      <c r="X160" s="46">
        <f t="shared" ca="1" si="28"/>
        <v>78.999999999999957</v>
      </c>
      <c r="Y160" s="46">
        <f t="shared" ca="1" si="29"/>
        <v>21.261707651312655</v>
      </c>
    </row>
    <row r="161" spans="19:25" x14ac:dyDescent="0.2">
      <c r="S161" s="45">
        <v>159</v>
      </c>
      <c r="T161" s="76">
        <f t="shared" ca="1" si="24"/>
        <v>79.499999999999972</v>
      </c>
      <c r="U161" s="76">
        <f t="shared" ca="1" si="25"/>
        <v>20.293863583829836</v>
      </c>
      <c r="V161" s="78">
        <f t="shared" ca="1" si="26"/>
        <v>1.3205390983327382E-2</v>
      </c>
      <c r="W161" s="78">
        <f t="shared" ca="1" si="27"/>
        <v>2.9867946090166697</v>
      </c>
      <c r="X161" s="46">
        <f t="shared" ca="1" si="28"/>
        <v>79.499999999999972</v>
      </c>
      <c r="Y161" s="46">
        <f t="shared" ca="1" si="29"/>
        <v>20.293863583829836</v>
      </c>
    </row>
    <row r="162" spans="19:25" x14ac:dyDescent="0.2">
      <c r="S162" s="45">
        <v>160</v>
      </c>
      <c r="T162" s="76">
        <f t="shared" ca="1" si="24"/>
        <v>79.999999999999957</v>
      </c>
      <c r="U162" s="76">
        <f t="shared" ca="1" si="25"/>
        <v>19.326214257981114</v>
      </c>
      <c r="V162" s="78">
        <f t="shared" ca="1" si="26"/>
        <v>1.1990178191498328E-2</v>
      </c>
      <c r="W162" s="78">
        <f t="shared" ca="1" si="27"/>
        <v>2.9880098218085003</v>
      </c>
      <c r="X162" s="46">
        <f t="shared" ca="1" si="28"/>
        <v>79.999999999999957</v>
      </c>
      <c r="Y162" s="46">
        <f t="shared" ca="1" si="29"/>
        <v>19.326214257981114</v>
      </c>
    </row>
    <row r="163" spans="19:25" x14ac:dyDescent="0.2">
      <c r="S163" s="45">
        <v>161</v>
      </c>
      <c r="T163" s="76">
        <f t="shared" ref="T163:T182" ca="1" si="30">X163-180*(-1+SIGN(X163))/2</f>
        <v>80.499999999999972</v>
      </c>
      <c r="U163" s="76">
        <f t="shared" ref="U163:U182" ca="1" si="31">Y163-180*(-1+SIGN(Y163))/2</f>
        <v>18.358750639028212</v>
      </c>
      <c r="V163" s="78">
        <f t="shared" ref="V163:V182" ca="1" si="32">(($R$11*SIN(RADIANS(S163))/SIN(RADIANS(X163)))^2)/(2*$O$9)</f>
        <v>1.0831874891658311E-2</v>
      </c>
      <c r="W163" s="78">
        <f t="shared" ref="W163:W182" ca="1" si="33">(($R$11*SIN(RADIANS(S163))/SIN(RADIANS(Y163)))^2)/(2*$O$10)</f>
        <v>2.98916812510834</v>
      </c>
      <c r="X163" s="46">
        <f t="shared" ref="X163:X182" ca="1" si="34">DEGREES(ATAN(SIN(RADIANS(S163))/($R$12/$R$11+COS(RADIANS(S163)))))</f>
        <v>80.499999999999972</v>
      </c>
      <c r="Y163" s="46">
        <f t="shared" ref="Y163:Y182" ca="1" si="35">DEGREES(ATAN(SIN(RADIANS(S163))/($R$12/$R$13-COS(RADIANS(S163)))))</f>
        <v>18.358750639028212</v>
      </c>
    </row>
    <row r="164" spans="19:25" x14ac:dyDescent="0.2">
      <c r="S164" s="45">
        <v>162</v>
      </c>
      <c r="T164" s="76">
        <f t="shared" ca="1" si="30"/>
        <v>80.999999999999957</v>
      </c>
      <c r="U164" s="76">
        <f t="shared" ca="1" si="31"/>
        <v>17.391463657059376</v>
      </c>
      <c r="V164" s="78">
        <f t="shared" ca="1" si="32"/>
        <v>9.7308339142132654E-3</v>
      </c>
      <c r="W164" s="78">
        <f t="shared" ca="1" si="33"/>
        <v>2.9902691660857847</v>
      </c>
      <c r="X164" s="46">
        <f t="shared" ca="1" si="34"/>
        <v>80.999999999999957</v>
      </c>
      <c r="Y164" s="46">
        <f t="shared" ca="1" si="35"/>
        <v>17.391463657059376</v>
      </c>
    </row>
    <row r="165" spans="19:25" x14ac:dyDescent="0.2">
      <c r="S165" s="45">
        <v>163</v>
      </c>
      <c r="T165" s="76">
        <f t="shared" ca="1" si="30"/>
        <v>81.499999999999972</v>
      </c>
      <c r="U165" s="76">
        <f t="shared" ca="1" si="31"/>
        <v>16.424344208808517</v>
      </c>
      <c r="V165" s="78">
        <f t="shared" ca="1" si="32"/>
        <v>8.6873906469108995E-3</v>
      </c>
      <c r="W165" s="78">
        <f t="shared" ca="1" si="33"/>
        <v>2.9913126093530873</v>
      </c>
      <c r="X165" s="46">
        <f t="shared" ca="1" si="34"/>
        <v>81.499999999999972</v>
      </c>
      <c r="Y165" s="46">
        <f t="shared" ca="1" si="35"/>
        <v>16.424344208808517</v>
      </c>
    </row>
    <row r="166" spans="19:25" x14ac:dyDescent="0.2">
      <c r="S166" s="45">
        <v>164</v>
      </c>
      <c r="T166" s="76">
        <f t="shared" ca="1" si="30"/>
        <v>81.999999999999957</v>
      </c>
      <c r="U166" s="76">
        <f t="shared" ca="1" si="31"/>
        <v>15.457383159465687</v>
      </c>
      <c r="V166" s="78">
        <f t="shared" ca="1" si="32"/>
        <v>7.7018629326785285E-3</v>
      </c>
      <c r="W166" s="78">
        <f t="shared" ca="1" si="33"/>
        <v>2.9922981370673196</v>
      </c>
      <c r="X166" s="46">
        <f t="shared" ca="1" si="34"/>
        <v>81.999999999999957</v>
      </c>
      <c r="Y166" s="46">
        <f t="shared" ca="1" si="35"/>
        <v>15.457383159465687</v>
      </c>
    </row>
    <row r="167" spans="19:25" x14ac:dyDescent="0.2">
      <c r="S167" s="45">
        <v>165</v>
      </c>
      <c r="T167" s="76">
        <f t="shared" ca="1" si="30"/>
        <v>82.499999999999943</v>
      </c>
      <c r="U167" s="76">
        <f t="shared" ca="1" si="31"/>
        <v>14.49057134447856</v>
      </c>
      <c r="V167" s="78">
        <f t="shared" ca="1" si="32"/>
        <v>6.7745509728049181E-3</v>
      </c>
      <c r="W167" s="78">
        <f t="shared" ca="1" si="33"/>
        <v>2.993225449027193</v>
      </c>
      <c r="X167" s="46">
        <f t="shared" ca="1" si="34"/>
        <v>82.499999999999943</v>
      </c>
      <c r="Y167" s="46">
        <f t="shared" ca="1" si="35"/>
        <v>14.49057134447856</v>
      </c>
    </row>
    <row r="168" spans="19:25" x14ac:dyDescent="0.2">
      <c r="S168" s="45">
        <v>166</v>
      </c>
      <c r="T168" s="76">
        <f t="shared" ca="1" si="30"/>
        <v>82.999999999999957</v>
      </c>
      <c r="U168" s="76">
        <f t="shared" ca="1" si="31"/>
        <v>13.523899571345913</v>
      </c>
      <c r="V168" s="78">
        <f t="shared" ca="1" si="32"/>
        <v>5.9057372354960856E-3</v>
      </c>
      <c r="W168" s="78">
        <f t="shared" ca="1" si="33"/>
        <v>2.9940942627645031</v>
      </c>
      <c r="X168" s="46">
        <f t="shared" ca="1" si="34"/>
        <v>82.999999999999957</v>
      </c>
      <c r="Y168" s="46">
        <f t="shared" ca="1" si="35"/>
        <v>13.523899571345913</v>
      </c>
    </row>
    <row r="169" spans="19:25" x14ac:dyDescent="0.2">
      <c r="S169" s="45">
        <v>167</v>
      </c>
      <c r="T169" s="76">
        <f t="shared" ca="1" si="30"/>
        <v>83.499999999999929</v>
      </c>
      <c r="U169" s="76">
        <f t="shared" ca="1" si="31"/>
        <v>12.557358621403329</v>
      </c>
      <c r="V169" s="78">
        <f t="shared" ca="1" si="32"/>
        <v>5.0956863698328539E-3</v>
      </c>
      <c r="W169" s="78">
        <f t="shared" ca="1" si="33"/>
        <v>2.9949043136301654</v>
      </c>
      <c r="X169" s="46">
        <f t="shared" ca="1" si="34"/>
        <v>83.499999999999929</v>
      </c>
      <c r="Y169" s="46">
        <f t="shared" ca="1" si="35"/>
        <v>12.557358621403329</v>
      </c>
    </row>
    <row r="170" spans="19:25" x14ac:dyDescent="0.2">
      <c r="S170" s="45">
        <v>168</v>
      </c>
      <c r="T170" s="76">
        <f t="shared" ca="1" si="30"/>
        <v>83.999999999999957</v>
      </c>
      <c r="U170" s="76">
        <f t="shared" ca="1" si="31"/>
        <v>11.59093925160124</v>
      </c>
      <c r="V170" s="78">
        <f t="shared" ca="1" si="32"/>
        <v>4.3446451251559987E-3</v>
      </c>
      <c r="W170" s="78">
        <f t="shared" ca="1" si="33"/>
        <v>2.9956553548748412</v>
      </c>
      <c r="X170" s="46">
        <f t="shared" ca="1" si="34"/>
        <v>83.999999999999957</v>
      </c>
      <c r="Y170" s="46">
        <f t="shared" ca="1" si="35"/>
        <v>11.59093925160124</v>
      </c>
    </row>
    <row r="171" spans="19:25" x14ac:dyDescent="0.2">
      <c r="S171" s="45">
        <v>169</v>
      </c>
      <c r="T171" s="76">
        <f t="shared" ca="1" si="30"/>
        <v>84.499999999999943</v>
      </c>
      <c r="U171" s="76">
        <f t="shared" ca="1" si="31"/>
        <v>10.624632196276456</v>
      </c>
      <c r="V171" s="78">
        <f t="shared" ca="1" si="32"/>
        <v>3.6528422759041861E-3</v>
      </c>
      <c r="W171" s="78">
        <f t="shared" ca="1" si="33"/>
        <v>2.9963471577240939</v>
      </c>
      <c r="X171" s="46">
        <f t="shared" ca="1" si="34"/>
        <v>84.499999999999943</v>
      </c>
      <c r="Y171" s="46">
        <f t="shared" ca="1" si="35"/>
        <v>10.624632196276456</v>
      </c>
    </row>
    <row r="172" spans="19:25" x14ac:dyDescent="0.2">
      <c r="S172" s="45">
        <v>170</v>
      </c>
      <c r="T172" s="76">
        <f t="shared" ca="1" si="30"/>
        <v>84.999999999999915</v>
      </c>
      <c r="U172" s="76">
        <f t="shared" ca="1" si="31"/>
        <v>9.6584281689167977</v>
      </c>
      <c r="V172" s="78">
        <f t="shared" ca="1" si="32"/>
        <v>3.0204885519269113E-3</v>
      </c>
      <c r="W172" s="78">
        <f t="shared" ca="1" si="33"/>
        <v>2.9969795114480711</v>
      </c>
      <c r="X172" s="46">
        <f t="shared" ca="1" si="34"/>
        <v>84.999999999999915</v>
      </c>
      <c r="Y172" s="46">
        <f t="shared" ca="1" si="35"/>
        <v>9.6584281689167977</v>
      </c>
    </row>
    <row r="173" spans="19:25" x14ac:dyDescent="0.2">
      <c r="S173" s="45">
        <v>171</v>
      </c>
      <c r="T173" s="76">
        <f t="shared" ca="1" si="30"/>
        <v>85.499999999999901</v>
      </c>
      <c r="U173" s="76">
        <f t="shared" ca="1" si="31"/>
        <v>8.6923178639201293</v>
      </c>
      <c r="V173" s="78">
        <f t="shared" ca="1" si="32"/>
        <v>2.4477765742942754E-3</v>
      </c>
      <c r="W173" s="78">
        <f t="shared" ca="1" si="33"/>
        <v>2.9975522234257048</v>
      </c>
      <c r="X173" s="46">
        <f t="shared" ca="1" si="34"/>
        <v>85.499999999999901</v>
      </c>
      <c r="Y173" s="46">
        <f t="shared" ca="1" si="35"/>
        <v>8.6923178639201293</v>
      </c>
    </row>
    <row r="174" spans="19:25" x14ac:dyDescent="0.2">
      <c r="S174" s="45">
        <v>172</v>
      </c>
      <c r="T174" s="76">
        <f t="shared" ca="1" si="30"/>
        <v>85.999999999999929</v>
      </c>
      <c r="U174" s="76">
        <f t="shared" ca="1" si="31"/>
        <v>7.7262919583474581</v>
      </c>
      <c r="V174" s="78">
        <f t="shared" ca="1" si="32"/>
        <v>1.9348807966226215E-3</v>
      </c>
      <c r="W174" s="78">
        <f t="shared" ca="1" si="33"/>
        <v>2.9980651192033752</v>
      </c>
      <c r="X174" s="46">
        <f t="shared" ca="1" si="34"/>
        <v>85.999999999999929</v>
      </c>
      <c r="Y174" s="46">
        <f t="shared" ca="1" si="35"/>
        <v>7.7262919583474581</v>
      </c>
    </row>
    <row r="175" spans="19:25" x14ac:dyDescent="0.2">
      <c r="S175" s="45">
        <v>173</v>
      </c>
      <c r="T175" s="76">
        <f t="shared" ca="1" si="30"/>
        <v>86.499999999999872</v>
      </c>
      <c r="U175" s="76">
        <f t="shared" ca="1" si="31"/>
        <v>6.760341113671358</v>
      </c>
      <c r="V175" s="78">
        <f t="shared" ca="1" si="32"/>
        <v>1.4819574519343891E-3</v>
      </c>
      <c r="W175" s="78">
        <f t="shared" ca="1" si="33"/>
        <v>2.9985180425480631</v>
      </c>
      <c r="X175" s="46">
        <f t="shared" ca="1" si="34"/>
        <v>86.499999999999872</v>
      </c>
      <c r="Y175" s="46">
        <f t="shared" ca="1" si="35"/>
        <v>6.760341113671358</v>
      </c>
    </row>
    <row r="176" spans="19:25" x14ac:dyDescent="0.2">
      <c r="S176" s="45">
        <v>174</v>
      </c>
      <c r="T176" s="76">
        <f t="shared" ca="1" si="30"/>
        <v>86.999999999999872</v>
      </c>
      <c r="U176" s="76">
        <f t="shared" ca="1" si="31"/>
        <v>5.7944559775194842</v>
      </c>
      <c r="V176" s="78">
        <f t="shared" ca="1" si="32"/>
        <v>1.0891445050679217E-3</v>
      </c>
      <c r="W176" s="78">
        <f t="shared" ca="1" si="33"/>
        <v>2.99891085549493</v>
      </c>
      <c r="X176" s="46">
        <f t="shared" ca="1" si="34"/>
        <v>86.999999999999872</v>
      </c>
      <c r="Y176" s="46">
        <f t="shared" ca="1" si="35"/>
        <v>5.7944559775194842</v>
      </c>
    </row>
    <row r="177" spans="19:25" x14ac:dyDescent="0.2">
      <c r="S177" s="45">
        <v>175</v>
      </c>
      <c r="T177" s="76">
        <f t="shared" ca="1" si="30"/>
        <v>87.499999999999858</v>
      </c>
      <c r="U177" s="76">
        <f t="shared" ca="1" si="31"/>
        <v>4.82862718541422</v>
      </c>
      <c r="V177" s="78">
        <f t="shared" ca="1" si="32"/>
        <v>7.5656161065209226E-4</v>
      </c>
      <c r="W177" s="78">
        <f t="shared" ca="1" si="33"/>
        <v>2.9992434383893465</v>
      </c>
      <c r="X177" s="46">
        <f t="shared" ca="1" si="34"/>
        <v>87.499999999999858</v>
      </c>
      <c r="Y177" s="46">
        <f t="shared" ca="1" si="35"/>
        <v>4.82862718541422</v>
      </c>
    </row>
    <row r="178" spans="19:25" x14ac:dyDescent="0.2">
      <c r="S178" s="45">
        <v>176</v>
      </c>
      <c r="T178" s="76">
        <f t="shared" ca="1" si="30"/>
        <v>87.999999999999787</v>
      </c>
      <c r="U178" s="76">
        <f t="shared" ca="1" si="31"/>
        <v>3.8628453625087671</v>
      </c>
      <c r="V178" s="78">
        <f t="shared" ca="1" si="32"/>
        <v>4.8431007665835962E-4</v>
      </c>
      <c r="W178" s="78">
        <f t="shared" ca="1" si="33"/>
        <v>2.9995156899233399</v>
      </c>
      <c r="X178" s="46">
        <f t="shared" ca="1" si="34"/>
        <v>87.999999999999787</v>
      </c>
      <c r="Y178" s="46">
        <f t="shared" ca="1" si="35"/>
        <v>3.8628453625087671</v>
      </c>
    </row>
    <row r="179" spans="19:25" x14ac:dyDescent="0.2">
      <c r="S179" s="45">
        <v>177</v>
      </c>
      <c r="T179" s="76">
        <f t="shared" ca="1" si="30"/>
        <v>88.499999999999716</v>
      </c>
      <c r="U179" s="76">
        <f t="shared" ca="1" si="31"/>
        <v>2.8971011253199013</v>
      </c>
      <c r="V179" s="78">
        <f t="shared" ca="1" si="32"/>
        <v>2.724728335413244E-4</v>
      </c>
      <c r="W179" s="78">
        <f t="shared" ca="1" si="33"/>
        <v>2.9997275271664567</v>
      </c>
      <c r="X179" s="46">
        <f t="shared" ca="1" si="34"/>
        <v>88.499999999999716</v>
      </c>
      <c r="Y179" s="46">
        <f t="shared" ca="1" si="35"/>
        <v>2.8971011253199013</v>
      </c>
    </row>
    <row r="180" spans="19:25" x14ac:dyDescent="0.2">
      <c r="S180" s="45">
        <v>178</v>
      </c>
      <c r="T180" s="76">
        <f t="shared" ca="1" si="30"/>
        <v>88.999999999999687</v>
      </c>
      <c r="U180" s="76">
        <f t="shared" ca="1" si="31"/>
        <v>1.9313850834585291</v>
      </c>
      <c r="V180" s="78">
        <f t="shared" ca="1" si="32"/>
        <v>1.2111440897736393E-4</v>
      </c>
      <c r="W180" s="78">
        <f t="shared" ca="1" si="33"/>
        <v>2.9998788855910208</v>
      </c>
      <c r="X180" s="46">
        <f t="shared" ca="1" si="34"/>
        <v>88.999999999999687</v>
      </c>
      <c r="Y180" s="46">
        <f t="shared" ca="1" si="35"/>
        <v>1.9313850834585291</v>
      </c>
    </row>
    <row r="181" spans="19:25" x14ac:dyDescent="0.2">
      <c r="S181" s="45">
        <v>179</v>
      </c>
      <c r="T181" s="76">
        <f t="shared" ca="1" si="30"/>
        <v>89.499999999999375</v>
      </c>
      <c r="U181" s="76">
        <f t="shared" ca="1" si="31"/>
        <v>0.96568784135779107</v>
      </c>
      <c r="V181" s="78">
        <f t="shared" ca="1" si="32"/>
        <v>3.0280908208834969E-5</v>
      </c>
      <c r="W181" s="78">
        <f t="shared" ca="1" si="33"/>
        <v>2.9999697190917898</v>
      </c>
      <c r="X181" s="46">
        <f t="shared" ca="1" si="34"/>
        <v>89.499999999999375</v>
      </c>
      <c r="Y181" s="46">
        <f t="shared" ca="1" si="35"/>
        <v>0.96568784135779107</v>
      </c>
    </row>
    <row r="182" spans="19:25" x14ac:dyDescent="0.2">
      <c r="S182" s="45">
        <v>180</v>
      </c>
      <c r="T182" s="76">
        <f t="shared" ca="1" si="30"/>
        <v>28.888060902069228</v>
      </c>
      <c r="U182" s="76">
        <f t="shared" ca="1" si="31"/>
        <v>6.7787155104989418E-15</v>
      </c>
      <c r="V182" s="78">
        <f t="shared" ca="1" si="32"/>
        <v>6.3933523605800854E-33</v>
      </c>
      <c r="W182" s="78">
        <f t="shared" ca="1" si="33"/>
        <v>2.9999999999999973</v>
      </c>
      <c r="X182" s="46">
        <f t="shared" ca="1" si="34"/>
        <v>28.888060902069228</v>
      </c>
      <c r="Y182" s="46">
        <f t="shared" ca="1" si="35"/>
        <v>6.7787155104989418E-15</v>
      </c>
    </row>
  </sheetData>
  <phoneticPr fontId="6" type="noConversion"/>
  <pageMargins left="0.75" right="0.75" top="1" bottom="1" header="0.5" footer="0.5"/>
  <pageSetup paperSize="9" orientation="portrait" verticalDpi="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AM110"/>
  <sheetViews>
    <sheetView topLeftCell="A16" workbookViewId="0">
      <selection activeCell="B9" sqref="B9"/>
    </sheetView>
  </sheetViews>
  <sheetFormatPr defaultColWidth="8.85546875" defaultRowHeight="12.75" x14ac:dyDescent="0.2"/>
  <cols>
    <col min="2" max="2" width="13" customWidth="1"/>
    <col min="3" max="4" width="15.42578125" customWidth="1"/>
    <col min="5" max="5" width="10" bestFit="1" customWidth="1"/>
    <col min="6" max="6" width="17.85546875" customWidth="1"/>
    <col min="10" max="10" width="12.7109375" customWidth="1"/>
    <col min="11" max="12" width="14.85546875" customWidth="1"/>
    <col min="13" max="13" width="12.28515625" customWidth="1"/>
    <col min="14" max="14" width="17.42578125" customWidth="1"/>
    <col min="17" max="17" width="11.85546875" customWidth="1"/>
    <col min="18" max="18" width="12.28515625" customWidth="1"/>
    <col min="19" max="19" width="16" customWidth="1"/>
    <col min="20" max="20" width="13.85546875" customWidth="1"/>
    <col min="21" max="21" width="12.42578125" customWidth="1"/>
    <col min="22" max="22" width="17.85546875" customWidth="1"/>
    <col min="26" max="26" width="12.140625" customWidth="1"/>
    <col min="27" max="27" width="18" customWidth="1"/>
    <col min="28" max="28" width="14.28515625" customWidth="1"/>
    <col min="29" max="29" width="13.28515625" customWidth="1"/>
    <col min="30" max="30" width="19.85546875" customWidth="1"/>
    <col min="34" max="34" width="13.140625" customWidth="1"/>
    <col min="35" max="35" width="15" customWidth="1"/>
    <col min="36" max="36" width="12" customWidth="1"/>
    <col min="37" max="37" width="11.42578125" customWidth="1"/>
    <col min="38" max="38" width="18.85546875" customWidth="1"/>
  </cols>
  <sheetData>
    <row r="2" spans="1:15" x14ac:dyDescent="0.2">
      <c r="B2" s="160" t="s">
        <v>203</v>
      </c>
      <c r="C2" s="161"/>
      <c r="D2" s="161"/>
      <c r="E2" s="161"/>
      <c r="F2" s="161"/>
      <c r="G2" s="161"/>
    </row>
    <row r="3" spans="1:15" x14ac:dyDescent="0.2">
      <c r="B3" s="1"/>
    </row>
    <row r="4" spans="1:15" x14ac:dyDescent="0.2">
      <c r="B4" s="159" t="s">
        <v>1626</v>
      </c>
    </row>
    <row r="5" spans="1:15" x14ac:dyDescent="0.2">
      <c r="B5" s="159"/>
    </row>
    <row r="6" spans="1:15" ht="13.5" thickBot="1" x14ac:dyDescent="0.25">
      <c r="A6" s="188" t="str">
        <f>'SRIM Data'!A6</f>
        <v>21Na in CH2</v>
      </c>
      <c r="B6" s="125"/>
      <c r="C6" s="125"/>
      <c r="D6" s="125"/>
      <c r="E6" s="125"/>
      <c r="F6" s="125"/>
      <c r="G6" s="125"/>
      <c r="I6" s="188" t="str">
        <f>'SRIM Data'!A142</f>
        <v>21Na in Si</v>
      </c>
      <c r="J6" s="125"/>
      <c r="K6" s="125"/>
      <c r="L6" s="125"/>
      <c r="M6" s="125"/>
      <c r="N6" s="125"/>
      <c r="O6" s="125"/>
    </row>
    <row r="7" spans="1:15" ht="28.5" x14ac:dyDescent="0.2">
      <c r="A7" s="125"/>
      <c r="B7" s="163" t="s">
        <v>204</v>
      </c>
      <c r="C7" s="164" t="s">
        <v>205</v>
      </c>
      <c r="D7" s="164" t="s">
        <v>27</v>
      </c>
      <c r="E7" s="164" t="s">
        <v>207</v>
      </c>
      <c r="F7" s="165" t="s">
        <v>206</v>
      </c>
      <c r="G7" s="125"/>
      <c r="I7" s="125"/>
      <c r="J7" s="163" t="s">
        <v>204</v>
      </c>
      <c r="K7" s="164" t="s">
        <v>205</v>
      </c>
      <c r="L7" s="164" t="s">
        <v>27</v>
      </c>
      <c r="M7" s="164" t="s">
        <v>207</v>
      </c>
      <c r="N7" s="165" t="s">
        <v>206</v>
      </c>
      <c r="O7" s="125"/>
    </row>
    <row r="8" spans="1:15" ht="13.5" thickBot="1" x14ac:dyDescent="0.25">
      <c r="A8" s="125"/>
      <c r="B8" s="190">
        <v>86.5</v>
      </c>
      <c r="C8" s="200">
        <f>Target!D10/2</f>
        <v>1.0356791466003833E-2</v>
      </c>
      <c r="D8" s="199">
        <v>0</v>
      </c>
      <c r="E8" s="200">
        <f>$B$8-$F$8</f>
        <v>9.9298096510125333E-3</v>
      </c>
      <c r="F8" s="201">
        <f>B19</f>
        <v>86.490070190348987</v>
      </c>
      <c r="G8" s="125"/>
      <c r="I8" s="125"/>
      <c r="J8" s="190">
        <v>95</v>
      </c>
      <c r="K8" s="199">
        <v>50</v>
      </c>
      <c r="L8" s="199">
        <v>0</v>
      </c>
      <c r="M8" s="200">
        <f>$J$8-$N$8</f>
        <v>94.959949494949498</v>
      </c>
      <c r="N8" s="201">
        <f>J19</f>
        <v>4.0050505050504191E-2</v>
      </c>
      <c r="O8" s="125"/>
    </row>
    <row r="9" spans="1:15" x14ac:dyDescent="0.2">
      <c r="A9" s="125"/>
      <c r="B9" s="162">
        <f>MATCH(B8,'SRIM Data'!$L$9:$L$140)</f>
        <v>103</v>
      </c>
      <c r="C9" s="162"/>
      <c r="D9" s="162"/>
      <c r="E9" s="125"/>
      <c r="F9" s="125"/>
      <c r="G9" s="125"/>
      <c r="I9" s="125"/>
      <c r="J9" s="162">
        <f>MATCH(J8,'SRIM Data'!$L$145:$L$276)</f>
        <v>104</v>
      </c>
      <c r="K9" s="162"/>
      <c r="L9" s="162"/>
      <c r="M9" s="125"/>
      <c r="N9" s="125"/>
      <c r="O9" s="125"/>
    </row>
    <row r="10" spans="1:15" x14ac:dyDescent="0.2">
      <c r="B10" s="143">
        <f>B9+1</f>
        <v>104</v>
      </c>
      <c r="C10" s="143"/>
      <c r="D10" s="143"/>
      <c r="E10" s="303">
        <f>E8/22</f>
        <v>4.5135498413693335E-4</v>
      </c>
      <c r="F10" t="s">
        <v>172</v>
      </c>
      <c r="J10" s="143">
        <f>J9+1</f>
        <v>105</v>
      </c>
      <c r="K10" s="143"/>
      <c r="L10" s="143"/>
    </row>
    <row r="11" spans="1:15" x14ac:dyDescent="0.2">
      <c r="B11" s="144">
        <f>INDEX('SRIM Data'!$L$9:$L$140,B9)</f>
        <v>80</v>
      </c>
      <c r="C11" s="143">
        <f>INDEX('SRIM Data'!$M$9:$M$140,B9)</f>
        <v>59.29</v>
      </c>
      <c r="D11" s="143"/>
      <c r="J11" s="144">
        <f>INDEX('SRIM Data'!$L$145:$L$276,J9)</f>
        <v>90</v>
      </c>
      <c r="K11" s="143">
        <f>INDEX('SRIM Data'!$M$145:$M$276,J9)</f>
        <v>46.75</v>
      </c>
      <c r="L11" s="143"/>
    </row>
    <row r="12" spans="1:15" x14ac:dyDescent="0.2">
      <c r="B12" s="144">
        <f>INDEX('SRIM Data'!$L$9:$L$140,B10)</f>
        <v>90</v>
      </c>
      <c r="C12" s="143">
        <f>INDEX('SRIM Data'!$M$9:$M$140,B10)</f>
        <v>69.72</v>
      </c>
      <c r="D12" s="143"/>
      <c r="J12" s="144">
        <f>INDEX('SRIM Data'!$L$145:$L$276,J10)</f>
        <v>100</v>
      </c>
      <c r="K12" s="143">
        <f>INDEX('SRIM Data'!$M$145:$M$276,J10)</f>
        <v>53.41</v>
      </c>
      <c r="L12" s="143"/>
    </row>
    <row r="13" spans="1:15" x14ac:dyDescent="0.2">
      <c r="B13" s="143">
        <f>(B12-B8)/(B12-B11)</f>
        <v>0.35</v>
      </c>
      <c r="C13" s="143">
        <f>C12-B13*(C12-C11)</f>
        <v>66.069500000000005</v>
      </c>
      <c r="D13" s="143"/>
      <c r="J13" s="143">
        <f>(J12-J8)/(J12-J11)</f>
        <v>0.5</v>
      </c>
      <c r="K13" s="143">
        <f>K12-J13*(K12-K11)</f>
        <v>50.08</v>
      </c>
      <c r="L13" s="143"/>
    </row>
    <row r="14" spans="1:15" x14ac:dyDescent="0.2">
      <c r="B14" s="143"/>
      <c r="C14" s="143">
        <f>C13-(C8/COS(RADIANS(D8)))</f>
        <v>66.059143208533996</v>
      </c>
      <c r="D14" s="143"/>
      <c r="J14" s="143"/>
      <c r="K14" s="143">
        <f>K13-(K8/COS(RADIANS(L8)))</f>
        <v>7.9999999999998295E-2</v>
      </c>
      <c r="L14" s="143"/>
    </row>
    <row r="15" spans="1:15" x14ac:dyDescent="0.2">
      <c r="B15" s="143"/>
      <c r="C15" s="143">
        <f>MATCH(C14,'SRIM Data'!$M$9:$M$140)</f>
        <v>103</v>
      </c>
      <c r="D15" s="143"/>
      <c r="J15" s="143"/>
      <c r="K15" s="143">
        <f>MATCH(K14,'SRIM Data'!$M$145:$M$276)</f>
        <v>18</v>
      </c>
      <c r="L15" s="143"/>
    </row>
    <row r="16" spans="1:15" x14ac:dyDescent="0.2">
      <c r="B16" s="143"/>
      <c r="C16" s="143">
        <f>C15+1</f>
        <v>104</v>
      </c>
      <c r="D16" s="143"/>
      <c r="J16" s="143"/>
      <c r="K16" s="143">
        <f>K15+1</f>
        <v>19</v>
      </c>
      <c r="L16" s="143"/>
    </row>
    <row r="17" spans="1:39" x14ac:dyDescent="0.2">
      <c r="B17" s="144">
        <f>INDEX('SRIM Data'!$L$9:$L$140,C15)</f>
        <v>80</v>
      </c>
      <c r="C17" s="143">
        <f>INDEX('SRIM Data'!$M$9:$M$140,C15)</f>
        <v>59.29</v>
      </c>
      <c r="D17" s="143"/>
      <c r="J17" s="144">
        <f>INDEX('SRIM Data'!$L$145:$L$276,K15)</f>
        <v>0.04</v>
      </c>
      <c r="K17" s="143">
        <f>INDEX('SRIM Data'!$M$145:$M$276,K15)</f>
        <v>7.9899999999999999E-2</v>
      </c>
      <c r="L17" s="143"/>
    </row>
    <row r="18" spans="1:39" x14ac:dyDescent="0.2">
      <c r="B18" s="144">
        <f>INDEX('SRIM Data'!$L$9:$L$140,C16)</f>
        <v>90</v>
      </c>
      <c r="C18" s="143">
        <f>INDEX('SRIM Data'!$M$9:$M$140,C16)</f>
        <v>69.72</v>
      </c>
      <c r="D18" s="143"/>
      <c r="J18" s="144">
        <f>INDEX('SRIM Data'!$L$145:$L$276,K16)</f>
        <v>4.4999999999999998E-2</v>
      </c>
      <c r="K18" s="143">
        <f>INDEX('SRIM Data'!$M$145:$M$276,K16)</f>
        <v>8.9800000000000005E-2</v>
      </c>
      <c r="L18" s="143"/>
    </row>
    <row r="19" spans="1:39" x14ac:dyDescent="0.2">
      <c r="B19" s="143">
        <f>B18-C19*(B18-B17)</f>
        <v>86.490070190348987</v>
      </c>
      <c r="C19" s="143">
        <f>(C18-C14)/(C18-C17)</f>
        <v>0.35099298096510095</v>
      </c>
      <c r="D19" s="143"/>
      <c r="J19" s="143">
        <f>J18-K19*(J18-J17)</f>
        <v>4.0050505050504191E-2</v>
      </c>
      <c r="K19" s="143">
        <f>(K18-K14)/(K18-K17)</f>
        <v>0.98989898989916203</v>
      </c>
      <c r="L19" s="143"/>
    </row>
    <row r="21" spans="1:39" ht="13.5" thickBot="1" x14ac:dyDescent="0.25">
      <c r="A21" s="188" t="str">
        <f>'SRIM Data'!O6</f>
        <v>18Ne in CH2</v>
      </c>
      <c r="B21" s="125"/>
      <c r="C21" s="125"/>
      <c r="D21" s="125"/>
      <c r="E21" s="125"/>
      <c r="F21" s="125"/>
      <c r="G21" s="125"/>
      <c r="I21" s="188" t="str">
        <f>'SRIM Data'!O142</f>
        <v>18Ne in Si</v>
      </c>
      <c r="J21" s="125"/>
      <c r="K21" s="125"/>
      <c r="L21" s="125"/>
      <c r="M21" s="125"/>
      <c r="N21" s="125"/>
      <c r="O21" s="125" t="s">
        <v>222</v>
      </c>
      <c r="Q21" s="188" t="str">
        <f>'SRIM Data'!O142</f>
        <v>18Ne in Si</v>
      </c>
      <c r="R21" s="125"/>
      <c r="S21" s="125"/>
      <c r="T21" s="125"/>
      <c r="U21" s="125"/>
      <c r="V21" s="125"/>
      <c r="W21" s="125" t="s">
        <v>223</v>
      </c>
      <c r="Y21" s="188" t="str">
        <f>'SRIM Data'!O142</f>
        <v>18Ne in Si</v>
      </c>
      <c r="Z21" s="125"/>
      <c r="AA21" s="125"/>
      <c r="AB21" s="125"/>
      <c r="AC21" s="125"/>
      <c r="AD21" s="125"/>
      <c r="AE21" s="125" t="s">
        <v>224</v>
      </c>
      <c r="AG21" s="188" t="str">
        <f>'SRIM Data'!O142</f>
        <v>18Ne in Si</v>
      </c>
      <c r="AH21" s="125"/>
      <c r="AI21" s="125"/>
      <c r="AJ21" s="125"/>
      <c r="AK21" s="125"/>
      <c r="AL21" s="125"/>
      <c r="AM21" s="125" t="s">
        <v>225</v>
      </c>
    </row>
    <row r="22" spans="1:39" ht="29.25" thickBot="1" x14ac:dyDescent="0.25">
      <c r="A22" s="125"/>
      <c r="B22" s="163" t="s">
        <v>204</v>
      </c>
      <c r="C22" s="164" t="s">
        <v>205</v>
      </c>
      <c r="D22" s="164" t="s">
        <v>27</v>
      </c>
      <c r="E22" s="164" t="s">
        <v>207</v>
      </c>
      <c r="F22" s="165" t="s">
        <v>206</v>
      </c>
      <c r="G22" s="125"/>
      <c r="I22" s="125"/>
      <c r="J22" s="163" t="s">
        <v>204</v>
      </c>
      <c r="K22" s="164" t="s">
        <v>205</v>
      </c>
      <c r="L22" s="164" t="s">
        <v>27</v>
      </c>
      <c r="M22" s="164" t="s">
        <v>207</v>
      </c>
      <c r="N22" s="165" t="s">
        <v>206</v>
      </c>
      <c r="O22" s="125"/>
      <c r="Q22" s="125"/>
      <c r="R22" s="163" t="s">
        <v>204</v>
      </c>
      <c r="S22" s="164" t="s">
        <v>205</v>
      </c>
      <c r="T22" s="164" t="s">
        <v>27</v>
      </c>
      <c r="U22" s="164" t="s">
        <v>207</v>
      </c>
      <c r="V22" s="165" t="s">
        <v>206</v>
      </c>
      <c r="W22" s="125"/>
      <c r="Y22" s="125"/>
      <c r="Z22" s="163" t="s">
        <v>204</v>
      </c>
      <c r="AA22" s="164" t="s">
        <v>205</v>
      </c>
      <c r="AB22" s="164" t="s">
        <v>27</v>
      </c>
      <c r="AC22" s="164" t="s">
        <v>207</v>
      </c>
      <c r="AD22" s="165" t="s">
        <v>206</v>
      </c>
      <c r="AE22" s="125"/>
      <c r="AG22" s="125"/>
      <c r="AH22" s="163" t="s">
        <v>204</v>
      </c>
      <c r="AI22" s="164" t="s">
        <v>205</v>
      </c>
      <c r="AJ22" s="164" t="s">
        <v>27</v>
      </c>
      <c r="AK22" s="164" t="s">
        <v>207</v>
      </c>
      <c r="AL22" s="165" t="s">
        <v>206</v>
      </c>
      <c r="AM22" s="125"/>
    </row>
    <row r="23" spans="1:39" ht="13.5" thickBot="1" x14ac:dyDescent="0.25">
      <c r="A23" s="125"/>
      <c r="B23" s="347">
        <f ca="1">D25</f>
        <v>0.39715121472149606</v>
      </c>
      <c r="C23" s="200">
        <f>Target!D10/2</f>
        <v>1.0356791466003833E-2</v>
      </c>
      <c r="D23" s="345">
        <v>2</v>
      </c>
      <c r="E23" s="200">
        <f ca="1">$B$23-$F$23</f>
        <v>5.1815521945980381E-3</v>
      </c>
      <c r="F23" s="201">
        <f ca="1">B34</f>
        <v>0.39196966252689802</v>
      </c>
      <c r="G23" s="125"/>
      <c r="I23" s="125"/>
      <c r="J23" s="347">
        <f ca="1">F23</f>
        <v>0.39196966252689802</v>
      </c>
      <c r="K23" s="199">
        <v>0.8</v>
      </c>
      <c r="L23" s="200">
        <f ca="1">INDEX('Kinematic Curves'!T3:T182,D24)</f>
        <v>2</v>
      </c>
      <c r="M23" s="200" t="e">
        <f ca="1">$J$23-$N$23</f>
        <v>#N/A</v>
      </c>
      <c r="N23" s="201" t="e">
        <f ca="1">J34</f>
        <v>#N/A</v>
      </c>
      <c r="O23" s="125"/>
      <c r="Q23" s="125"/>
      <c r="R23" s="351" t="e">
        <f ca="1">N23</f>
        <v>#N/A</v>
      </c>
      <c r="S23" s="199">
        <v>35</v>
      </c>
      <c r="T23" s="356">
        <f ca="1">L23</f>
        <v>2</v>
      </c>
      <c r="U23" s="349" t="e">
        <f ca="1">IF(S29&lt;0,R23,$R$23-$V$23)</f>
        <v>#N/A</v>
      </c>
      <c r="V23" s="348" t="e">
        <f ca="1">IF(S29&lt;0,"stopped",R34)</f>
        <v>#N/A</v>
      </c>
      <c r="W23" s="125"/>
      <c r="Y23" s="125"/>
      <c r="Z23" s="351" t="e">
        <f ca="1">V23</f>
        <v>#N/A</v>
      </c>
      <c r="AA23" s="199">
        <v>1.6</v>
      </c>
      <c r="AB23" s="200">
        <f ca="1">L23</f>
        <v>2</v>
      </c>
      <c r="AC23" s="200" t="e">
        <f ca="1">IF(Z23="stopped","N/A",IF(AA29&lt;0,Z23,$Z$23-$AD$23))</f>
        <v>#N/A</v>
      </c>
      <c r="AD23" s="201" t="e">
        <f ca="1">IF(Z23="stopped","stopped",IF(AA29&lt;0,"stopped",Z34))</f>
        <v>#N/A</v>
      </c>
      <c r="AE23" s="125"/>
      <c r="AG23" s="125"/>
      <c r="AH23" s="351" t="e">
        <f ca="1">AD23</f>
        <v>#N/A</v>
      </c>
      <c r="AI23" s="199">
        <v>1500</v>
      </c>
      <c r="AJ23" s="356">
        <f ca="1">L23</f>
        <v>2</v>
      </c>
      <c r="AK23" s="349" t="e">
        <f ca="1">IF(AH23="stopped","N/A",(IF(AI29&lt;0,AH23,$AH$23-$AL$23)))</f>
        <v>#N/A</v>
      </c>
      <c r="AL23" s="348" t="e">
        <f ca="1">IF(AI29&lt;0,"stopped",AH34)</f>
        <v>#N/A</v>
      </c>
      <c r="AM23" s="125"/>
    </row>
    <row r="24" spans="1:39" x14ac:dyDescent="0.2">
      <c r="A24" s="125"/>
      <c r="B24" s="162">
        <f ca="1">MATCH(B23,'SRIM Data'!$Z$9:$Z$140)</f>
        <v>43</v>
      </c>
      <c r="C24" s="162"/>
      <c r="D24" s="342">
        <f ca="1">MATCH($D$23,'Kinematic Curves'!T3:T182)</f>
        <v>4</v>
      </c>
      <c r="E24" s="125"/>
      <c r="F24" s="125"/>
      <c r="G24" s="125"/>
      <c r="I24" s="125"/>
      <c r="J24" s="162">
        <f ca="1">MATCH(J23,'SRIM Data'!$Z$145:$Z$276)</f>
        <v>43</v>
      </c>
      <c r="K24" s="162"/>
      <c r="L24" s="162"/>
      <c r="M24" s="125"/>
      <c r="N24" s="125"/>
      <c r="O24" s="125"/>
      <c r="Q24" s="125"/>
      <c r="R24" s="162" t="e">
        <f ca="1">MATCH(R23,'SRIM Data'!$Z$145:$Z$276)</f>
        <v>#N/A</v>
      </c>
      <c r="S24" s="162"/>
      <c r="T24" s="162"/>
      <c r="U24" s="125"/>
      <c r="V24" s="125"/>
      <c r="W24" s="125"/>
      <c r="Y24" s="125"/>
      <c r="Z24" s="162" t="e">
        <f ca="1">MATCH(Z23,'SRIM Data'!$Z$145:$Z$276)</f>
        <v>#N/A</v>
      </c>
      <c r="AA24" s="162"/>
      <c r="AB24" s="162"/>
      <c r="AC24" s="125"/>
      <c r="AD24" s="125"/>
      <c r="AE24" s="125"/>
      <c r="AG24" s="125"/>
      <c r="AH24" s="162" t="e">
        <f ca="1">MATCH(AH23,'SRIM Data'!$Z$145:$Z$276)</f>
        <v>#N/A</v>
      </c>
      <c r="AI24" s="162"/>
      <c r="AJ24" s="162"/>
      <c r="AK24" s="125"/>
      <c r="AL24" s="125"/>
      <c r="AM24" s="125"/>
    </row>
    <row r="25" spans="1:39" x14ac:dyDescent="0.2">
      <c r="B25" s="143">
        <f ca="1">B24+1</f>
        <v>44</v>
      </c>
      <c r="C25" s="143"/>
      <c r="D25" s="343">
        <f ca="1">INDEX('Kinematic Curves'!V3:V182,D24)</f>
        <v>0.39715121472149606</v>
      </c>
      <c r="J25" s="143">
        <f ca="1">J24+1</f>
        <v>44</v>
      </c>
      <c r="K25" s="143"/>
      <c r="L25" s="143"/>
      <c r="Q25" s="338"/>
      <c r="R25" s="339" t="e">
        <f ca="1">R24+1</f>
        <v>#N/A</v>
      </c>
      <c r="S25" s="339"/>
      <c r="Z25" s="339" t="e">
        <f ca="1">Z24+1</f>
        <v>#N/A</v>
      </c>
      <c r="AA25" s="339"/>
      <c r="AH25" s="339" t="e">
        <f ca="1">AH24+1</f>
        <v>#N/A</v>
      </c>
      <c r="AI25" s="339"/>
    </row>
    <row r="26" spans="1:39" x14ac:dyDescent="0.2">
      <c r="B26" s="144">
        <f ca="1">INDEX('SRIM Data'!$Z$9:$Z$140,B24)</f>
        <v>0.375</v>
      </c>
      <c r="C26" s="143">
        <f ca="1">INDEX('SRIM Data'!$AA$9:$AA$140,B24)</f>
        <v>1.01</v>
      </c>
      <c r="D26" s="143"/>
      <c r="E26" t="s">
        <v>226</v>
      </c>
      <c r="F26" s="49" t="e">
        <f ca="1">U23+IF(AH23="stopped",0,AK23)</f>
        <v>#N/A</v>
      </c>
      <c r="G26" s="336" t="e">
        <f ca="1">SUM(F27:F28)</f>
        <v>#N/A</v>
      </c>
      <c r="J26" s="144">
        <f ca="1">INDEX('SRIM Data'!$Z$145:$Z$276,J24)</f>
        <v>0.375</v>
      </c>
      <c r="K26" s="143">
        <f ca="1">INDEX('SRIM Data'!$AA$145:$AA$276,J24)</f>
        <v>0.68520000000000003</v>
      </c>
      <c r="L26" s="143"/>
      <c r="Q26" s="338"/>
      <c r="R26" s="340" t="e">
        <f ca="1">INDEX('SRIM Data'!$Z$145:$Z$276,R24)</f>
        <v>#N/A</v>
      </c>
      <c r="S26" s="339" t="e">
        <f ca="1">INDEX('SRIM Data'!$AA$145:$AA$276,R24)</f>
        <v>#N/A</v>
      </c>
      <c r="Z26" s="340" t="e">
        <f ca="1">INDEX('SRIM Data'!$Z$145:$Z$276,Z24)</f>
        <v>#N/A</v>
      </c>
      <c r="AA26" s="339" t="e">
        <f ca="1">INDEX('SRIM Data'!$AA$145:$AA$276,Z24)</f>
        <v>#N/A</v>
      </c>
      <c r="AH26" s="340" t="e">
        <f ca="1">INDEX('SRIM Data'!$Z$145:$Z$276,AH24)</f>
        <v>#N/A</v>
      </c>
      <c r="AI26" s="339" t="e">
        <f ca="1">INDEX('SRIM Data'!$AA$145:$AA$276,AH24)</f>
        <v>#N/A</v>
      </c>
    </row>
    <row r="27" spans="1:39" x14ac:dyDescent="0.2">
      <c r="B27" s="144">
        <f ca="1">INDEX('SRIM Data'!$Z$9:$Z$140,B25)</f>
        <v>0.4</v>
      </c>
      <c r="C27" s="143">
        <f ca="1">INDEX('SRIM Data'!$AA$9:$AA$140,B25)</f>
        <v>1.06</v>
      </c>
      <c r="D27" s="143"/>
      <c r="E27" t="s">
        <v>223</v>
      </c>
      <c r="F27" s="336" t="e">
        <f ca="1">U23</f>
        <v>#N/A</v>
      </c>
      <c r="J27" s="144">
        <f ca="1">INDEX('SRIM Data'!$Z$145:$Z$276,J25)</f>
        <v>0.4</v>
      </c>
      <c r="K27" s="143">
        <f ca="1">INDEX('SRIM Data'!$AA$145:$AA$276,J25)</f>
        <v>0.72020000000000006</v>
      </c>
      <c r="L27" s="143"/>
      <c r="Q27" s="338"/>
      <c r="R27" s="340" t="e">
        <f ca="1">INDEX('SRIM Data'!$Z$145:$Z$276,R25)</f>
        <v>#N/A</v>
      </c>
      <c r="S27" s="339" t="e">
        <f ca="1">INDEX('SRIM Data'!$AA$145:$AA$276,R25)</f>
        <v>#N/A</v>
      </c>
      <c r="U27" s="260" t="s">
        <v>175</v>
      </c>
      <c r="Z27" s="340" t="e">
        <f ca="1">INDEX('SRIM Data'!$Z$145:$Z$276,Z25)</f>
        <v>#N/A</v>
      </c>
      <c r="AA27" s="339" t="e">
        <f ca="1">INDEX('SRIM Data'!$AA$145:$AA$276,Z25)</f>
        <v>#N/A</v>
      </c>
      <c r="AD27" s="260"/>
      <c r="AH27" s="340" t="e">
        <f ca="1">INDEX('SRIM Data'!$Z$145:$Z$276,AH25)</f>
        <v>#N/A</v>
      </c>
      <c r="AI27" s="339" t="e">
        <f ca="1">INDEX('SRIM Data'!$AA$145:$AA$276,AH25)</f>
        <v>#N/A</v>
      </c>
      <c r="AK27" s="260"/>
      <c r="AL27" s="260"/>
    </row>
    <row r="28" spans="1:39" x14ac:dyDescent="0.2">
      <c r="B28" s="143">
        <f ca="1">(B27-B23)/(B27-B26)</f>
        <v>0.1139514111401584</v>
      </c>
      <c r="C28" s="143">
        <f ca="1">C27-B28*(C27-C26)</f>
        <v>1.0543024294429921</v>
      </c>
      <c r="D28" s="143"/>
      <c r="E28" t="s">
        <v>225</v>
      </c>
      <c r="F28" s="336" t="e">
        <f ca="1">AK23</f>
        <v>#N/A</v>
      </c>
      <c r="J28" s="143">
        <f ca="1">(J27-J23)/(J27-J26)</f>
        <v>0.32121349892407974</v>
      </c>
      <c r="K28" s="143">
        <f ca="1">K27-J28*(K27-K26)</f>
        <v>0.70895752753765728</v>
      </c>
      <c r="L28" s="143"/>
      <c r="Q28" s="338"/>
      <c r="R28" s="339" t="e">
        <f ca="1">(R27-R23)/(R27-R26)</f>
        <v>#N/A</v>
      </c>
      <c r="S28" s="339" t="e">
        <f ca="1">S27-R28*(S27-S26)</f>
        <v>#N/A</v>
      </c>
      <c r="Z28" s="339" t="e">
        <f ca="1">(Z27-Z23)/(Z27-Z26)</f>
        <v>#N/A</v>
      </c>
      <c r="AA28" s="339" t="e">
        <f ca="1">AA27-Z28*(AA27-AA26)</f>
        <v>#N/A</v>
      </c>
      <c r="AH28" s="339" t="e">
        <f ca="1">(AH27-AH23)/(AH27-AH26)</f>
        <v>#N/A</v>
      </c>
      <c r="AI28" s="339" t="e">
        <f ca="1">AI27-AH28*(AI27-AI26)</f>
        <v>#N/A</v>
      </c>
    </row>
    <row r="29" spans="1:39" x14ac:dyDescent="0.2">
      <c r="B29" s="143"/>
      <c r="C29" s="143">
        <f ca="1">C28-(C23/COS(RADIANS(D23)))</f>
        <v>1.0439393250537961</v>
      </c>
      <c r="D29" s="143"/>
      <c r="J29" s="143"/>
      <c r="K29" s="143">
        <f ca="1">K28-(K23/COS(RADIANS(L23)))</f>
        <v>-9.1530107901400148E-2</v>
      </c>
      <c r="L29" s="143"/>
      <c r="Q29" s="338"/>
      <c r="R29" s="339"/>
      <c r="S29" s="339" t="e">
        <f ca="1">S28-(S23/COS(RADIANS(T23)))</f>
        <v>#N/A</v>
      </c>
      <c r="Z29" s="339"/>
      <c r="AA29" s="339" t="e">
        <f ca="1">AA28-(AA23/COS(RADIANS(AB23)))</f>
        <v>#N/A</v>
      </c>
      <c r="AH29" s="339"/>
      <c r="AI29" s="339" t="e">
        <f ca="1">AI28-(AI23/COS(RADIANS(AJ23)))</f>
        <v>#N/A</v>
      </c>
    </row>
    <row r="30" spans="1:39" x14ac:dyDescent="0.2">
      <c r="B30" s="143"/>
      <c r="C30" s="143">
        <f ca="1">MATCH(C29,'SRIM Data'!$AA$9:$AA$140)</f>
        <v>43</v>
      </c>
      <c r="D30" s="143"/>
      <c r="E30" t="s">
        <v>230</v>
      </c>
      <c r="F30" s="357" t="e">
        <f ca="1">F26+F41</f>
        <v>#N/A</v>
      </c>
      <c r="J30" s="143"/>
      <c r="K30" s="143" t="e">
        <f ca="1">MATCH(K29,'SRIM Data'!$AA$145:$AA$276)</f>
        <v>#N/A</v>
      </c>
      <c r="L30" s="143"/>
      <c r="Q30" s="338"/>
      <c r="R30" s="339"/>
      <c r="S30" s="339" t="e">
        <f ca="1">MATCH(S29,'SRIM Data'!$AA$145:$AA$276)</f>
        <v>#N/A</v>
      </c>
      <c r="Z30" s="339"/>
      <c r="AA30" s="339" t="e">
        <f ca="1">MATCH(AA29,'SRIM Data'!$AA$145:$AA$276)</f>
        <v>#N/A</v>
      </c>
      <c r="AH30" s="339"/>
      <c r="AI30" s="339" t="e">
        <f ca="1">MATCH(AI29,'SRIM Data'!$AA$145:$AA$276)</f>
        <v>#N/A</v>
      </c>
    </row>
    <row r="31" spans="1:39" x14ac:dyDescent="0.2">
      <c r="B31" s="143"/>
      <c r="C31" s="143">
        <f ca="1">C30+1</f>
        <v>44</v>
      </c>
      <c r="D31" s="143"/>
      <c r="J31" s="143"/>
      <c r="K31" s="143" t="e">
        <f ca="1">K30+1</f>
        <v>#N/A</v>
      </c>
      <c r="L31" s="143"/>
      <c r="Q31" s="338"/>
      <c r="R31" s="339"/>
      <c r="S31" s="339" t="e">
        <f ca="1">S30+1</f>
        <v>#N/A</v>
      </c>
      <c r="Z31" s="339"/>
      <c r="AA31" s="339" t="e">
        <f ca="1">AA30+1</f>
        <v>#N/A</v>
      </c>
      <c r="AH31" s="339"/>
      <c r="AI31" s="339" t="e">
        <f ca="1">AI30+1</f>
        <v>#N/A</v>
      </c>
    </row>
    <row r="32" spans="1:39" x14ac:dyDescent="0.2">
      <c r="B32" s="144">
        <f ca="1">INDEX('SRIM Data'!$Z$9:$Z$140,C30)</f>
        <v>0.375</v>
      </c>
      <c r="C32" s="143">
        <f ca="1">INDEX('SRIM Data'!$AA$9:$AA$140,C30)</f>
        <v>1.01</v>
      </c>
      <c r="D32" s="143"/>
      <c r="J32" s="144" t="e">
        <f ca="1">INDEX('SRIM Data'!$Z$145:$Z$276,K30)</f>
        <v>#N/A</v>
      </c>
      <c r="K32" s="143" t="e">
        <f ca="1">INDEX('SRIM Data'!$AA$145:$AA$276,K30)</f>
        <v>#N/A</v>
      </c>
      <c r="L32" s="143"/>
      <c r="Q32" s="338"/>
      <c r="R32" s="340" t="e">
        <f ca="1">INDEX('SRIM Data'!$Z$145:$Z$276,S30)</f>
        <v>#N/A</v>
      </c>
      <c r="S32" s="339" t="e">
        <f ca="1">INDEX('SRIM Data'!$AA$145:$AA$276,S30)</f>
        <v>#N/A</v>
      </c>
      <c r="Z32" s="340" t="e">
        <f ca="1">INDEX('SRIM Data'!$Z$145:$Z$276,AA30)</f>
        <v>#N/A</v>
      </c>
      <c r="AA32" s="339" t="e">
        <f ca="1">INDEX('SRIM Data'!$AA$145:$AA$276,AA30)</f>
        <v>#N/A</v>
      </c>
      <c r="AH32" s="340" t="e">
        <f ca="1">INDEX('SRIM Data'!$Z$145:$Z$276,AI30)</f>
        <v>#N/A</v>
      </c>
      <c r="AI32" s="339" t="e">
        <f ca="1">INDEX('SRIM Data'!$AA$145:$AA$276,AI30)</f>
        <v>#N/A</v>
      </c>
    </row>
    <row r="33" spans="1:39" x14ac:dyDescent="0.2">
      <c r="B33" s="144">
        <f ca="1">INDEX('SRIM Data'!$Z$9:$Z$140,C31)</f>
        <v>0.4</v>
      </c>
      <c r="C33" s="143">
        <f ca="1">INDEX('SRIM Data'!$AA$9:$AA$140,C31)</f>
        <v>1.06</v>
      </c>
      <c r="D33" s="143"/>
      <c r="J33" s="144" t="e">
        <f ca="1">INDEX('SRIM Data'!$Z$145:$Z$276,K31)</f>
        <v>#N/A</v>
      </c>
      <c r="K33" s="143" t="e">
        <f ca="1">INDEX('SRIM Data'!$AA$145:$AA$276,K31)</f>
        <v>#N/A</v>
      </c>
      <c r="L33" s="143"/>
      <c r="Q33" s="338"/>
      <c r="R33" s="340" t="e">
        <f ca="1">INDEX('SRIM Data'!$Z$145:$Z$276,S31)</f>
        <v>#N/A</v>
      </c>
      <c r="S33" s="339" t="e">
        <f ca="1">INDEX('SRIM Data'!$AA$145:$AA$276,S31)</f>
        <v>#N/A</v>
      </c>
      <c r="Z33" s="340" t="e">
        <f ca="1">INDEX('SRIM Data'!$Z$145:$Z$276,AA31)</f>
        <v>#N/A</v>
      </c>
      <c r="AA33" s="339" t="e">
        <f ca="1">INDEX('SRIM Data'!$AA$145:$AA$276,AA31)</f>
        <v>#N/A</v>
      </c>
      <c r="AH33" s="340" t="e">
        <f ca="1">INDEX('SRIM Data'!$Z$145:$Z$276,AI31)</f>
        <v>#N/A</v>
      </c>
      <c r="AI33" s="339" t="e">
        <f ca="1">INDEX('SRIM Data'!$AA$145:$AA$276,AI31)</f>
        <v>#N/A</v>
      </c>
    </row>
    <row r="34" spans="1:39" x14ac:dyDescent="0.2">
      <c r="B34" s="143">
        <f ca="1">B33-C34*(B33-B32)</f>
        <v>0.39196966252689802</v>
      </c>
      <c r="C34" s="143">
        <f ca="1">(C33-C29)/(C33-C32)</f>
        <v>0.32121349892407974</v>
      </c>
      <c r="D34" s="143"/>
      <c r="J34" s="143" t="e">
        <f ca="1">J33-K34*(J33-J32)</f>
        <v>#N/A</v>
      </c>
      <c r="K34" s="143" t="e">
        <f ca="1">(K33-K29)/(K33-K32)</f>
        <v>#N/A</v>
      </c>
      <c r="L34" s="143"/>
      <c r="Q34" s="338"/>
      <c r="R34" s="339" t="e">
        <f ca="1">R33-S34*(R33-R32)</f>
        <v>#N/A</v>
      </c>
      <c r="S34" s="339" t="e">
        <f ca="1">(S33-S29)/(S33-S32)</f>
        <v>#N/A</v>
      </c>
      <c r="Z34" s="339" t="e">
        <f ca="1">Z33-AA34*(Z33-Z32)</f>
        <v>#N/A</v>
      </c>
      <c r="AA34" s="339" t="e">
        <f ca="1">(AA33-AA29)/(AA33-AA32)</f>
        <v>#N/A</v>
      </c>
      <c r="AH34" s="340" t="e">
        <f ca="1">AH33-AI34*(AH33-AH32)</f>
        <v>#N/A</v>
      </c>
      <c r="AI34" s="339" t="e">
        <f ca="1">(AI33-AI29)/(AI33-AI32)</f>
        <v>#N/A</v>
      </c>
    </row>
    <row r="36" spans="1:39" ht="13.5" thickBot="1" x14ac:dyDescent="0.25">
      <c r="A36" s="188" t="str">
        <f>'SRIM Data'!AC6</f>
        <v>4He in CH2</v>
      </c>
      <c r="B36" s="125"/>
      <c r="C36" s="125"/>
      <c r="D36" s="125"/>
      <c r="E36" s="125"/>
      <c r="F36" s="125"/>
      <c r="G36" s="125"/>
      <c r="I36" s="188" t="str">
        <f>'SRIM Data'!AC142</f>
        <v>4He in Si</v>
      </c>
      <c r="J36" s="125"/>
      <c r="K36" s="125"/>
      <c r="L36" s="125"/>
      <c r="M36" s="125"/>
      <c r="N36" s="125"/>
      <c r="O36" s="125" t="s">
        <v>222</v>
      </c>
      <c r="Q36" s="188" t="str">
        <f>'SRIM Data'!AC142</f>
        <v>4He in Si</v>
      </c>
      <c r="R36" s="125"/>
      <c r="S36" s="125"/>
      <c r="T36" s="125"/>
      <c r="U36" s="125"/>
      <c r="V36" s="125"/>
      <c r="W36" s="125" t="s">
        <v>228</v>
      </c>
      <c r="Y36" s="188" t="str">
        <f>'SRIM Data'!AC142</f>
        <v>4He in Si</v>
      </c>
      <c r="Z36" s="125"/>
      <c r="AA36" s="125"/>
      <c r="AB36" s="125"/>
      <c r="AC36" s="125"/>
      <c r="AD36" s="125"/>
      <c r="AE36" s="125" t="s">
        <v>224</v>
      </c>
      <c r="AG36" s="188" t="str">
        <f>'SRIM Data'!AC142</f>
        <v>4He in Si</v>
      </c>
      <c r="AH36" s="125"/>
      <c r="AI36" s="125"/>
      <c r="AJ36" s="125"/>
      <c r="AK36" s="125"/>
      <c r="AL36" s="125"/>
      <c r="AM36" s="125" t="s">
        <v>227</v>
      </c>
    </row>
    <row r="37" spans="1:39" ht="29.25" thickBot="1" x14ac:dyDescent="0.25">
      <c r="A37" s="125"/>
      <c r="B37" s="163" t="s">
        <v>204</v>
      </c>
      <c r="C37" s="164" t="s">
        <v>205</v>
      </c>
      <c r="D37" s="164" t="s">
        <v>27</v>
      </c>
      <c r="E37" s="164" t="s">
        <v>207</v>
      </c>
      <c r="F37" s="165" t="s">
        <v>206</v>
      </c>
      <c r="G37" s="125"/>
      <c r="I37" s="125"/>
      <c r="J37" s="163" t="s">
        <v>204</v>
      </c>
      <c r="K37" s="164" t="s">
        <v>205</v>
      </c>
      <c r="L37" s="164" t="s">
        <v>27</v>
      </c>
      <c r="M37" s="164" t="s">
        <v>207</v>
      </c>
      <c r="N37" s="165" t="s">
        <v>206</v>
      </c>
      <c r="O37" s="125"/>
      <c r="Q37" s="125"/>
      <c r="R37" s="163" t="s">
        <v>204</v>
      </c>
      <c r="S37" s="164" t="s">
        <v>205</v>
      </c>
      <c r="T37" s="164" t="s">
        <v>27</v>
      </c>
      <c r="U37" s="164" t="s">
        <v>207</v>
      </c>
      <c r="V37" s="165" t="s">
        <v>206</v>
      </c>
      <c r="W37" s="125"/>
      <c r="Y37" s="125"/>
      <c r="Z37" s="163" t="s">
        <v>204</v>
      </c>
      <c r="AA37" s="164" t="s">
        <v>205</v>
      </c>
      <c r="AB37" s="164" t="s">
        <v>27</v>
      </c>
      <c r="AC37" s="164" t="s">
        <v>207</v>
      </c>
      <c r="AD37" s="165" t="s">
        <v>206</v>
      </c>
      <c r="AE37" s="125"/>
      <c r="AG37" s="125"/>
      <c r="AH37" s="163" t="s">
        <v>204</v>
      </c>
      <c r="AI37" s="164" t="s">
        <v>205</v>
      </c>
      <c r="AJ37" s="164" t="s">
        <v>27</v>
      </c>
      <c r="AK37" s="164" t="s">
        <v>207</v>
      </c>
      <c r="AL37" s="165" t="s">
        <v>206</v>
      </c>
      <c r="AM37" s="125"/>
    </row>
    <row r="38" spans="1:39" ht="13.5" thickBot="1" x14ac:dyDescent="0.25">
      <c r="A38" s="125"/>
      <c r="B38" s="347">
        <f ca="1">D40</f>
        <v>2.6028487852785025</v>
      </c>
      <c r="C38" s="200">
        <f>Target!D10/2</f>
        <v>1.0356791466003833E-2</v>
      </c>
      <c r="D38" s="353">
        <f ca="1">INDEX('Kinematic Curves'!U3:U182,$D$24)</f>
        <v>175.85276479690157</v>
      </c>
      <c r="E38" s="200">
        <f ca="1">$B$38-$F$38</f>
        <v>-1.5181260108887429E-3</v>
      </c>
      <c r="F38" s="201">
        <f ca="1">B49</f>
        <v>2.6043669112893912</v>
      </c>
      <c r="G38" s="125"/>
      <c r="I38" s="125"/>
      <c r="J38" s="351">
        <f ca="1">F38</f>
        <v>2.6043669112893912</v>
      </c>
      <c r="K38" s="199">
        <v>0.8</v>
      </c>
      <c r="L38" s="352">
        <f ca="1">D38</f>
        <v>175.85276479690157</v>
      </c>
      <c r="M38" s="200">
        <f ca="1">$J$38-$N$38</f>
        <v>-0.16334836508546591</v>
      </c>
      <c r="N38" s="201">
        <f ca="1">J49</f>
        <v>2.7677152763748571</v>
      </c>
      <c r="O38" s="125"/>
      <c r="Q38" s="125"/>
      <c r="R38" s="351">
        <f ca="1">N38</f>
        <v>2.7677152763748571</v>
      </c>
      <c r="S38" s="346">
        <v>65</v>
      </c>
      <c r="T38" s="355">
        <f ca="1">D38</f>
        <v>175.85276479690157</v>
      </c>
      <c r="U38" s="349">
        <f ca="1">IF(S44&lt;0,R38,$R$38-$V$38)</f>
        <v>-7.7844297122722681</v>
      </c>
      <c r="V38" s="348">
        <f ca="1">IF(S44&lt;0,"stopped",R49)</f>
        <v>10.552144988647125</v>
      </c>
      <c r="W38" s="125"/>
      <c r="Y38" s="125"/>
      <c r="Z38" s="351">
        <f ca="1">V38</f>
        <v>10.552144988647125</v>
      </c>
      <c r="AA38" s="199">
        <v>1.6</v>
      </c>
      <c r="AB38" s="352">
        <f ca="1">D38</f>
        <v>175.85276479690157</v>
      </c>
      <c r="AC38" s="200">
        <f ca="1">IF(Z38="stopped","N/A",IF(AA44&lt;0,Z38,$Z$38-$AD$38))</f>
        <v>-0.14010485572087816</v>
      </c>
      <c r="AD38" s="201">
        <f ca="1">IF(S44&lt;0,"stopped",IF(AA44&lt;0,"stopped",Z49))</f>
        <v>10.692249844368003</v>
      </c>
      <c r="AE38" s="125"/>
      <c r="AG38" s="125"/>
      <c r="AH38" s="351">
        <f ca="1">AD38</f>
        <v>10.692249844368003</v>
      </c>
      <c r="AI38" s="199">
        <v>500</v>
      </c>
      <c r="AJ38" s="355">
        <f ca="1">D38</f>
        <v>175.85276479690157</v>
      </c>
      <c r="AK38" s="349">
        <f ca="1">IF(AH38="stopped","N/A",(IF(AI44&lt;0,AH38,$AH$38-$AL$38)))</f>
        <v>-24.81546588388613</v>
      </c>
      <c r="AL38" s="348">
        <f ca="1">IF(AI44&lt;0,"stopped",AH49)</f>
        <v>35.507715728254134</v>
      </c>
      <c r="AM38" s="125"/>
    </row>
    <row r="39" spans="1:39" x14ac:dyDescent="0.2">
      <c r="A39" s="125"/>
      <c r="B39" s="162">
        <f ca="1">MATCH(B38,'SRIM Data'!$AN$9:$AN$140)</f>
        <v>64</v>
      </c>
      <c r="C39" s="162"/>
      <c r="D39" s="342"/>
      <c r="E39" s="125"/>
      <c r="F39" s="125"/>
      <c r="G39" s="125"/>
      <c r="I39" s="125"/>
      <c r="J39" s="162">
        <f ca="1">MATCH(J38,'SRIM Data'!$AN$145:$AN$276)</f>
        <v>64</v>
      </c>
      <c r="K39" s="162"/>
      <c r="L39" s="162"/>
      <c r="M39" s="125"/>
      <c r="N39" s="125"/>
      <c r="O39" s="125"/>
      <c r="Q39" s="125"/>
      <c r="R39" s="344">
        <f ca="1">MATCH(R38,'SRIM Data'!$AN$145:$AN$276)</f>
        <v>65</v>
      </c>
      <c r="S39" s="344"/>
      <c r="T39" s="162"/>
      <c r="U39" s="125"/>
      <c r="V39" s="125"/>
      <c r="W39" s="125"/>
      <c r="Y39" s="125"/>
      <c r="Z39" s="344">
        <f ca="1">MATCH(Z38,'SRIM Data'!$AN$145:$AN$276)</f>
        <v>79</v>
      </c>
      <c r="AA39" s="344"/>
      <c r="AB39" s="162"/>
      <c r="AC39" s="125"/>
      <c r="AD39" s="125"/>
      <c r="AE39" s="125"/>
      <c r="AG39" s="125"/>
      <c r="AH39" s="344">
        <f ca="1">MATCH(AH38,'SRIM Data'!$AN$145:$AN$276)</f>
        <v>79</v>
      </c>
      <c r="AI39" s="344"/>
      <c r="AJ39" s="162"/>
      <c r="AK39" s="125"/>
      <c r="AL39" s="125"/>
      <c r="AM39" s="125"/>
    </row>
    <row r="40" spans="1:39" x14ac:dyDescent="0.2">
      <c r="B40" s="143">
        <f ca="1">B39+1</f>
        <v>65</v>
      </c>
      <c r="C40" s="143"/>
      <c r="D40" s="354">
        <f ca="1">INDEX('Kinematic Curves'!W3:W182,$D$24)</f>
        <v>2.6028487852785025</v>
      </c>
      <c r="J40" s="143">
        <f ca="1">J39+1</f>
        <v>65</v>
      </c>
      <c r="K40" s="143"/>
      <c r="L40" s="143"/>
      <c r="R40" s="339">
        <f ca="1">R39+1</f>
        <v>66</v>
      </c>
      <c r="S40" s="339"/>
      <c r="Z40" s="339">
        <f ca="1">Z39+1</f>
        <v>80</v>
      </c>
      <c r="AA40" s="339"/>
      <c r="AH40" s="339">
        <f ca="1">AH39+1</f>
        <v>80</v>
      </c>
      <c r="AI40" s="339"/>
    </row>
    <row r="41" spans="1:39" x14ac:dyDescent="0.2">
      <c r="B41" s="144">
        <f ca="1">INDEX('SRIM Data'!$AN$9:$AN$140,B39)</f>
        <v>2.5</v>
      </c>
      <c r="C41" s="143">
        <f ca="1">INDEX('SRIM Data'!$AO$9:$AO$140,B39)</f>
        <v>12.94</v>
      </c>
      <c r="D41" s="143"/>
      <c r="E41" t="s">
        <v>229</v>
      </c>
      <c r="F41" s="49">
        <f ca="1">IF(V38="stopped",U38,IF(AD38="stopped",U38,U38+AK38))</f>
        <v>-32.599895596158397</v>
      </c>
      <c r="G41" s="336">
        <f ca="1">SUM(F42:F43)</f>
        <v>-32.599895596158397</v>
      </c>
      <c r="J41" s="144">
        <f ca="1">INDEX('SRIM Data'!$AN$145:$AN$276,J39)</f>
        <v>2.5</v>
      </c>
      <c r="K41" s="143">
        <f ca="1">INDEX('SRIM Data'!$AO$145:$AO$276,J39)</f>
        <v>9.5</v>
      </c>
      <c r="L41" s="143"/>
      <c r="R41" s="340">
        <f ca="1">INDEX('SRIM Data'!$AN$145:$AN$276,R39)</f>
        <v>2.75</v>
      </c>
      <c r="S41" s="339">
        <f ca="1">INDEX('SRIM Data'!$AO$145:$AO$276,R39)</f>
        <v>10.72</v>
      </c>
      <c r="Z41" s="340">
        <f ca="1">INDEX('SRIM Data'!$AN$145:$AN$276,Z39)</f>
        <v>10</v>
      </c>
      <c r="AA41" s="339">
        <f ca="1">INDEX('SRIM Data'!$AO$145:$AO$276,Z39)</f>
        <v>69.66</v>
      </c>
      <c r="AH41" s="340">
        <f ca="1">INDEX('SRIM Data'!$AN$145:$AN$276,AH39)</f>
        <v>10</v>
      </c>
      <c r="AI41" s="339">
        <f ca="1">INDEX('SRIM Data'!$AO$145:$AO$276,AH39)</f>
        <v>69.66</v>
      </c>
    </row>
    <row r="42" spans="1:39" x14ac:dyDescent="0.2">
      <c r="B42" s="144">
        <f ca="1">INDEX('SRIM Data'!$AN$9:$AN$140,B40)</f>
        <v>2.75</v>
      </c>
      <c r="C42" s="143">
        <f ca="1">INDEX('SRIM Data'!$AO$9:$AO$140,B40)</f>
        <v>14.65</v>
      </c>
      <c r="D42" s="358" t="str">
        <f ca="1">IF(AND(D38&lt;20,D38&gt;6),"angle in range","out of range")</f>
        <v>out of range</v>
      </c>
      <c r="E42" t="s">
        <v>48</v>
      </c>
      <c r="F42" s="336">
        <f ca="1">U38</f>
        <v>-7.7844297122722681</v>
      </c>
      <c r="J42" s="144">
        <f ca="1">INDEX('SRIM Data'!$AN$145:$AN$276,J40)</f>
        <v>2.75</v>
      </c>
      <c r="K42" s="143">
        <f ca="1">INDEX('SRIM Data'!$AO$145:$AO$276,J40)</f>
        <v>10.72</v>
      </c>
      <c r="L42" s="143"/>
      <c r="R42" s="340">
        <f ca="1">INDEX('SRIM Data'!$AN$145:$AN$276,R40)</f>
        <v>3</v>
      </c>
      <c r="S42" s="339">
        <f ca="1">INDEX('SRIM Data'!$AO$145:$AO$276,R40)</f>
        <v>12.01</v>
      </c>
      <c r="U42" s="260"/>
      <c r="Z42" s="340">
        <f ca="1">INDEX('SRIM Data'!$AN$145:$AN$276,Z40)</f>
        <v>11</v>
      </c>
      <c r="AA42" s="339">
        <f ca="1">INDEX('SRIM Data'!$AO$145:$AO$276,Z40)</f>
        <v>81.11</v>
      </c>
      <c r="AD42" s="260"/>
      <c r="AH42" s="340">
        <f ca="1">INDEX('SRIM Data'!$AN$145:$AN$276,AH40)</f>
        <v>11</v>
      </c>
      <c r="AI42" s="339">
        <f ca="1">INDEX('SRIM Data'!$AO$145:$AO$276,AH40)</f>
        <v>81.11</v>
      </c>
      <c r="AK42" s="260">
        <f ca="1">AK38+U38</f>
        <v>-32.599895596158397</v>
      </c>
    </row>
    <row r="43" spans="1:39" x14ac:dyDescent="0.2">
      <c r="B43" s="143">
        <f ca="1">(B42-B38)/(B42-B41)</f>
        <v>0.58860485888599001</v>
      </c>
      <c r="C43" s="143">
        <f ca="1">C42-B43*(C42-C41)</f>
        <v>13.643485691304956</v>
      </c>
      <c r="D43" s="143"/>
      <c r="E43" t="s">
        <v>57</v>
      </c>
      <c r="F43" s="336">
        <f ca="1">AK38</f>
        <v>-24.81546588388613</v>
      </c>
      <c r="J43" s="143">
        <f ca="1">(J42-J38)/(J42-J41)</f>
        <v>0.58253235484243504</v>
      </c>
      <c r="K43" s="143">
        <f ca="1">K42-J43*(K42-K41)</f>
        <v>10.009310527092229</v>
      </c>
      <c r="L43" s="143"/>
      <c r="R43" s="339">
        <f ca="1">(R42-R38)/(R42-R41)</f>
        <v>0.92913889450057141</v>
      </c>
      <c r="S43" s="339">
        <f ca="1">S42-R43*(S42-S41)</f>
        <v>10.811410826094264</v>
      </c>
      <c r="Z43" s="339">
        <f ca="1">(Z42-Z38)/(Z42-Z41)</f>
        <v>0.44785501135287475</v>
      </c>
      <c r="AA43" s="339">
        <f ca="1">AA42-Z43*(AA42-AA41)</f>
        <v>75.982060120009578</v>
      </c>
      <c r="AH43" s="339">
        <f ca="1">(AH42-AH38)/(AH42-AH41)</f>
        <v>0.30775015563199659</v>
      </c>
      <c r="AI43" s="339">
        <f ca="1">AI42-AH43*(AI42-AI41)</f>
        <v>77.586260718013634</v>
      </c>
    </row>
    <row r="44" spans="1:39" x14ac:dyDescent="0.2">
      <c r="B44" s="143"/>
      <c r="C44" s="143">
        <f ca="1">C43-(C38/COS(RADIANS(D38)))</f>
        <v>13.653869673219436</v>
      </c>
      <c r="D44" s="143"/>
      <c r="J44" s="143"/>
      <c r="K44" s="143">
        <f ca="1">K43-(K38/COS(RADIANS(L38)))</f>
        <v>10.811410826094264</v>
      </c>
      <c r="L44" s="143"/>
      <c r="R44" s="339"/>
      <c r="S44" s="339">
        <f ca="1">S43-(S38/COS(RADIANS(T38)))</f>
        <v>75.982060120009592</v>
      </c>
      <c r="Z44" s="339"/>
      <c r="AA44" s="339">
        <f ca="1">AA43-(AA38/COS(RADIANS(AB38)))</f>
        <v>77.586260718013648</v>
      </c>
      <c r="AH44" s="339"/>
      <c r="AI44" s="339">
        <f ca="1">AI43-(AI38/COS(RADIANS(AJ38)))</f>
        <v>578.89894759428535</v>
      </c>
    </row>
    <row r="45" spans="1:39" x14ac:dyDescent="0.2">
      <c r="B45" s="143"/>
      <c r="C45" s="143">
        <f ca="1">MATCH(C44,'SRIM Data'!$AO$9:$AO$140)</f>
        <v>64</v>
      </c>
      <c r="D45" s="143"/>
      <c r="J45" s="143"/>
      <c r="K45" s="143">
        <f ca="1">MATCH(K44,'SRIM Data'!$AO$145:$AO$276)</f>
        <v>65</v>
      </c>
      <c r="L45" s="143"/>
      <c r="R45" s="339"/>
      <c r="S45" s="339">
        <f ca="1">MATCH(S44,'SRIM Data'!$AO$145:$AO$276)</f>
        <v>79</v>
      </c>
      <c r="Z45" s="339"/>
      <c r="AA45" s="339">
        <f ca="1">MATCH(AA44,'SRIM Data'!$AO$145:$AO$276)</f>
        <v>79</v>
      </c>
      <c r="AH45" s="339"/>
      <c r="AI45" s="339">
        <f ca="1">MATCH(AI44,'SRIM Data'!$AO$145:$AO$276)</f>
        <v>94</v>
      </c>
    </row>
    <row r="46" spans="1:39" x14ac:dyDescent="0.2">
      <c r="B46" s="143"/>
      <c r="C46" s="143">
        <f ca="1">C45+1</f>
        <v>65</v>
      </c>
      <c r="D46" s="143"/>
      <c r="J46" s="143"/>
      <c r="K46" s="143">
        <f ca="1">K45+1</f>
        <v>66</v>
      </c>
      <c r="L46" s="143"/>
      <c r="R46" s="339"/>
      <c r="S46" s="339">
        <f ca="1">S45+1</f>
        <v>80</v>
      </c>
      <c r="Z46" s="339"/>
      <c r="AA46" s="339">
        <f ca="1">AA45+1</f>
        <v>80</v>
      </c>
      <c r="AH46" s="339"/>
      <c r="AI46" s="339">
        <f ca="1">AI45+1</f>
        <v>95</v>
      </c>
    </row>
    <row r="47" spans="1:39" x14ac:dyDescent="0.2">
      <c r="B47" s="144">
        <f ca="1">INDEX('SRIM Data'!$AN$9:$AN$140,C45)</f>
        <v>2.5</v>
      </c>
      <c r="C47" s="143">
        <f ca="1">INDEX('SRIM Data'!$AO$9:$AO$140,C45)</f>
        <v>12.94</v>
      </c>
      <c r="D47" s="143"/>
      <c r="J47" s="144">
        <f ca="1">INDEX('SRIM Data'!$AN$145:$AN$276,K45)</f>
        <v>2.75</v>
      </c>
      <c r="K47" s="143">
        <f ca="1">INDEX('SRIM Data'!$AO$145:$AO$276,K45)</f>
        <v>10.72</v>
      </c>
      <c r="L47" s="143"/>
      <c r="R47" s="340">
        <f ca="1">INDEX('SRIM Data'!$AN$145:$AN$276,S45)</f>
        <v>10</v>
      </c>
      <c r="S47" s="339">
        <f ca="1">INDEX('SRIM Data'!$AO$145:$AO$276,S45)</f>
        <v>69.66</v>
      </c>
      <c r="Z47" s="340">
        <f ca="1">INDEX('SRIM Data'!$AN$145:$AN$276,AA45)</f>
        <v>10</v>
      </c>
      <c r="AA47" s="339">
        <f ca="1">INDEX('SRIM Data'!$AO$145:$AO$276,AA45)</f>
        <v>69.66</v>
      </c>
      <c r="AH47" s="340">
        <f ca="1">INDEX('SRIM Data'!$AN$145:$AN$276,AI45)</f>
        <v>35</v>
      </c>
      <c r="AI47" s="339">
        <f ca="1">INDEX('SRIM Data'!$AO$145:$AO$276,AI45)</f>
        <v>564.36</v>
      </c>
    </row>
    <row r="48" spans="1:39" x14ac:dyDescent="0.2">
      <c r="B48" s="144">
        <f ca="1">INDEX('SRIM Data'!$AN$9:$AN$140,C46)</f>
        <v>2.75</v>
      </c>
      <c r="C48" s="143">
        <f ca="1">INDEX('SRIM Data'!$AO$9:$AO$140,C46)</f>
        <v>14.65</v>
      </c>
      <c r="D48" s="143"/>
      <c r="J48" s="144">
        <f ca="1">INDEX('SRIM Data'!$AN$145:$AN$276,K46)</f>
        <v>3</v>
      </c>
      <c r="K48" s="143">
        <f ca="1">INDEX('SRIM Data'!$AO$145:$AO$276,K46)</f>
        <v>12.01</v>
      </c>
      <c r="L48" s="143"/>
      <c r="R48" s="340">
        <f ca="1">INDEX('SRIM Data'!$AN$145:$AN$276,S46)</f>
        <v>11</v>
      </c>
      <c r="S48" s="339">
        <f ca="1">INDEX('SRIM Data'!$AO$145:$AO$276,S46)</f>
        <v>81.11</v>
      </c>
      <c r="Z48" s="340">
        <f ca="1">INDEX('SRIM Data'!$AN$145:$AN$276,AA46)</f>
        <v>11</v>
      </c>
      <c r="AA48" s="339">
        <f ca="1">INDEX('SRIM Data'!$AO$145:$AO$276,AA46)</f>
        <v>81.11</v>
      </c>
      <c r="AH48" s="340">
        <f ca="1">INDEX('SRIM Data'!$AN$145:$AN$276,AI46)</f>
        <v>37.5</v>
      </c>
      <c r="AI48" s="339">
        <f ca="1">INDEX('SRIM Data'!$AO$145:$AO$276,AI46)</f>
        <v>635.95000000000005</v>
      </c>
    </row>
    <row r="49" spans="1:35" x14ac:dyDescent="0.2">
      <c r="B49" s="143">
        <f ca="1">B48-C49*(B48-B47)</f>
        <v>2.6043669112893912</v>
      </c>
      <c r="C49" s="143">
        <f ca="1">(C48-C44)/(C48-C47)</f>
        <v>0.58253235484243504</v>
      </c>
      <c r="D49" s="143"/>
      <c r="J49" s="143">
        <f ca="1">J48-K49*(J48-J47)</f>
        <v>2.7677152763748571</v>
      </c>
      <c r="K49" s="143">
        <f ca="1">(K48-K44)/(K48-K47)</f>
        <v>0.9291388945005713</v>
      </c>
      <c r="L49" s="143"/>
      <c r="R49" s="339">
        <f ca="1">R48-S49*(R48-R47)</f>
        <v>10.552144988647125</v>
      </c>
      <c r="S49" s="339">
        <f ca="1">(S48-S44)/(S48-S47)</f>
        <v>0.44785501135287387</v>
      </c>
      <c r="Z49" s="339">
        <f ca="1">Z48-AA49*(Z48-Z47)</f>
        <v>10.692249844368003</v>
      </c>
      <c r="AA49" s="339">
        <f ca="1">(AA48-AA44)/(AA48-AA47)</f>
        <v>0.3077501556319957</v>
      </c>
      <c r="AH49" s="339">
        <f ca="1">AH48-AI49*(AH48-AH47)</f>
        <v>35.507715728254134</v>
      </c>
      <c r="AI49" s="339">
        <f ca="1">(AI48-AI44)/(AI48-AI47)</f>
        <v>0.79691370869834721</v>
      </c>
    </row>
    <row r="51" spans="1:35" ht="13.5" thickBot="1" x14ac:dyDescent="0.25">
      <c r="A51" s="188" t="str">
        <f>'SRIM Data'!AQ6</f>
        <v>p in CH2</v>
      </c>
      <c r="B51" s="125"/>
      <c r="C51" s="125"/>
      <c r="D51" s="125"/>
      <c r="E51" s="125"/>
      <c r="F51" s="125"/>
      <c r="G51" s="125"/>
      <c r="I51" s="188" t="str">
        <f>'SRIM Data'!AQ142</f>
        <v>p in Si</v>
      </c>
      <c r="J51" s="125"/>
      <c r="K51" s="125"/>
      <c r="L51" s="125"/>
      <c r="M51" s="125"/>
      <c r="N51" s="125"/>
      <c r="O51" s="125"/>
    </row>
    <row r="52" spans="1:35" ht="28.5" x14ac:dyDescent="0.2">
      <c r="A52" s="125"/>
      <c r="B52" s="163" t="s">
        <v>204</v>
      </c>
      <c r="C52" s="164" t="s">
        <v>205</v>
      </c>
      <c r="D52" s="164" t="s">
        <v>27</v>
      </c>
      <c r="E52" s="164" t="s">
        <v>207</v>
      </c>
      <c r="F52" s="165" t="s">
        <v>206</v>
      </c>
      <c r="G52" s="125"/>
      <c r="I52" s="125"/>
      <c r="J52" s="163" t="s">
        <v>204</v>
      </c>
      <c r="K52" s="164" t="s">
        <v>205</v>
      </c>
      <c r="L52" s="164" t="s">
        <v>27</v>
      </c>
      <c r="M52" s="164" t="s">
        <v>207</v>
      </c>
      <c r="N52" s="165" t="s">
        <v>206</v>
      </c>
      <c r="O52" s="125"/>
    </row>
    <row r="53" spans="1:35" ht="13.5" thickBot="1" x14ac:dyDescent="0.25">
      <c r="A53" s="125"/>
      <c r="B53" s="190">
        <v>18.395</v>
      </c>
      <c r="C53" s="199">
        <v>105.58</v>
      </c>
      <c r="D53" s="199">
        <v>0</v>
      </c>
      <c r="E53" s="200">
        <f>$B$53-$F$53</f>
        <v>0.28926027397260157</v>
      </c>
      <c r="F53" s="201">
        <f>B64</f>
        <v>18.105739726027398</v>
      </c>
      <c r="G53" s="125"/>
      <c r="I53" s="125"/>
      <c r="J53" s="190">
        <v>18</v>
      </c>
      <c r="K53" s="199">
        <v>35</v>
      </c>
      <c r="L53" s="199">
        <v>0</v>
      </c>
      <c r="M53" s="200">
        <f>$J$53-$N$53</f>
        <v>0.18421052631579116</v>
      </c>
      <c r="N53" s="201">
        <f>J64</f>
        <v>17.815789473684209</v>
      </c>
      <c r="O53" s="125"/>
    </row>
    <row r="54" spans="1:35" x14ac:dyDescent="0.2">
      <c r="A54" s="125"/>
      <c r="B54" s="162">
        <f>MATCH(B53,'SRIM Data'!$BB$9:$BB$140)</f>
        <v>87</v>
      </c>
      <c r="C54" s="162"/>
      <c r="D54" s="162"/>
      <c r="E54" s="125"/>
      <c r="F54" s="125"/>
      <c r="G54" s="125"/>
      <c r="I54" s="125"/>
      <c r="J54" s="162">
        <f>MATCH(J53,'SRIM Data'!$BB$145:$BB$276)</f>
        <v>87</v>
      </c>
      <c r="K54" s="162"/>
      <c r="L54" s="162"/>
      <c r="M54" s="125"/>
      <c r="N54" s="125"/>
      <c r="O54" s="125"/>
    </row>
    <row r="55" spans="1:35" x14ac:dyDescent="0.2">
      <c r="B55" s="143">
        <f>B54+1</f>
        <v>88</v>
      </c>
      <c r="C55" s="143"/>
      <c r="D55" s="143"/>
      <c r="J55" s="143">
        <f>J54+1</f>
        <v>88</v>
      </c>
      <c r="K55" s="143"/>
      <c r="L55" s="143"/>
    </row>
    <row r="56" spans="1:35" x14ac:dyDescent="0.2">
      <c r="B56" s="144">
        <f>INDEX('SRIM Data'!$BB$9:$BB$140,B54)</f>
        <v>18</v>
      </c>
      <c r="C56" s="143">
        <f>INDEX('SRIM Data'!$BC$9:$BC$140,B54)</f>
        <v>3460</v>
      </c>
      <c r="D56" s="143"/>
      <c r="J56" s="144">
        <f>INDEX('SRIM Data'!$BB$145:$BB$276,J54)</f>
        <v>18</v>
      </c>
      <c r="K56" s="143">
        <f>INDEX('SRIM Data'!$BC$145:$BC$276,J54)</f>
        <v>1990</v>
      </c>
      <c r="L56" s="143"/>
    </row>
    <row r="57" spans="1:35" x14ac:dyDescent="0.2">
      <c r="B57" s="144">
        <f>INDEX('SRIM Data'!$BB$9:$BB$140,B55)</f>
        <v>20</v>
      </c>
      <c r="C57" s="143">
        <f>INDEX('SRIM Data'!$BC$9:$BC$140,B55)</f>
        <v>4190</v>
      </c>
      <c r="D57" s="143"/>
      <c r="J57" s="144">
        <f>INDEX('SRIM Data'!$BB$145:$BB$276,J55)</f>
        <v>20</v>
      </c>
      <c r="K57" s="143">
        <f>INDEX('SRIM Data'!$BC$145:$BC$276,J55)</f>
        <v>2390</v>
      </c>
      <c r="L57" s="143"/>
    </row>
    <row r="58" spans="1:35" x14ac:dyDescent="0.2">
      <c r="B58" s="143">
        <f>(B57-B53)/(B57-B56)</f>
        <v>0.80250000000000021</v>
      </c>
      <c r="C58" s="143">
        <f>C57-B58*(C57-C56)</f>
        <v>3604.1749999999997</v>
      </c>
      <c r="D58" s="143"/>
      <c r="J58" s="143">
        <f>(J57-J53)/(J57-J56)</f>
        <v>1</v>
      </c>
      <c r="K58" s="143">
        <f>K57-J58*(K57-K56)</f>
        <v>1990</v>
      </c>
      <c r="L58" s="143"/>
    </row>
    <row r="59" spans="1:35" x14ac:dyDescent="0.2">
      <c r="B59" s="143"/>
      <c r="C59" s="143">
        <f>C58-(C53/COS(RADIANS(D53)))</f>
        <v>3498.5949999999998</v>
      </c>
      <c r="D59" s="143"/>
      <c r="J59" s="143"/>
      <c r="K59" s="143">
        <f>K58-(K53/COS(RADIANS(L53)))</f>
        <v>1955</v>
      </c>
      <c r="L59" s="143"/>
    </row>
    <row r="60" spans="1:35" x14ac:dyDescent="0.2">
      <c r="B60" s="143"/>
      <c r="C60" s="143">
        <f>MATCH(C59,'SRIM Data'!$BC$9:$BC$140)</f>
        <v>87</v>
      </c>
      <c r="D60" s="143"/>
      <c r="J60" s="143"/>
      <c r="K60" s="143">
        <f>MATCH(K59,'SRIM Data'!$BC$145:$BC$276)</f>
        <v>86</v>
      </c>
      <c r="L60" s="143"/>
    </row>
    <row r="61" spans="1:35" x14ac:dyDescent="0.2">
      <c r="B61" s="143"/>
      <c r="C61" s="143">
        <f>C60+1</f>
        <v>88</v>
      </c>
      <c r="D61" s="143"/>
      <c r="J61" s="143"/>
      <c r="K61" s="143">
        <f>K60+1</f>
        <v>87</v>
      </c>
      <c r="L61" s="143"/>
    </row>
    <row r="62" spans="1:35" x14ac:dyDescent="0.2">
      <c r="B62" s="144">
        <f>INDEX('SRIM Data'!$BB$9:$BB$140,C60)</f>
        <v>18</v>
      </c>
      <c r="C62" s="143">
        <f>INDEX('SRIM Data'!$BC$9:$BC$140,C60)</f>
        <v>3460</v>
      </c>
      <c r="D62" s="143"/>
      <c r="J62" s="144">
        <f>INDEX('SRIM Data'!$BB$145:$BB$276,K60)</f>
        <v>17</v>
      </c>
      <c r="K62" s="143">
        <f>INDEX('SRIM Data'!$BC$145:$BC$276,K60)</f>
        <v>1800</v>
      </c>
      <c r="L62" s="143"/>
    </row>
    <row r="63" spans="1:35" x14ac:dyDescent="0.2">
      <c r="B63" s="144">
        <f>INDEX('SRIM Data'!$BB$9:$BB$140,C61)</f>
        <v>20</v>
      </c>
      <c r="C63" s="143">
        <f>INDEX('SRIM Data'!$BC$9:$BC$140,C61)</f>
        <v>4190</v>
      </c>
      <c r="D63" s="143"/>
      <c r="J63" s="144">
        <f>INDEX('SRIM Data'!$BB$145:$BB$276,K61)</f>
        <v>18</v>
      </c>
      <c r="K63" s="143">
        <f>INDEX('SRIM Data'!$BC$145:$BC$276,K61)</f>
        <v>1990</v>
      </c>
      <c r="L63" s="143"/>
    </row>
    <row r="64" spans="1:35" x14ac:dyDescent="0.2">
      <c r="B64" s="143">
        <f>B63-C64*(B63-B62)</f>
        <v>18.105739726027398</v>
      </c>
      <c r="C64" s="143">
        <f>(C63-C59)/(C63-C62)</f>
        <v>0.94713013698630166</v>
      </c>
      <c r="D64" s="143"/>
      <c r="J64" s="143">
        <f>J63-K64*(J63-J62)</f>
        <v>17.815789473684209</v>
      </c>
      <c r="K64" s="143">
        <f>(K63-K59)/(K63-K62)</f>
        <v>0.18421052631578946</v>
      </c>
      <c r="L64" s="143"/>
    </row>
    <row r="66" spans="1:15" ht="13.5" thickBot="1" x14ac:dyDescent="0.25">
      <c r="A66" s="188" t="str">
        <f>'SRIM Data'!BE6</f>
        <v>12C in CH2</v>
      </c>
      <c r="B66" s="125"/>
      <c r="C66" s="125"/>
      <c r="D66" s="125"/>
      <c r="E66" s="125"/>
      <c r="F66" s="125"/>
      <c r="G66" s="125"/>
      <c r="I66" s="188" t="str">
        <f>'SRIM Data'!BE142</f>
        <v>12C in Si</v>
      </c>
      <c r="J66" s="125"/>
      <c r="K66" s="125"/>
      <c r="L66" s="125"/>
      <c r="M66" s="125"/>
      <c r="N66" s="125"/>
      <c r="O66" s="125"/>
    </row>
    <row r="67" spans="1:15" ht="28.5" x14ac:dyDescent="0.2">
      <c r="A67" s="125"/>
      <c r="B67" s="163" t="s">
        <v>204</v>
      </c>
      <c r="C67" s="164" t="s">
        <v>205</v>
      </c>
      <c r="D67" s="164" t="s">
        <v>27</v>
      </c>
      <c r="E67" s="164" t="s">
        <v>207</v>
      </c>
      <c r="F67" s="165" t="s">
        <v>206</v>
      </c>
      <c r="G67" s="125"/>
      <c r="I67" s="125"/>
      <c r="J67" s="163" t="s">
        <v>204</v>
      </c>
      <c r="K67" s="164" t="s">
        <v>205</v>
      </c>
      <c r="L67" s="164" t="s">
        <v>27</v>
      </c>
      <c r="M67" s="164" t="s">
        <v>207</v>
      </c>
      <c r="N67" s="165" t="s">
        <v>206</v>
      </c>
      <c r="O67" s="125"/>
    </row>
    <row r="68" spans="1:15" ht="13.5" thickBot="1" x14ac:dyDescent="0.25">
      <c r="A68" s="125"/>
      <c r="B68" s="190">
        <v>47.3</v>
      </c>
      <c r="C68" s="199">
        <v>56.9</v>
      </c>
      <c r="D68" s="199">
        <v>20</v>
      </c>
      <c r="E68" s="200">
        <f>$B$68-$F$68</f>
        <v>27.19313113270298</v>
      </c>
      <c r="F68" s="201">
        <f>B79</f>
        <v>20.106868867297017</v>
      </c>
      <c r="G68" s="125"/>
      <c r="I68" s="125"/>
      <c r="J68" s="190">
        <v>20</v>
      </c>
      <c r="K68" s="199">
        <v>0.8</v>
      </c>
      <c r="L68" s="199">
        <v>20</v>
      </c>
      <c r="M68" s="200">
        <f>$J$68-$N$68</f>
        <v>0.76697497115381097</v>
      </c>
      <c r="N68" s="201">
        <f>J79</f>
        <v>19.233025028846189</v>
      </c>
      <c r="O68" s="125"/>
    </row>
    <row r="69" spans="1:15" x14ac:dyDescent="0.2">
      <c r="A69" s="125"/>
      <c r="B69" s="162">
        <f>MATCH(B68,'SRIM Data'!$BP$9:$BP$140)</f>
        <v>97</v>
      </c>
      <c r="C69" s="162"/>
      <c r="D69" s="162"/>
      <c r="E69" s="125"/>
      <c r="F69" s="125"/>
      <c r="G69" s="125"/>
      <c r="I69" s="125"/>
      <c r="J69" s="162">
        <f>MATCH(J68,'SRIM Data'!$BP$145:$BP$276)</f>
        <v>88</v>
      </c>
      <c r="K69" s="162"/>
      <c r="L69" s="162"/>
      <c r="M69" s="125"/>
      <c r="N69" s="125"/>
      <c r="O69" s="125"/>
    </row>
    <row r="70" spans="1:15" x14ac:dyDescent="0.2">
      <c r="B70" s="143">
        <f>B69+1</f>
        <v>98</v>
      </c>
      <c r="C70" s="143"/>
      <c r="D70" s="143"/>
      <c r="J70" s="143">
        <f>J69+1</f>
        <v>89</v>
      </c>
      <c r="K70" s="143"/>
      <c r="L70" s="143"/>
    </row>
    <row r="71" spans="1:15" x14ac:dyDescent="0.2">
      <c r="B71" s="144">
        <f>INDEX('SRIM Data'!$BP$9:$BP$140,B69)</f>
        <v>45</v>
      </c>
      <c r="C71" s="143">
        <f>INDEX('SRIM Data'!$BQ$9:$BQ$140,B69)</f>
        <v>80.180000000000007</v>
      </c>
      <c r="D71" s="143"/>
      <c r="J71" s="144">
        <f>INDEX('SRIM Data'!$BP$145:$BP$276,J69)</f>
        <v>20</v>
      </c>
      <c r="K71" s="143">
        <f>INDEX('SRIM Data'!$BQ$145:$BQ$276,J69)</f>
        <v>19.850000000000001</v>
      </c>
      <c r="L71" s="143"/>
    </row>
    <row r="72" spans="1:15" x14ac:dyDescent="0.2">
      <c r="B72" s="144">
        <f>INDEX('SRIM Data'!$BP$9:$BP$140,B70)</f>
        <v>50</v>
      </c>
      <c r="C72" s="143">
        <f>INDEX('SRIM Data'!$BQ$9:$BQ$140,B70)</f>
        <v>94.42</v>
      </c>
      <c r="D72" s="143"/>
      <c r="J72" s="144">
        <f>INDEX('SRIM Data'!$BP$145:$BP$276,J70)</f>
        <v>22.5</v>
      </c>
      <c r="K72" s="143">
        <f>INDEX('SRIM Data'!$BQ$145:$BQ$276,J70)</f>
        <v>22.72</v>
      </c>
      <c r="L72" s="143"/>
    </row>
    <row r="73" spans="1:15" x14ac:dyDescent="0.2">
      <c r="B73" s="143">
        <f>(B72-B68)/(B72-B71)</f>
        <v>0.54000000000000059</v>
      </c>
      <c r="C73" s="143">
        <f>C72-B73*(C72-C71)</f>
        <v>86.730400000000003</v>
      </c>
      <c r="D73" s="143"/>
      <c r="J73" s="143">
        <f>(J72-J68)/(J72-J71)</f>
        <v>1</v>
      </c>
      <c r="K73" s="143">
        <f>K72-J73*(K72-K71)</f>
        <v>19.850000000000001</v>
      </c>
      <c r="L73" s="143"/>
    </row>
    <row r="74" spans="1:15" x14ac:dyDescent="0.2">
      <c r="B74" s="143"/>
      <c r="C74" s="143">
        <f>C73-(C68/COS(RADIANS(D68)))</f>
        <v>26.178684746120609</v>
      </c>
      <c r="D74" s="143"/>
      <c r="J74" s="143"/>
      <c r="K74" s="143">
        <f>K73-(K68/COS(RADIANS(L68)))</f>
        <v>18.998657782019272</v>
      </c>
      <c r="L74" s="143"/>
    </row>
    <row r="75" spans="1:15" x14ac:dyDescent="0.2">
      <c r="B75" s="143"/>
      <c r="C75" s="143">
        <f>MATCH(C74,'SRIM Data'!$BQ$9:$BQ$140)</f>
        <v>88</v>
      </c>
      <c r="D75" s="143"/>
      <c r="J75" s="143"/>
      <c r="K75" s="143">
        <f>MATCH(K74,'SRIM Data'!$BQ$145:$BQ$276)</f>
        <v>87</v>
      </c>
      <c r="L75" s="143"/>
    </row>
    <row r="76" spans="1:15" x14ac:dyDescent="0.2">
      <c r="B76" s="143"/>
      <c r="C76" s="143">
        <f>C75+1</f>
        <v>89</v>
      </c>
      <c r="D76" s="143"/>
      <c r="J76" s="143"/>
      <c r="K76" s="143">
        <f>K75+1</f>
        <v>88</v>
      </c>
      <c r="L76" s="143"/>
    </row>
    <row r="77" spans="1:15" x14ac:dyDescent="0.2">
      <c r="B77" s="144">
        <f>INDEX('SRIM Data'!$BP$9:$BP$140,C75)</f>
        <v>20</v>
      </c>
      <c r="C77" s="143">
        <f>INDEX('SRIM Data'!$BQ$9:$BQ$140,C75)</f>
        <v>26</v>
      </c>
      <c r="D77" s="143"/>
      <c r="J77" s="144">
        <f>INDEX('SRIM Data'!$BP$145:$BP$276,K75)</f>
        <v>18</v>
      </c>
      <c r="K77" s="143">
        <f>INDEX('SRIM Data'!$BQ$145:$BQ$276,K75)</f>
        <v>17.63</v>
      </c>
      <c r="L77" s="143"/>
    </row>
    <row r="78" spans="1:15" x14ac:dyDescent="0.2">
      <c r="B78" s="144">
        <f>INDEX('SRIM Data'!$BP$9:$BP$140,C76)</f>
        <v>22.5</v>
      </c>
      <c r="C78" s="143">
        <f>INDEX('SRIM Data'!$BQ$9:$BQ$140,C76)</f>
        <v>30.18</v>
      </c>
      <c r="D78" s="143"/>
      <c r="J78" s="144">
        <f>INDEX('SRIM Data'!$BP$145:$BP$276,K76)</f>
        <v>20</v>
      </c>
      <c r="K78" s="143">
        <f>INDEX('SRIM Data'!$BQ$145:$BQ$276,K76)</f>
        <v>19.850000000000001</v>
      </c>
      <c r="L78" s="143"/>
    </row>
    <row r="79" spans="1:15" x14ac:dyDescent="0.2">
      <c r="B79" s="143">
        <f>B78-C79*(B78-B77)</f>
        <v>20.106868867297017</v>
      </c>
      <c r="C79" s="143">
        <f>(C78-C74)/(C78-C77)</f>
        <v>0.95725245308119389</v>
      </c>
      <c r="D79" s="143"/>
      <c r="J79" s="143">
        <f>J78-K79*(J78-J77)</f>
        <v>19.233025028846189</v>
      </c>
      <c r="K79" s="143">
        <f>(K78-K74)/(K78-K77)</f>
        <v>0.38348748557690465</v>
      </c>
      <c r="L79" s="143"/>
    </row>
    <row r="81" spans="1:15" ht="13.5" thickBot="1" x14ac:dyDescent="0.25">
      <c r="A81" s="188" t="str">
        <f>'SRIM Data'!BS6</f>
        <v>18F in CH2</v>
      </c>
      <c r="B81" s="125"/>
      <c r="C81" s="125"/>
      <c r="D81" s="125"/>
      <c r="E81" s="125"/>
      <c r="F81" s="125"/>
      <c r="G81" s="125"/>
      <c r="I81" s="188" t="str">
        <f>'SRIM Data'!BS142</f>
        <v>18F in Si</v>
      </c>
      <c r="J81" s="125"/>
      <c r="K81" s="125"/>
      <c r="L81" s="125"/>
      <c r="M81" s="125"/>
      <c r="N81" s="125"/>
      <c r="O81" s="125"/>
    </row>
    <row r="82" spans="1:15" ht="28.5" x14ac:dyDescent="0.2">
      <c r="A82" s="125"/>
      <c r="B82" s="163" t="s">
        <v>204</v>
      </c>
      <c r="C82" s="164" t="s">
        <v>205</v>
      </c>
      <c r="D82" s="164" t="s">
        <v>27</v>
      </c>
      <c r="E82" s="164" t="s">
        <v>207</v>
      </c>
      <c r="F82" s="165" t="s">
        <v>206</v>
      </c>
      <c r="G82" s="125"/>
      <c r="I82" s="125"/>
      <c r="J82" s="163" t="s">
        <v>204</v>
      </c>
      <c r="K82" s="164" t="s">
        <v>205</v>
      </c>
      <c r="L82" s="164" t="s">
        <v>27</v>
      </c>
      <c r="M82" s="164" t="s">
        <v>207</v>
      </c>
      <c r="N82" s="165" t="s">
        <v>206</v>
      </c>
      <c r="O82" s="125"/>
    </row>
    <row r="83" spans="1:15" ht="13.5" thickBot="1" x14ac:dyDescent="0.25">
      <c r="A83" s="125"/>
      <c r="B83" s="190">
        <v>99.38</v>
      </c>
      <c r="C83" s="199">
        <v>1.77</v>
      </c>
      <c r="D83" s="199">
        <v>3</v>
      </c>
      <c r="E83" s="200">
        <f>$B$83-$F$83</f>
        <v>1.0748508504647134</v>
      </c>
      <c r="F83" s="201">
        <f>B94</f>
        <v>98.305149149535282</v>
      </c>
      <c r="G83" s="125"/>
      <c r="I83" s="125"/>
      <c r="J83" s="190">
        <v>56.15</v>
      </c>
      <c r="K83" s="199">
        <v>0.8</v>
      </c>
      <c r="L83" s="199">
        <v>3</v>
      </c>
      <c r="M83" s="200">
        <f>$J$83-$N$83</f>
        <v>1.0596532761882784</v>
      </c>
      <c r="N83" s="201">
        <f>J94</f>
        <v>55.09034672381172</v>
      </c>
      <c r="O83" s="125"/>
    </row>
    <row r="84" spans="1:15" x14ac:dyDescent="0.2">
      <c r="A84" s="125"/>
      <c r="B84" s="162">
        <f>MATCH(B83,'SRIM Data'!$CD$9:$CD$140)</f>
        <v>104</v>
      </c>
      <c r="C84" s="162"/>
      <c r="D84" s="162"/>
      <c r="E84" s="125"/>
      <c r="F84" s="125"/>
      <c r="G84" s="125"/>
      <c r="I84" s="125"/>
      <c r="J84" s="162">
        <f>MATCH(J83,'SRIM Data'!$CD$145:$CD$276)</f>
        <v>99</v>
      </c>
      <c r="K84" s="162"/>
      <c r="L84" s="162"/>
      <c r="M84" s="125"/>
      <c r="N84" s="125"/>
      <c r="O84" s="125"/>
    </row>
    <row r="85" spans="1:15" x14ac:dyDescent="0.2">
      <c r="B85" s="143">
        <f>B84+1</f>
        <v>105</v>
      </c>
      <c r="C85" s="143"/>
      <c r="D85" s="143"/>
      <c r="J85" s="143">
        <f>J84+1</f>
        <v>100</v>
      </c>
      <c r="K85" s="143"/>
      <c r="L85" s="143"/>
    </row>
    <row r="86" spans="1:15" x14ac:dyDescent="0.2">
      <c r="B86" s="144">
        <f>INDEX('SRIM Data'!$CD$9:$CD$140,B84)</f>
        <v>90</v>
      </c>
      <c r="C86" s="143">
        <f>INDEX('SRIM Data'!$CE$9:$CE$140,B84)</f>
        <v>98.04</v>
      </c>
      <c r="D86" s="143"/>
      <c r="J86" s="144">
        <f>INDEX('SRIM Data'!$CD$145:$CD$276,J84)</f>
        <v>55</v>
      </c>
      <c r="K86" s="143">
        <f>INDEX('SRIM Data'!$CE$145:$CE$276,J84)</f>
        <v>34.83</v>
      </c>
      <c r="L86" s="143"/>
    </row>
    <row r="87" spans="1:15" x14ac:dyDescent="0.2">
      <c r="B87" s="144">
        <f>INDEX('SRIM Data'!$CD$9:$CD$140,B85)</f>
        <v>100</v>
      </c>
      <c r="C87" s="143">
        <f>INDEX('SRIM Data'!$CE$9:$CE$140,B85)</f>
        <v>114.53</v>
      </c>
      <c r="D87" s="143"/>
      <c r="J87" s="144">
        <f>INDEX('SRIM Data'!$CD$145:$CD$276,J85)</f>
        <v>60</v>
      </c>
      <c r="K87" s="143">
        <f>INDEX('SRIM Data'!$CE$145:$CE$276,J85)</f>
        <v>38.61</v>
      </c>
      <c r="L87" s="143"/>
    </row>
    <row r="88" spans="1:15" x14ac:dyDescent="0.2">
      <c r="B88" s="143">
        <f>(B87-B83)/(B87-B86)</f>
        <v>6.2000000000000458E-2</v>
      </c>
      <c r="C88" s="143">
        <f>C87-B88*(C87-C86)</f>
        <v>113.50761999999999</v>
      </c>
      <c r="D88" s="143"/>
      <c r="J88" s="143">
        <f>(J87-J83)/(J87-J86)</f>
        <v>0.77000000000000024</v>
      </c>
      <c r="K88" s="143">
        <f>K87-J88*(K87-K86)</f>
        <v>35.699399999999997</v>
      </c>
      <c r="L88" s="143"/>
    </row>
    <row r="89" spans="1:15" x14ac:dyDescent="0.2">
      <c r="B89" s="143"/>
      <c r="C89" s="143">
        <f>C88-(C83/COS(RADIANS(D83)))</f>
        <v>111.73519094758367</v>
      </c>
      <c r="D89" s="143"/>
      <c r="J89" s="143"/>
      <c r="K89" s="143">
        <f>K88-(K83/COS(RADIANS(L83)))</f>
        <v>34.89830212320166</v>
      </c>
      <c r="L89" s="143"/>
    </row>
    <row r="90" spans="1:15" x14ac:dyDescent="0.2">
      <c r="B90" s="143"/>
      <c r="C90" s="143">
        <f>MATCH(C89,'SRIM Data'!$CE$9:$CE$140)</f>
        <v>104</v>
      </c>
      <c r="D90" s="143"/>
      <c r="J90" s="143"/>
      <c r="K90" s="143">
        <f>MATCH(K89,'SRIM Data'!$CE$145:$CE$276)</f>
        <v>99</v>
      </c>
      <c r="L90" s="143"/>
    </row>
    <row r="91" spans="1:15" x14ac:dyDescent="0.2">
      <c r="B91" s="143"/>
      <c r="C91" s="143">
        <f>C90+1</f>
        <v>105</v>
      </c>
      <c r="D91" s="143"/>
      <c r="J91" s="143"/>
      <c r="K91" s="143">
        <f>K90+1</f>
        <v>100</v>
      </c>
      <c r="L91" s="143"/>
    </row>
    <row r="92" spans="1:15" x14ac:dyDescent="0.2">
      <c r="B92" s="144">
        <f>INDEX('SRIM Data'!$CD$9:$CD$140,C90)</f>
        <v>90</v>
      </c>
      <c r="C92" s="143">
        <f>INDEX('SRIM Data'!$CE$9:$CE$140,C90)</f>
        <v>98.04</v>
      </c>
      <c r="D92" s="143"/>
      <c r="J92" s="144">
        <f>INDEX('SRIM Data'!$CD$145:$CD$276,K90)</f>
        <v>55</v>
      </c>
      <c r="K92" s="143">
        <f>INDEX('SRIM Data'!$CE$145:$CE$276,K90)</f>
        <v>34.83</v>
      </c>
      <c r="L92" s="143"/>
    </row>
    <row r="93" spans="1:15" x14ac:dyDescent="0.2">
      <c r="B93" s="144">
        <f>INDEX('SRIM Data'!$CD$9:$CD$140,C91)</f>
        <v>100</v>
      </c>
      <c r="C93" s="143">
        <f>INDEX('SRIM Data'!$CE$9:$CE$140,C91)</f>
        <v>114.53</v>
      </c>
      <c r="D93" s="143"/>
      <c r="J93" s="144">
        <f>INDEX('SRIM Data'!$CD$145:$CD$276,K91)</f>
        <v>60</v>
      </c>
      <c r="K93" s="143">
        <f>INDEX('SRIM Data'!$CE$145:$CE$276,K91)</f>
        <v>38.61</v>
      </c>
      <c r="L93" s="143"/>
    </row>
    <row r="94" spans="1:15" x14ac:dyDescent="0.2">
      <c r="B94" s="143">
        <f>B93-C94*(B93-B92)</f>
        <v>98.305149149535282</v>
      </c>
      <c r="C94" s="143">
        <f>(C93-C89)/(C93-C92)</f>
        <v>0.16948508504647222</v>
      </c>
      <c r="D94" s="143"/>
      <c r="J94" s="143">
        <f>J93-K94*(J93-J92)</f>
        <v>55.09034672381172</v>
      </c>
      <c r="K94" s="143">
        <f>(K93-K89)/(K93-K92)</f>
        <v>0.98193065523765577</v>
      </c>
      <c r="L94" s="143"/>
    </row>
    <row r="97" spans="1:15" ht="13.5" thickBot="1" x14ac:dyDescent="0.25">
      <c r="A97" s="188" t="str">
        <f>'SRIM Data'!CG6</f>
        <v>21Ne in CH2</v>
      </c>
      <c r="B97" s="125"/>
      <c r="C97" s="125"/>
      <c r="D97" s="125"/>
      <c r="E97" s="125"/>
      <c r="F97" s="125"/>
      <c r="G97" s="125"/>
      <c r="I97" s="188" t="str">
        <f>'SRIM Data'!CG142</f>
        <v>21Ne in Si</v>
      </c>
      <c r="J97" s="125"/>
      <c r="K97" s="125"/>
      <c r="L97" s="125"/>
      <c r="M97" s="125"/>
      <c r="N97" s="125"/>
      <c r="O97" s="125"/>
    </row>
    <row r="98" spans="1:15" ht="28.5" x14ac:dyDescent="0.2">
      <c r="A98" s="125"/>
      <c r="B98" s="163" t="s">
        <v>204</v>
      </c>
      <c r="C98" s="164" t="s">
        <v>205</v>
      </c>
      <c r="D98" s="164" t="s">
        <v>27</v>
      </c>
      <c r="E98" s="164" t="s">
        <v>207</v>
      </c>
      <c r="F98" s="165" t="s">
        <v>206</v>
      </c>
      <c r="G98" s="125"/>
      <c r="I98" s="125"/>
      <c r="J98" s="163" t="s">
        <v>204</v>
      </c>
      <c r="K98" s="164" t="s">
        <v>205</v>
      </c>
      <c r="L98" s="164" t="s">
        <v>27</v>
      </c>
      <c r="M98" s="164" t="s">
        <v>207</v>
      </c>
      <c r="N98" s="165" t="s">
        <v>206</v>
      </c>
      <c r="O98" s="125"/>
    </row>
    <row r="99" spans="1:15" ht="13.5" thickBot="1" x14ac:dyDescent="0.25">
      <c r="A99" s="125"/>
      <c r="B99" s="190">
        <v>112.5</v>
      </c>
      <c r="C99" s="199">
        <v>1.77</v>
      </c>
      <c r="D99" s="199">
        <v>0</v>
      </c>
      <c r="E99" s="200">
        <f>$B$99-$F$99</f>
        <v>1.2491178546224404</v>
      </c>
      <c r="F99" s="201">
        <f>B110</f>
        <v>111.25088214537756</v>
      </c>
      <c r="G99" s="125"/>
      <c r="I99" s="125"/>
      <c r="J99" s="190">
        <v>20</v>
      </c>
      <c r="K99" s="199">
        <v>5</v>
      </c>
      <c r="L99" s="199">
        <v>0</v>
      </c>
      <c r="M99" s="200">
        <f>$J$99-$N$99</f>
        <v>10.387755102040815</v>
      </c>
      <c r="N99" s="201">
        <f>J110</f>
        <v>9.6122448979591848</v>
      </c>
      <c r="O99" s="125"/>
    </row>
    <row r="100" spans="1:15" x14ac:dyDescent="0.2">
      <c r="A100" s="125"/>
      <c r="B100" s="162">
        <f>MATCH(B99,'SRIM Data'!$CR$9:$CR$140)</f>
        <v>106</v>
      </c>
      <c r="C100" s="162"/>
      <c r="D100" s="162"/>
      <c r="E100" s="125"/>
      <c r="F100" s="125"/>
      <c r="G100" s="125"/>
      <c r="I100" s="125"/>
      <c r="J100" s="162">
        <f>MATCH(J99,'SRIM Data'!$CR$145:$CR$276)</f>
        <v>88</v>
      </c>
      <c r="K100" s="162"/>
      <c r="L100" s="162"/>
      <c r="M100" s="125"/>
      <c r="N100" s="125"/>
      <c r="O100" s="125"/>
    </row>
    <row r="101" spans="1:15" x14ac:dyDescent="0.2">
      <c r="B101" s="143">
        <f>B100+1</f>
        <v>107</v>
      </c>
      <c r="C101" s="143"/>
      <c r="D101" s="143"/>
      <c r="J101" s="143">
        <f>J100+1</f>
        <v>89</v>
      </c>
      <c r="K101" s="143"/>
      <c r="L101" s="143"/>
    </row>
    <row r="102" spans="1:15" x14ac:dyDescent="0.2">
      <c r="B102" s="144">
        <f>INDEX('SRIM Data'!$CR$9:$CR$140,B100)</f>
        <v>110</v>
      </c>
      <c r="C102" s="143">
        <f>INDEX('SRIM Data'!$CS$9:$CS$140,B100)</f>
        <v>104.06</v>
      </c>
      <c r="D102" s="143"/>
      <c r="J102" s="144">
        <f>INDEX('SRIM Data'!$CR$145:$CR$276,J100)</f>
        <v>20</v>
      </c>
      <c r="K102" s="143">
        <f>INDEX('SRIM Data'!$CS$145:$CS$276,J100)</f>
        <v>11.14</v>
      </c>
      <c r="L102" s="143"/>
    </row>
    <row r="103" spans="1:15" x14ac:dyDescent="0.2">
      <c r="B103" s="144">
        <f>INDEX('SRIM Data'!$CR$9:$CR$140,B101)</f>
        <v>120</v>
      </c>
      <c r="C103" s="143">
        <f>INDEX('SRIM Data'!$CS$9:$CS$140,B101)</f>
        <v>118.23</v>
      </c>
      <c r="D103" s="143"/>
      <c r="J103" s="144">
        <f>INDEX('SRIM Data'!$CR$145:$CR$276,J101)</f>
        <v>22.5</v>
      </c>
      <c r="K103" s="143">
        <f>INDEX('SRIM Data'!$CS$145:$CS$276,J101)</f>
        <v>12.35</v>
      </c>
      <c r="L103" s="143"/>
    </row>
    <row r="104" spans="1:15" x14ac:dyDescent="0.2">
      <c r="B104" s="143">
        <f>(B103-B99)/(B103-B102)</f>
        <v>0.75</v>
      </c>
      <c r="C104" s="143">
        <f>C103-B104*(C103-C102)</f>
        <v>107.60250000000001</v>
      </c>
      <c r="D104" s="143"/>
      <c r="J104" s="143">
        <f>(J103-J99)/(J103-J102)</f>
        <v>1</v>
      </c>
      <c r="K104" s="143">
        <f>K103-J104*(K103-K102)</f>
        <v>11.14</v>
      </c>
      <c r="L104" s="143"/>
    </row>
    <row r="105" spans="1:15" x14ac:dyDescent="0.2">
      <c r="B105" s="143"/>
      <c r="C105" s="143">
        <f>C104-(C99/COS(RADIANS(D99)))</f>
        <v>105.83250000000001</v>
      </c>
      <c r="D105" s="143"/>
      <c r="J105" s="143"/>
      <c r="K105" s="143">
        <f>K104-(K99/COS(RADIANS(L99)))</f>
        <v>6.1400000000000006</v>
      </c>
      <c r="L105" s="143"/>
    </row>
    <row r="106" spans="1:15" x14ac:dyDescent="0.2">
      <c r="B106" s="143"/>
      <c r="C106" s="143">
        <f>MATCH(C105,'SRIM Data'!$CS$9:$CS$140)</f>
        <v>106</v>
      </c>
      <c r="D106" s="143"/>
      <c r="J106" s="143"/>
      <c r="K106" s="143">
        <f>MATCH(K105,'SRIM Data'!$CS$145:$CS$276)</f>
        <v>78</v>
      </c>
      <c r="L106" s="143"/>
    </row>
    <row r="107" spans="1:15" x14ac:dyDescent="0.2">
      <c r="B107" s="143"/>
      <c r="C107" s="143">
        <f>C106+1</f>
        <v>107</v>
      </c>
      <c r="D107" s="143"/>
      <c r="J107" s="143"/>
      <c r="K107" s="143">
        <f>K106+1</f>
        <v>79</v>
      </c>
      <c r="L107" s="143"/>
    </row>
    <row r="108" spans="1:15" x14ac:dyDescent="0.2">
      <c r="B108" s="144">
        <f>INDEX('SRIM Data'!$CR$9:$CR$140,C106)</f>
        <v>110</v>
      </c>
      <c r="C108" s="143">
        <f>INDEX('SRIM Data'!$CS$9:$CS$140,C106)</f>
        <v>104.06</v>
      </c>
      <c r="D108" s="143"/>
      <c r="J108" s="144">
        <f>INDEX('SRIM Data'!$CR$145:$CR$276,K106)</f>
        <v>9</v>
      </c>
      <c r="K108" s="143">
        <f>INDEX('SRIM Data'!$CS$145:$CS$276,K106)</f>
        <v>5.84</v>
      </c>
      <c r="L108" s="143"/>
    </row>
    <row r="109" spans="1:15" x14ac:dyDescent="0.2">
      <c r="B109" s="144">
        <f>INDEX('SRIM Data'!$CR$9:$CR$140,C107)</f>
        <v>120</v>
      </c>
      <c r="C109" s="143">
        <f>INDEX('SRIM Data'!$CS$9:$CS$140,C107)</f>
        <v>118.23</v>
      </c>
      <c r="D109" s="143"/>
      <c r="J109" s="144">
        <f>INDEX('SRIM Data'!$CR$145:$CR$276,K107)</f>
        <v>10</v>
      </c>
      <c r="K109" s="143">
        <f>INDEX('SRIM Data'!$CS$145:$CS$276,K107)</f>
        <v>6.33</v>
      </c>
      <c r="L109" s="143"/>
    </row>
    <row r="110" spans="1:15" x14ac:dyDescent="0.2">
      <c r="B110" s="143">
        <f>B109-C110*(B109-B108)</f>
        <v>111.25088214537756</v>
      </c>
      <c r="C110" s="143">
        <f>(C109-C105)/(C109-C108)</f>
        <v>0.87491178546224369</v>
      </c>
      <c r="D110" s="143"/>
      <c r="J110" s="143">
        <f>J109-K110*(J109-J108)</f>
        <v>9.6122448979591848</v>
      </c>
      <c r="K110" s="143">
        <f>(K109-K105)/(K109-K108)</f>
        <v>0.38775510204081515</v>
      </c>
      <c r="L110" s="143"/>
    </row>
  </sheetData>
  <phoneticPr fontId="6" type="noConversion"/>
  <pageMargins left="0.75" right="0.75" top="1" bottom="1" header="0.5" footer="0.5"/>
  <pageSetup paperSize="9" orientation="portrait" horizontalDpi="4294967293" verticalDpi="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"/>
  <sheetViews>
    <sheetView workbookViewId="0">
      <selection activeCell="J13" sqref="J13"/>
    </sheetView>
  </sheetViews>
  <sheetFormatPr defaultColWidth="8.85546875" defaultRowHeight="12.75" x14ac:dyDescent="0.2"/>
  <cols>
    <col min="3" max="3" width="21.42578125" bestFit="1" customWidth="1"/>
    <col min="4" max="4" width="12.42578125" bestFit="1" customWidth="1"/>
    <col min="6" max="6" width="12" bestFit="1" customWidth="1"/>
  </cols>
  <sheetData>
    <row r="1" spans="1:13" x14ac:dyDescent="0.2">
      <c r="J1" s="16"/>
    </row>
    <row r="2" spans="1:13" x14ac:dyDescent="0.2">
      <c r="B2" s="110" t="s">
        <v>389</v>
      </c>
      <c r="C2" s="11"/>
      <c r="D2" s="107"/>
      <c r="E2" s="107"/>
      <c r="F2" s="11"/>
      <c r="G2" s="11"/>
      <c r="H2" s="11"/>
      <c r="I2" s="11"/>
      <c r="J2" s="12"/>
      <c r="L2" t="s">
        <v>169</v>
      </c>
      <c r="M2" t="s">
        <v>170</v>
      </c>
    </row>
    <row r="3" spans="1:13" x14ac:dyDescent="0.2">
      <c r="B3" s="13"/>
      <c r="C3" s="2"/>
      <c r="D3" s="2"/>
      <c r="E3" s="2"/>
      <c r="F3" s="2"/>
      <c r="G3" s="2"/>
      <c r="H3" s="2"/>
      <c r="I3" s="2"/>
      <c r="J3" s="14"/>
      <c r="L3" t="s">
        <v>1698</v>
      </c>
      <c r="M3">
        <v>19.311</v>
      </c>
    </row>
    <row r="4" spans="1:13" x14ac:dyDescent="0.2">
      <c r="B4" s="118" t="s">
        <v>390</v>
      </c>
      <c r="C4" s="2"/>
      <c r="D4" s="2"/>
      <c r="E4" s="2"/>
      <c r="F4" s="2"/>
      <c r="G4" s="2"/>
      <c r="H4" s="2"/>
      <c r="I4" s="2"/>
      <c r="J4" s="14"/>
      <c r="L4" t="s">
        <v>171</v>
      </c>
      <c r="M4">
        <v>0.93</v>
      </c>
    </row>
    <row r="5" spans="1:13" x14ac:dyDescent="0.2">
      <c r="B5" s="118"/>
      <c r="C5" s="2"/>
      <c r="D5" s="2"/>
      <c r="E5" s="2"/>
      <c r="F5" s="2"/>
      <c r="G5" s="2"/>
      <c r="H5" s="2"/>
      <c r="I5" s="2"/>
      <c r="J5" s="14"/>
    </row>
    <row r="6" spans="1:13" x14ac:dyDescent="0.2">
      <c r="B6" s="13"/>
      <c r="C6" s="88" t="s">
        <v>142</v>
      </c>
      <c r="D6" s="502" t="s">
        <v>1698</v>
      </c>
      <c r="E6" s="2"/>
      <c r="F6" s="2"/>
      <c r="G6" s="2"/>
      <c r="H6" s="2"/>
      <c r="I6" s="2"/>
      <c r="J6" s="14"/>
    </row>
    <row r="7" spans="1:13" x14ac:dyDescent="0.2">
      <c r="B7" s="13"/>
      <c r="C7" s="88" t="s">
        <v>14</v>
      </c>
      <c r="D7" s="262">
        <v>0</v>
      </c>
      <c r="E7" s="2"/>
      <c r="F7" s="2"/>
      <c r="G7" s="2"/>
      <c r="H7" s="2"/>
      <c r="I7" s="2"/>
      <c r="J7" s="14"/>
    </row>
    <row r="8" spans="1:13" ht="14.25" x14ac:dyDescent="0.2">
      <c r="B8" s="13"/>
      <c r="C8" s="88" t="s">
        <v>385</v>
      </c>
      <c r="D8" s="41">
        <v>19.311</v>
      </c>
      <c r="E8" s="108" t="s">
        <v>1810</v>
      </c>
      <c r="F8" s="2"/>
      <c r="G8" s="2"/>
      <c r="H8" s="40" t="s">
        <v>148</v>
      </c>
      <c r="I8" s="37">
        <v>0</v>
      </c>
      <c r="J8" s="14" t="s">
        <v>288</v>
      </c>
    </row>
    <row r="9" spans="1:13" ht="14.25" x14ac:dyDescent="0.2">
      <c r="B9" s="13"/>
      <c r="C9" s="88" t="s">
        <v>386</v>
      </c>
      <c r="D9" s="41">
        <v>40</v>
      </c>
      <c r="E9" s="108" t="s">
        <v>387</v>
      </c>
      <c r="F9" s="2"/>
      <c r="H9" s="88" t="s">
        <v>386</v>
      </c>
      <c r="I9" s="196">
        <v>0.02</v>
      </c>
      <c r="J9" s="108" t="s">
        <v>388</v>
      </c>
    </row>
    <row r="10" spans="1:13" x14ac:dyDescent="0.2">
      <c r="B10" s="13"/>
      <c r="C10" s="88" t="s">
        <v>386</v>
      </c>
      <c r="D10" s="81">
        <f>D9/(D8*100)</f>
        <v>2.0713582932007667E-2</v>
      </c>
      <c r="E10" s="108" t="s">
        <v>388</v>
      </c>
      <c r="F10" s="2"/>
      <c r="H10" s="40" t="s">
        <v>147</v>
      </c>
      <c r="I10" s="81">
        <f>($I$9/COS(I8*(2*PI()/360)))</f>
        <v>0.02</v>
      </c>
      <c r="J10" s="282" t="s">
        <v>388</v>
      </c>
    </row>
    <row r="11" spans="1:13" x14ac:dyDescent="0.2">
      <c r="B11" s="13"/>
      <c r="C11" s="2"/>
      <c r="D11" s="2"/>
      <c r="E11" s="2"/>
      <c r="F11" s="2"/>
      <c r="G11" s="2"/>
      <c r="H11" s="2"/>
      <c r="I11" s="2"/>
      <c r="J11" s="14"/>
    </row>
    <row r="12" spans="1:13" ht="13.5" thickBot="1" x14ac:dyDescent="0.25">
      <c r="B12" s="13"/>
      <c r="C12" s="106" t="s">
        <v>403</v>
      </c>
      <c r="D12" s="48" t="s">
        <v>1749</v>
      </c>
      <c r="E12" s="111" t="s">
        <v>392</v>
      </c>
      <c r="F12" s="2" t="s">
        <v>1739</v>
      </c>
      <c r="G12" s="84" t="s">
        <v>391</v>
      </c>
      <c r="H12" s="2"/>
      <c r="I12" s="2"/>
      <c r="J12" s="14"/>
    </row>
    <row r="13" spans="1:13" ht="13.5" thickBot="1" x14ac:dyDescent="0.25">
      <c r="A13" s="14"/>
      <c r="B13" s="2"/>
      <c r="C13" s="106" t="s">
        <v>404</v>
      </c>
      <c r="D13" s="503" t="s">
        <v>1698</v>
      </c>
      <c r="E13" s="115">
        <v>197</v>
      </c>
      <c r="F13" s="116">
        <f ca="1">Masses!Q2</f>
        <v>196.96656865671665</v>
      </c>
      <c r="G13" s="117">
        <v>1</v>
      </c>
      <c r="H13" s="2"/>
      <c r="I13" s="2"/>
      <c r="J13" s="14"/>
    </row>
    <row r="14" spans="1:13" x14ac:dyDescent="0.2">
      <c r="B14" s="13"/>
      <c r="C14" s="106" t="s">
        <v>198</v>
      </c>
      <c r="D14" s="504"/>
      <c r="E14" s="113"/>
      <c r="F14" s="114">
        <f>IF(D7=1,Masses!Q3,0)</f>
        <v>0</v>
      </c>
      <c r="G14" s="113"/>
      <c r="H14" s="2"/>
      <c r="I14" s="2"/>
      <c r="J14" s="14"/>
    </row>
    <row r="15" spans="1:13" x14ac:dyDescent="0.2">
      <c r="B15" s="13"/>
      <c r="C15" s="106"/>
      <c r="D15" s="37"/>
      <c r="E15" s="112"/>
      <c r="F15" s="79"/>
      <c r="G15" s="37"/>
      <c r="H15" s="2"/>
      <c r="I15" s="2"/>
      <c r="J15" s="14"/>
    </row>
    <row r="16" spans="1:13" x14ac:dyDescent="0.2">
      <c r="B16" s="13"/>
      <c r="C16" s="2"/>
      <c r="D16" s="2"/>
      <c r="E16" s="2"/>
      <c r="F16" s="2"/>
      <c r="G16" s="2"/>
      <c r="H16" s="2"/>
      <c r="I16" s="2"/>
      <c r="J16" s="14"/>
    </row>
    <row r="17" spans="2:10" ht="15" x14ac:dyDescent="0.25">
      <c r="B17" s="13"/>
      <c r="C17" s="97" t="s">
        <v>513</v>
      </c>
      <c r="D17" s="82">
        <f ca="1">G13*(D9*0.000001)/(G14*(F14*1.66053886E-24)+G13*(F13*1.66053886E-24))</f>
        <v>1.2229773920337059E+17</v>
      </c>
      <c r="E17" s="2" t="s">
        <v>519</v>
      </c>
      <c r="F17" s="2"/>
      <c r="G17" s="2"/>
      <c r="H17" s="2"/>
      <c r="I17" s="2"/>
      <c r="J17" s="14"/>
    </row>
    <row r="18" spans="2:10" x14ac:dyDescent="0.2">
      <c r="B18" s="13"/>
      <c r="C18" s="2"/>
      <c r="D18" s="2"/>
      <c r="E18" s="2"/>
      <c r="F18" s="2"/>
      <c r="G18" s="2"/>
      <c r="H18" s="2"/>
      <c r="I18" s="2"/>
      <c r="J18" s="14"/>
    </row>
    <row r="19" spans="2:10" x14ac:dyDescent="0.2">
      <c r="B19" s="118" t="s">
        <v>393</v>
      </c>
      <c r="C19" s="2"/>
      <c r="D19" s="2"/>
      <c r="E19" s="2"/>
      <c r="F19" s="2"/>
      <c r="G19" s="2"/>
      <c r="H19" s="2"/>
      <c r="I19" s="2"/>
      <c r="J19" s="14"/>
    </row>
    <row r="20" spans="2:10" x14ac:dyDescent="0.2">
      <c r="B20" s="13"/>
      <c r="C20" s="2"/>
      <c r="D20" s="2"/>
      <c r="E20" s="2"/>
      <c r="F20" s="2"/>
      <c r="G20" s="2"/>
      <c r="H20" s="2"/>
      <c r="I20" s="2"/>
      <c r="J20" s="14"/>
    </row>
    <row r="21" spans="2:10" x14ac:dyDescent="0.2">
      <c r="B21" s="13"/>
      <c r="C21" s="88" t="s">
        <v>394</v>
      </c>
      <c r="D21" s="37">
        <v>200</v>
      </c>
      <c r="E21" s="2" t="s">
        <v>395</v>
      </c>
      <c r="F21" s="2"/>
      <c r="G21" s="2"/>
      <c r="H21" s="2"/>
      <c r="I21" s="2"/>
      <c r="J21" s="14"/>
    </row>
    <row r="22" spans="2:10" x14ac:dyDescent="0.2">
      <c r="B22" s="13"/>
      <c r="C22" s="88" t="s">
        <v>396</v>
      </c>
      <c r="D22" s="138">
        <v>293.14999999999998</v>
      </c>
      <c r="E22" s="2" t="s">
        <v>1391</v>
      </c>
      <c r="F22" s="2"/>
      <c r="G22" s="2"/>
      <c r="H22" s="2"/>
      <c r="I22" s="2"/>
      <c r="J22" s="14"/>
    </row>
    <row r="23" spans="2:10" ht="14.25" x14ac:dyDescent="0.2">
      <c r="B23" s="13"/>
      <c r="C23" s="88" t="s">
        <v>397</v>
      </c>
      <c r="D23" s="41">
        <v>7.0679999999999999E-6</v>
      </c>
      <c r="E23" s="2" t="s">
        <v>398</v>
      </c>
      <c r="F23" s="2"/>
      <c r="G23" s="2"/>
      <c r="H23" s="2"/>
      <c r="I23" s="2"/>
      <c r="J23" s="14"/>
    </row>
    <row r="24" spans="2:10" x14ac:dyDescent="0.2">
      <c r="B24" s="13"/>
      <c r="C24" s="106"/>
      <c r="D24" s="87"/>
      <c r="E24" s="87"/>
      <c r="F24" s="2"/>
      <c r="G24" s="2"/>
      <c r="H24" s="2"/>
      <c r="I24" s="2"/>
      <c r="J24" s="14"/>
    </row>
    <row r="25" spans="2:10" ht="14.25" x14ac:dyDescent="0.25">
      <c r="B25" s="13"/>
      <c r="C25" s="97" t="s">
        <v>513</v>
      </c>
      <c r="D25" s="82">
        <f>((D21*0.001)*(D23*(100^3)))/(D22*1.3806505E-23)</f>
        <v>3.4926324399576495E+20</v>
      </c>
      <c r="E25" s="87" t="s">
        <v>199</v>
      </c>
      <c r="F25" s="2"/>
      <c r="G25" s="2"/>
      <c r="H25" s="2"/>
      <c r="I25" s="2"/>
      <c r="J25" s="14"/>
    </row>
    <row r="26" spans="2:10" x14ac:dyDescent="0.2">
      <c r="B26" s="15"/>
      <c r="C26" s="16"/>
      <c r="D26" s="16"/>
      <c r="E26" s="16"/>
      <c r="F26" s="16"/>
      <c r="G26" s="16"/>
      <c r="H26" s="16"/>
      <c r="I26" s="16"/>
      <c r="J26" s="17"/>
    </row>
  </sheetData>
  <phoneticPr fontId="6" type="noConversion"/>
  <pageMargins left="0.75" right="0.75" top="1" bottom="1" header="0.5" footer="0.5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L129"/>
  <sheetViews>
    <sheetView topLeftCell="A26" zoomScale="80" workbookViewId="0">
      <selection activeCell="K42" sqref="K42"/>
    </sheetView>
  </sheetViews>
  <sheetFormatPr defaultColWidth="8.85546875" defaultRowHeight="12.75" x14ac:dyDescent="0.2"/>
  <cols>
    <col min="2" max="2" width="21" bestFit="1" customWidth="1"/>
    <col min="3" max="3" width="12.140625" customWidth="1"/>
    <col min="4" max="4" width="13.140625" customWidth="1"/>
    <col min="5" max="5" width="12" customWidth="1"/>
    <col min="6" max="6" width="11.85546875" customWidth="1"/>
    <col min="7" max="7" width="10.42578125" customWidth="1"/>
    <col min="8" max="8" width="4.42578125" customWidth="1"/>
    <col min="9" max="9" width="9.28515625" customWidth="1"/>
    <col min="10" max="10" width="12" customWidth="1"/>
    <col min="11" max="11" width="12.42578125" customWidth="1"/>
    <col min="12" max="12" width="12.7109375" customWidth="1"/>
    <col min="14" max="14" width="12.140625" customWidth="1"/>
    <col min="18" max="18" width="14.28515625" customWidth="1"/>
    <col min="19" max="19" width="12.42578125" bestFit="1" customWidth="1"/>
    <col min="21" max="21" width="10.85546875" bestFit="1" customWidth="1"/>
    <col min="24" max="24" width="10.42578125" customWidth="1"/>
    <col min="25" max="25" width="6" customWidth="1"/>
    <col min="26" max="26" width="9.28515625" customWidth="1"/>
    <col min="27" max="27" width="8" customWidth="1"/>
    <col min="28" max="28" width="11" customWidth="1"/>
    <col min="29" max="29" width="10.140625" customWidth="1"/>
    <col min="30" max="30" width="13.42578125" customWidth="1"/>
    <col min="31" max="31" width="12.85546875" customWidth="1"/>
    <col min="32" max="32" width="7.42578125" customWidth="1"/>
    <col min="33" max="33" width="11.28515625" customWidth="1"/>
    <col min="34" max="34" width="10" customWidth="1"/>
    <col min="62" max="62" width="10.42578125" customWidth="1"/>
    <col min="64" max="64" width="10.42578125" customWidth="1"/>
  </cols>
  <sheetData>
    <row r="1" spans="2:33" ht="15.75" x14ac:dyDescent="0.25">
      <c r="R1" s="136" t="s">
        <v>81</v>
      </c>
    </row>
    <row r="2" spans="2:33" x14ac:dyDescent="0.2">
      <c r="B2" s="110" t="s">
        <v>213</v>
      </c>
      <c r="C2" s="11"/>
      <c r="D2" s="11"/>
      <c r="E2" s="11"/>
      <c r="F2" s="11"/>
      <c r="G2" s="12"/>
      <c r="R2" s="326"/>
      <c r="S2" s="327"/>
      <c r="T2" s="327"/>
      <c r="U2" s="327"/>
      <c r="V2" s="327"/>
      <c r="W2" s="328"/>
    </row>
    <row r="3" spans="2:33" ht="16.5" x14ac:dyDescent="0.3">
      <c r="B3" s="13"/>
      <c r="C3" s="2"/>
      <c r="D3" s="2"/>
      <c r="E3" s="2"/>
      <c r="F3" s="2"/>
      <c r="G3" s="14"/>
      <c r="R3" s="118" t="s">
        <v>319</v>
      </c>
      <c r="S3" s="167" t="s">
        <v>452</v>
      </c>
      <c r="T3" s="2"/>
    </row>
    <row r="4" spans="2:33" x14ac:dyDescent="0.2">
      <c r="B4" s="51" t="s">
        <v>210</v>
      </c>
      <c r="C4" s="166" t="s">
        <v>1628</v>
      </c>
      <c r="D4" s="48" t="s">
        <v>212</v>
      </c>
      <c r="E4" s="2"/>
      <c r="F4" s="2"/>
      <c r="G4" s="14"/>
      <c r="S4" s="2"/>
      <c r="T4" s="2"/>
    </row>
    <row r="5" spans="2:33" x14ac:dyDescent="0.2">
      <c r="B5" s="13" t="s">
        <v>211</v>
      </c>
      <c r="C5" s="48" t="s">
        <v>212</v>
      </c>
      <c r="D5" s="48" t="s">
        <v>209</v>
      </c>
      <c r="E5" s="2"/>
      <c r="F5" s="2"/>
      <c r="G5" s="14"/>
      <c r="R5" s="47" t="s">
        <v>83</v>
      </c>
      <c r="S5" s="2" t="s">
        <v>85</v>
      </c>
      <c r="T5" s="2"/>
      <c r="V5" s="323" t="s">
        <v>92</v>
      </c>
      <c r="W5" s="23" t="s">
        <v>171</v>
      </c>
      <c r="Y5" s="145" t="s">
        <v>96</v>
      </c>
      <c r="Z5" s="145" t="s">
        <v>94</v>
      </c>
      <c r="AA5" s="145" t="s">
        <v>95</v>
      </c>
      <c r="AB5" s="145" t="s">
        <v>100</v>
      </c>
      <c r="AC5" s="324" t="s">
        <v>99</v>
      </c>
      <c r="AD5" s="324" t="s">
        <v>97</v>
      </c>
      <c r="AE5" s="324"/>
      <c r="AF5" s="324" t="s">
        <v>98</v>
      </c>
      <c r="AG5" s="19"/>
    </row>
    <row r="6" spans="2:33" ht="14.25" x14ac:dyDescent="0.25">
      <c r="B6" s="13"/>
      <c r="C6" s="2"/>
      <c r="D6" s="2"/>
      <c r="E6" s="2"/>
      <c r="F6" s="2"/>
      <c r="G6" s="14"/>
      <c r="R6" s="47" t="s">
        <v>513</v>
      </c>
      <c r="S6" s="2" t="s">
        <v>515</v>
      </c>
      <c r="T6" s="2"/>
      <c r="W6" s="23">
        <v>325</v>
      </c>
      <c r="X6" t="s">
        <v>71</v>
      </c>
      <c r="Y6" s="360">
        <v>57</v>
      </c>
      <c r="Z6" s="377">
        <v>0</v>
      </c>
      <c r="AA6" s="377">
        <v>7.464120370370371E-2</v>
      </c>
      <c r="AB6" s="325">
        <f>(AA6-Z6)*86400</f>
        <v>6449.0000000000009</v>
      </c>
      <c r="AC6" s="381">
        <v>0.95</v>
      </c>
      <c r="AD6" s="381">
        <v>0.87</v>
      </c>
      <c r="AE6" s="23"/>
      <c r="AF6" s="294">
        <f>AD6/AC6*100</f>
        <v>91.578947368421055</v>
      </c>
      <c r="AG6" s="218"/>
    </row>
    <row r="7" spans="2:33" x14ac:dyDescent="0.2">
      <c r="B7" s="13" t="s">
        <v>214</v>
      </c>
      <c r="C7" s="2"/>
      <c r="D7" s="2"/>
      <c r="E7" s="2"/>
      <c r="F7" s="2"/>
      <c r="G7" s="14"/>
      <c r="R7" s="47" t="s">
        <v>510</v>
      </c>
      <c r="S7" s="2" t="s">
        <v>82</v>
      </c>
      <c r="T7" s="2"/>
      <c r="Y7" s="378">
        <v>58</v>
      </c>
      <c r="Z7" s="377">
        <v>8.0879629629629635E-2</v>
      </c>
      <c r="AA7" s="377">
        <v>0.17140046296296296</v>
      </c>
      <c r="AB7" s="325">
        <f t="shared" ref="AB7:AB13" si="0">(AA7-Z7)*86400</f>
        <v>7821</v>
      </c>
      <c r="AC7" s="381">
        <v>2</v>
      </c>
      <c r="AD7" s="381">
        <v>1.6</v>
      </c>
      <c r="AE7" s="23"/>
      <c r="AF7" s="294">
        <f t="shared" ref="AF7:AF13" si="1">AD7/AC7*100</f>
        <v>80</v>
      </c>
      <c r="AG7" s="218"/>
    </row>
    <row r="8" spans="2:33" ht="14.25" x14ac:dyDescent="0.25">
      <c r="B8" s="13"/>
      <c r="C8" s="2"/>
      <c r="D8" s="2"/>
      <c r="E8" s="2"/>
      <c r="F8" s="2"/>
      <c r="G8" s="14"/>
      <c r="R8" s="47" t="s">
        <v>512</v>
      </c>
      <c r="S8" s="2" t="s">
        <v>514</v>
      </c>
      <c r="T8" s="2"/>
      <c r="V8" s="292" t="s">
        <v>93</v>
      </c>
      <c r="W8" s="23">
        <v>115</v>
      </c>
      <c r="X8" t="s">
        <v>593</v>
      </c>
      <c r="Y8" s="360">
        <v>59</v>
      </c>
      <c r="Z8" s="377">
        <v>0.17140046296296296</v>
      </c>
      <c r="AA8" s="377">
        <v>0.25918981481481479</v>
      </c>
      <c r="AB8" s="325">
        <f t="shared" si="0"/>
        <v>7584.9999999999982</v>
      </c>
      <c r="AC8" s="381">
        <v>2</v>
      </c>
      <c r="AD8" s="381">
        <v>1.6</v>
      </c>
      <c r="AE8" s="23"/>
      <c r="AF8" s="294">
        <f t="shared" si="1"/>
        <v>80</v>
      </c>
      <c r="AG8" s="218"/>
    </row>
    <row r="9" spans="2:33" ht="16.5" x14ac:dyDescent="0.3">
      <c r="B9" s="175" t="s">
        <v>215</v>
      </c>
      <c r="C9" s="176" t="s">
        <v>216</v>
      </c>
      <c r="D9" s="168"/>
      <c r="E9" s="2"/>
      <c r="F9" s="2"/>
      <c r="G9" s="14"/>
      <c r="R9" s="13"/>
      <c r="Y9" s="378">
        <v>60</v>
      </c>
      <c r="Z9" s="377">
        <v>0.25950231481481484</v>
      </c>
      <c r="AA9" s="377">
        <v>0.35459490740740746</v>
      </c>
      <c r="AB9" s="325">
        <f t="shared" si="0"/>
        <v>8216.0000000000018</v>
      </c>
      <c r="AC9" s="381">
        <v>1.9</v>
      </c>
      <c r="AD9" s="381">
        <v>1.6</v>
      </c>
      <c r="AE9" s="350"/>
      <c r="AF9" s="294">
        <f t="shared" si="1"/>
        <v>84.21052631578948</v>
      </c>
      <c r="AG9" s="218"/>
    </row>
    <row r="10" spans="2:33" ht="16.5" x14ac:dyDescent="0.3">
      <c r="B10" s="167" t="s">
        <v>217</v>
      </c>
      <c r="C10" s="176" t="s">
        <v>451</v>
      </c>
      <c r="D10" s="168"/>
      <c r="E10" s="2"/>
      <c r="F10" s="2"/>
      <c r="G10" s="14"/>
      <c r="R10" s="13"/>
      <c r="Y10" s="379">
        <v>61</v>
      </c>
      <c r="Z10" s="377">
        <v>0.86434027777777767</v>
      </c>
      <c r="AA10" s="377">
        <v>1</v>
      </c>
      <c r="AB10" s="325">
        <f t="shared" si="0"/>
        <v>11721.000000000009</v>
      </c>
      <c r="AC10" s="261">
        <v>1</v>
      </c>
      <c r="AD10" s="261">
        <v>0.9</v>
      </c>
      <c r="AE10" s="23"/>
      <c r="AF10" s="294">
        <f t="shared" si="1"/>
        <v>90</v>
      </c>
      <c r="AG10" s="218"/>
    </row>
    <row r="11" spans="2:33" x14ac:dyDescent="0.2">
      <c r="B11" s="13"/>
      <c r="C11" s="2"/>
      <c r="D11" s="2"/>
      <c r="E11" s="2"/>
      <c r="F11" s="2"/>
      <c r="G11" s="14"/>
      <c r="R11" s="47" t="s">
        <v>83</v>
      </c>
      <c r="S11" s="41">
        <v>2090000</v>
      </c>
      <c r="T11" s="84"/>
      <c r="U11" s="320">
        <v>3</v>
      </c>
      <c r="V11" s="84" t="s">
        <v>87</v>
      </c>
      <c r="Y11" s="145">
        <v>61</v>
      </c>
      <c r="Z11" s="380">
        <v>0</v>
      </c>
      <c r="AA11" s="380">
        <v>1.6458333333333332E-2</v>
      </c>
      <c r="AB11" s="325">
        <f t="shared" si="0"/>
        <v>1421.9999999999998</v>
      </c>
      <c r="AC11" s="261">
        <v>1</v>
      </c>
      <c r="AD11" s="261">
        <v>0.9</v>
      </c>
      <c r="AE11" s="23"/>
      <c r="AF11" s="294">
        <f t="shared" si="1"/>
        <v>90</v>
      </c>
      <c r="AG11" s="218"/>
    </row>
    <row r="12" spans="2:33" ht="15" x14ac:dyDescent="0.25">
      <c r="B12" s="47" t="s">
        <v>240</v>
      </c>
      <c r="C12" s="177" t="str">
        <f>Reaction!C36</f>
        <v>Li</v>
      </c>
      <c r="D12" s="4" t="s">
        <v>457</v>
      </c>
      <c r="E12" s="41">
        <v>1.0200000000000001E-2</v>
      </c>
      <c r="F12" s="84" t="s">
        <v>526</v>
      </c>
      <c r="G12" s="14"/>
      <c r="R12" s="47" t="s">
        <v>513</v>
      </c>
      <c r="S12" s="41">
        <f ca="1">'Rutherford Scattering'!K17</f>
        <v>1.2229773920337059E+17</v>
      </c>
      <c r="T12" s="84" t="s">
        <v>519</v>
      </c>
      <c r="U12" s="2"/>
      <c r="V12" s="2"/>
      <c r="Y12" s="378">
        <v>62</v>
      </c>
      <c r="Z12" s="377">
        <v>1.7245370370370369E-2</v>
      </c>
      <c r="AA12" s="377">
        <v>0.22973379629629631</v>
      </c>
      <c r="AB12" s="325">
        <f t="shared" si="0"/>
        <v>18359</v>
      </c>
      <c r="AC12" s="261">
        <v>1</v>
      </c>
      <c r="AD12" s="261">
        <v>0.8</v>
      </c>
      <c r="AE12" s="23"/>
      <c r="AF12" s="294">
        <f t="shared" si="1"/>
        <v>80</v>
      </c>
      <c r="AG12" s="218"/>
    </row>
    <row r="13" spans="2:33" ht="14.25" x14ac:dyDescent="0.25">
      <c r="B13" s="47" t="s">
        <v>241</v>
      </c>
      <c r="C13" s="177" t="str">
        <f>Reaction!C34</f>
        <v>Au</v>
      </c>
      <c r="D13" s="4" t="s">
        <v>458</v>
      </c>
      <c r="E13" s="79">
        <f ca="1">Reaction!G34</f>
        <v>196.96656865671665</v>
      </c>
      <c r="F13" s="84" t="s">
        <v>594</v>
      </c>
      <c r="G13" s="14"/>
      <c r="R13" s="322" t="s">
        <v>91</v>
      </c>
      <c r="S13" s="41" t="e">
        <f ca="1">'Rutherford Scattering'!S313</f>
        <v>#NUM!</v>
      </c>
      <c r="T13" s="84" t="s">
        <v>526</v>
      </c>
      <c r="U13" s="308"/>
      <c r="V13" s="2"/>
      <c r="Y13" s="378">
        <v>64</v>
      </c>
      <c r="Z13" s="377">
        <v>0.36623842592592593</v>
      </c>
      <c r="AA13" s="377">
        <v>0.42814814814814817</v>
      </c>
      <c r="AB13" s="325">
        <f t="shared" si="0"/>
        <v>5349.0000000000018</v>
      </c>
      <c r="AC13" s="261">
        <v>1.6</v>
      </c>
      <c r="AD13" s="261">
        <v>1.2</v>
      </c>
      <c r="AE13" s="23"/>
      <c r="AF13" s="294">
        <f t="shared" si="1"/>
        <v>74.999999999999986</v>
      </c>
      <c r="AG13" s="218"/>
    </row>
    <row r="14" spans="2:33" ht="14.25" x14ac:dyDescent="0.25">
      <c r="B14" s="47" t="s">
        <v>521</v>
      </c>
      <c r="C14" s="177" t="str">
        <f>Reaction!C32</f>
        <v>Au</v>
      </c>
      <c r="D14" s="4" t="s">
        <v>231</v>
      </c>
      <c r="E14" s="79">
        <f ca="1">Reaction!G36</f>
        <v>7.0160045510122844</v>
      </c>
      <c r="F14" s="84" t="s">
        <v>594</v>
      </c>
      <c r="G14" s="14"/>
      <c r="R14" s="319"/>
      <c r="S14" s="86"/>
      <c r="T14" s="83"/>
      <c r="U14" s="2"/>
      <c r="V14" s="2"/>
      <c r="W14" s="2"/>
      <c r="AG14" s="120"/>
    </row>
    <row r="15" spans="2:33" ht="14.25" x14ac:dyDescent="0.25">
      <c r="B15" s="47" t="s">
        <v>242</v>
      </c>
      <c r="C15" s="178" t="str">
        <f>Reaction!C31</f>
        <v>Li</v>
      </c>
      <c r="D15" s="4" t="s">
        <v>232</v>
      </c>
      <c r="E15" s="79">
        <f ca="1">Reaction!G32</f>
        <v>196.96656865671665</v>
      </c>
      <c r="F15" s="84" t="s">
        <v>594</v>
      </c>
      <c r="G15" s="14"/>
      <c r="R15" s="47" t="s">
        <v>347</v>
      </c>
      <c r="S15" s="307">
        <f>AB15</f>
        <v>66922.000000000015</v>
      </c>
      <c r="T15" s="83" t="s">
        <v>89</v>
      </c>
      <c r="W15" s="87"/>
      <c r="Z15" s="266"/>
      <c r="AA15" t="s">
        <v>80</v>
      </c>
      <c r="AB15" s="325">
        <f>SUM(AB6:AB13)</f>
        <v>66922.000000000015</v>
      </c>
      <c r="AC15" t="s">
        <v>44</v>
      </c>
      <c r="AF15" s="294">
        <f>AVERAGE(AF6:AF13)</f>
        <v>83.848684210526315</v>
      </c>
      <c r="AG15" s="218"/>
    </row>
    <row r="16" spans="2:33" ht="14.25" x14ac:dyDescent="0.25">
      <c r="B16" s="13"/>
      <c r="C16" s="2"/>
      <c r="D16" s="4" t="s">
        <v>233</v>
      </c>
      <c r="E16" s="79">
        <f ca="1">Reaction!G31</f>
        <v>7.0160045510122844</v>
      </c>
      <c r="F16" s="84" t="s">
        <v>594</v>
      </c>
      <c r="G16" s="14"/>
      <c r="R16" s="47" t="s">
        <v>84</v>
      </c>
      <c r="S16" s="173">
        <f>AF15</f>
        <v>83.848684210526315</v>
      </c>
      <c r="T16" s="83" t="s">
        <v>520</v>
      </c>
      <c r="U16" s="2"/>
      <c r="V16" s="2"/>
      <c r="W16" s="87"/>
      <c r="Z16" s="266"/>
      <c r="AB16" s="310">
        <f>AB15/3600</f>
        <v>18.58944444444445</v>
      </c>
      <c r="AC16" t="s">
        <v>45</v>
      </c>
    </row>
    <row r="17" spans="1:42" ht="14.25" x14ac:dyDescent="0.25">
      <c r="B17" s="13"/>
      <c r="C17" s="2"/>
      <c r="D17" s="4" t="s">
        <v>234</v>
      </c>
      <c r="E17" s="81">
        <v>1.35</v>
      </c>
      <c r="F17" s="84" t="s">
        <v>593</v>
      </c>
      <c r="G17" s="14"/>
      <c r="R17" s="59" t="s">
        <v>219</v>
      </c>
      <c r="S17" s="173">
        <f>S15*S16*0.01</f>
        <v>56113.216447368432</v>
      </c>
      <c r="T17" s="2" t="s">
        <v>89</v>
      </c>
      <c r="U17" s="96"/>
      <c r="V17" s="2"/>
      <c r="W17" s="97"/>
      <c r="X17" s="321"/>
      <c r="AB17" s="306"/>
      <c r="AC17" s="314"/>
      <c r="AF17" s="314"/>
      <c r="AG17" s="314"/>
    </row>
    <row r="18" spans="1:42" ht="14.25" x14ac:dyDescent="0.25">
      <c r="B18" s="13"/>
      <c r="C18" s="2"/>
      <c r="D18" s="4" t="s">
        <v>235</v>
      </c>
      <c r="E18" s="81">
        <v>3.99</v>
      </c>
      <c r="F18" s="84" t="s">
        <v>593</v>
      </c>
      <c r="G18" s="14"/>
      <c r="R18" s="13"/>
      <c r="W18" s="87"/>
      <c r="Z18" s="266"/>
      <c r="AB18" s="306"/>
      <c r="AC18" s="314"/>
    </row>
    <row r="19" spans="1:42" ht="14.25" x14ac:dyDescent="0.25">
      <c r="B19" s="13"/>
      <c r="C19" s="2"/>
      <c r="D19" s="4" t="s">
        <v>236</v>
      </c>
      <c r="E19" s="37">
        <v>0</v>
      </c>
      <c r="F19" s="2"/>
      <c r="G19" s="14"/>
      <c r="R19" s="47" t="s">
        <v>86</v>
      </c>
      <c r="S19" s="82" t="e">
        <f ca="1">S11/(S12*S13)/(1E-27)</f>
        <v>#NUM!</v>
      </c>
      <c r="T19" s="83" t="s">
        <v>88</v>
      </c>
      <c r="W19" s="2"/>
    </row>
    <row r="20" spans="1:42" ht="14.25" x14ac:dyDescent="0.25">
      <c r="B20" s="13"/>
      <c r="C20" s="2"/>
      <c r="D20" s="4" t="s">
        <v>237</v>
      </c>
      <c r="E20" s="37">
        <v>0</v>
      </c>
      <c r="F20" s="2"/>
      <c r="G20" s="14"/>
      <c r="W20" s="2"/>
    </row>
    <row r="21" spans="1:42" ht="14.25" x14ac:dyDescent="0.25">
      <c r="B21" s="13"/>
      <c r="C21" s="2"/>
      <c r="D21" s="4" t="s">
        <v>238</v>
      </c>
      <c r="E21" s="173">
        <f>3/2</f>
        <v>1.5</v>
      </c>
      <c r="F21" s="2"/>
      <c r="G21" s="14"/>
      <c r="L21" s="309"/>
      <c r="M21" s="303"/>
      <c r="N21" s="309"/>
      <c r="O21" s="310"/>
      <c r="P21" s="310"/>
      <c r="R21" s="47" t="s">
        <v>218</v>
      </c>
      <c r="S21" s="262">
        <v>5</v>
      </c>
      <c r="W21" s="2"/>
    </row>
    <row r="22" spans="1:42" ht="14.25" x14ac:dyDescent="0.25">
      <c r="B22" s="13"/>
      <c r="C22" s="2"/>
      <c r="D22" s="4" t="s">
        <v>239</v>
      </c>
      <c r="E22" s="37">
        <f>1/2</f>
        <v>0.5</v>
      </c>
      <c r="F22" s="2"/>
      <c r="G22" s="14"/>
      <c r="L22" s="309"/>
      <c r="M22" s="303"/>
      <c r="N22" s="309"/>
      <c r="O22" s="310"/>
      <c r="P22" s="310"/>
      <c r="R22" s="330" t="s">
        <v>220</v>
      </c>
      <c r="S22" s="329" t="e">
        <f ca="1">S19*U11/S17</f>
        <v>#NUM!</v>
      </c>
      <c r="T22" s="2" t="s">
        <v>518</v>
      </c>
      <c r="U22" s="361">
        <f>U23*0.000000000001/(5*1.602E-19)</f>
        <v>8739076.154806491</v>
      </c>
      <c r="V22" s="87" t="s">
        <v>518</v>
      </c>
      <c r="W22" s="2"/>
    </row>
    <row r="23" spans="1:42" x14ac:dyDescent="0.2">
      <c r="B23" s="13"/>
      <c r="C23" s="2"/>
      <c r="D23" s="2"/>
      <c r="E23" s="2"/>
      <c r="F23" s="2"/>
      <c r="G23" s="14"/>
      <c r="R23" s="330"/>
      <c r="S23" s="95" t="e">
        <f ca="1">S22*S21*1.6021892E-19*1000000000000</f>
        <v>#NUM!</v>
      </c>
      <c r="T23" s="266" t="s">
        <v>101</v>
      </c>
      <c r="U23" s="37">
        <v>7</v>
      </c>
      <c r="V23" t="s">
        <v>101</v>
      </c>
      <c r="W23" s="2"/>
      <c r="Z23" s="266"/>
    </row>
    <row r="24" spans="1:42" ht="14.25" x14ac:dyDescent="0.25">
      <c r="B24" s="13"/>
      <c r="C24" s="2"/>
      <c r="D24" s="4" t="s">
        <v>243</v>
      </c>
      <c r="E24" s="174">
        <f ca="1">(E12*E14*E13*E17*((2*E19)+1)*((2*E20)+1))/(E16*E15*E18*((2*E22)+1)*((2*E21)+1))</f>
        <v>4.3139097744360899E-4</v>
      </c>
      <c r="F24" s="2" t="s">
        <v>526</v>
      </c>
      <c r="G24" s="14"/>
      <c r="R24" s="15"/>
      <c r="S24" s="2"/>
      <c r="T24" s="2"/>
      <c r="U24" s="2"/>
      <c r="V24" s="2"/>
      <c r="W24" s="2"/>
    </row>
    <row r="25" spans="1:42" x14ac:dyDescent="0.2">
      <c r="B25" s="15"/>
      <c r="C25" s="16"/>
      <c r="D25" s="16"/>
      <c r="E25" s="16"/>
      <c r="F25" s="16"/>
      <c r="G25" s="17"/>
      <c r="H25" s="2"/>
      <c r="I25" s="2"/>
      <c r="R25" s="326"/>
      <c r="S25" s="327"/>
      <c r="T25" s="327"/>
      <c r="U25" s="327"/>
      <c r="V25" s="327"/>
      <c r="W25" s="328"/>
    </row>
    <row r="26" spans="1:42" x14ac:dyDescent="0.2">
      <c r="R26" s="87"/>
      <c r="S26" s="87"/>
      <c r="T26" s="87"/>
      <c r="U26" s="87"/>
      <c r="V26" s="87"/>
      <c r="W26" s="87"/>
    </row>
    <row r="27" spans="1:42" ht="15.75" x14ac:dyDescent="0.25">
      <c r="B27" s="136" t="s">
        <v>509</v>
      </c>
      <c r="R27" s="87"/>
      <c r="S27" s="87"/>
      <c r="T27" s="87"/>
      <c r="U27" s="87"/>
      <c r="V27" s="87"/>
      <c r="W27" s="87"/>
    </row>
    <row r="28" spans="1:42" x14ac:dyDescent="0.2">
      <c r="A28" s="125"/>
      <c r="B28" s="125"/>
      <c r="C28" s="125"/>
      <c r="D28" s="125"/>
      <c r="E28" s="130"/>
      <c r="F28" s="130"/>
      <c r="G28" s="130"/>
      <c r="H28" s="126"/>
      <c r="I28" s="130"/>
      <c r="J28" s="130"/>
      <c r="K28" s="125"/>
      <c r="L28" s="125"/>
      <c r="M28" s="125"/>
      <c r="N28" s="125"/>
      <c r="O28" s="130"/>
      <c r="P28" s="125"/>
      <c r="R28" s="125"/>
      <c r="S28" s="125"/>
      <c r="T28" s="125"/>
      <c r="U28" s="130"/>
      <c r="V28" s="130"/>
      <c r="W28" s="130"/>
      <c r="AM28" t="s">
        <v>187</v>
      </c>
      <c r="AN28">
        <v>5.5015000000000001</v>
      </c>
    </row>
    <row r="29" spans="1:42" x14ac:dyDescent="0.2">
      <c r="A29" s="125"/>
      <c r="B29" s="58" t="s">
        <v>319</v>
      </c>
      <c r="C29" s="11"/>
      <c r="D29" s="11"/>
      <c r="H29" s="135"/>
      <c r="J29" s="2"/>
      <c r="K29" s="11"/>
      <c r="L29" s="11"/>
      <c r="M29" s="11"/>
      <c r="N29" s="11"/>
      <c r="O29" s="12"/>
      <c r="P29" s="126"/>
      <c r="R29" s="58" t="s">
        <v>319</v>
      </c>
      <c r="S29" s="11"/>
      <c r="T29" s="11"/>
      <c r="AB29" t="s">
        <v>134</v>
      </c>
      <c r="AD29" s="366">
        <v>300000</v>
      </c>
      <c r="AE29" t="s">
        <v>4</v>
      </c>
      <c r="AF29" t="s">
        <v>5</v>
      </c>
      <c r="AM29" t="s">
        <v>188</v>
      </c>
      <c r="AN29">
        <v>2.637</v>
      </c>
    </row>
    <row r="30" spans="1:42" x14ac:dyDescent="0.2">
      <c r="A30" s="125"/>
      <c r="B30" s="13"/>
      <c r="C30" s="2"/>
      <c r="D30" s="2"/>
      <c r="H30" s="135"/>
      <c r="J30" s="2"/>
      <c r="K30" s="2"/>
      <c r="L30" s="2"/>
      <c r="M30" s="2"/>
      <c r="N30" s="2"/>
      <c r="O30" s="14"/>
      <c r="P30" s="126"/>
      <c r="R30" s="13"/>
      <c r="S30" s="2"/>
      <c r="T30" s="2"/>
      <c r="AM30" t="s">
        <v>189</v>
      </c>
      <c r="AN30">
        <v>22</v>
      </c>
    </row>
    <row r="31" spans="1:42" x14ac:dyDescent="0.2">
      <c r="A31" s="125"/>
      <c r="B31" s="13"/>
      <c r="C31" s="2"/>
      <c r="D31" s="2"/>
      <c r="H31" s="135"/>
      <c r="J31" s="2"/>
      <c r="K31" s="2"/>
      <c r="L31" s="2"/>
      <c r="M31" s="2"/>
      <c r="N31" s="2"/>
      <c r="O31" s="14"/>
      <c r="P31" s="126"/>
      <c r="R31" s="13"/>
      <c r="S31" s="2"/>
      <c r="T31" s="2"/>
    </row>
    <row r="32" spans="1:42" ht="16.5" x14ac:dyDescent="0.3">
      <c r="A32" s="125"/>
      <c r="B32" s="167" t="s">
        <v>452</v>
      </c>
      <c r="C32" s="2"/>
      <c r="D32" s="2"/>
      <c r="H32" s="135"/>
      <c r="I32" s="168"/>
      <c r="J32" s="169" t="s">
        <v>453</v>
      </c>
      <c r="K32" s="2"/>
      <c r="L32" s="2"/>
      <c r="M32" s="2"/>
      <c r="N32" s="2"/>
      <c r="O32" s="14"/>
      <c r="P32" s="126"/>
      <c r="R32" s="167" t="s">
        <v>452</v>
      </c>
      <c r="S32" s="2"/>
      <c r="T32" s="2"/>
      <c r="Z32">
        <v>37</v>
      </c>
      <c r="AB32" s="368" t="s">
        <v>131</v>
      </c>
      <c r="AC32" s="369"/>
      <c r="AD32" t="s">
        <v>137</v>
      </c>
      <c r="AE32" s="142">
        <v>1.5589999999999999</v>
      </c>
      <c r="AL32" t="s">
        <v>179</v>
      </c>
      <c r="AN32" s="142"/>
      <c r="AO32">
        <f>(1*21)/(4*18)</f>
        <v>0.29166666666666669</v>
      </c>
      <c r="AP32">
        <f>((2*1/2+1)*(2*3/2+1))/((2*0+1)*(2*0+1))</f>
        <v>8</v>
      </c>
    </row>
    <row r="33" spans="1:64" x14ac:dyDescent="0.2">
      <c r="A33" s="125"/>
      <c r="B33" s="13"/>
      <c r="C33" s="2"/>
      <c r="D33" s="2"/>
      <c r="H33" s="135"/>
      <c r="I33" s="2"/>
      <c r="J33" s="2"/>
      <c r="K33" s="2"/>
      <c r="L33" s="2"/>
      <c r="M33" s="2"/>
      <c r="N33" s="2"/>
      <c r="O33" s="14"/>
      <c r="P33" s="126"/>
      <c r="R33" s="13"/>
      <c r="S33" s="2"/>
      <c r="T33" s="2"/>
      <c r="Z33" t="s">
        <v>6</v>
      </c>
      <c r="AA33" s="21" t="s">
        <v>139</v>
      </c>
      <c r="AB33" s="21" t="s">
        <v>136</v>
      </c>
      <c r="AC33" s="21" t="s">
        <v>135</v>
      </c>
      <c r="AD33" s="21" t="s">
        <v>132</v>
      </c>
      <c r="AE33" s="21" t="s">
        <v>133</v>
      </c>
      <c r="AF33" s="21" t="s">
        <v>2</v>
      </c>
      <c r="AG33" s="21" t="s">
        <v>138</v>
      </c>
      <c r="AH33" s="21" t="s">
        <v>1</v>
      </c>
      <c r="AN33" s="142"/>
      <c r="AO33" t="s">
        <v>180</v>
      </c>
      <c r="AP33" t="s">
        <v>181</v>
      </c>
    </row>
    <row r="34" spans="1:64" ht="14.25" x14ac:dyDescent="0.25">
      <c r="A34" s="125"/>
      <c r="B34" s="47" t="s">
        <v>512</v>
      </c>
      <c r="C34" s="2" t="s">
        <v>514</v>
      </c>
      <c r="D34" s="2"/>
      <c r="H34" s="135"/>
      <c r="I34" s="2"/>
      <c r="J34" s="4" t="s">
        <v>512</v>
      </c>
      <c r="K34" s="2" t="s">
        <v>514</v>
      </c>
      <c r="L34" s="2"/>
      <c r="M34" s="2"/>
      <c r="N34" s="2"/>
      <c r="O34" s="14"/>
      <c r="P34" s="126"/>
      <c r="R34" s="47" t="s">
        <v>512</v>
      </c>
      <c r="S34" s="2" t="s">
        <v>514</v>
      </c>
      <c r="T34" s="2"/>
      <c r="Z34" t="s">
        <v>46</v>
      </c>
      <c r="AA34" s="21" t="s">
        <v>140</v>
      </c>
      <c r="AB34" s="21" t="s">
        <v>46</v>
      </c>
      <c r="AC34" s="21" t="s">
        <v>46</v>
      </c>
      <c r="AD34" s="21" t="s">
        <v>0</v>
      </c>
      <c r="AE34" s="21" t="s">
        <v>344</v>
      </c>
      <c r="AF34" s="21" t="s">
        <v>3</v>
      </c>
      <c r="AG34" s="21" t="s">
        <v>349</v>
      </c>
      <c r="AH34" s="21" t="s">
        <v>520</v>
      </c>
      <c r="AN34" s="142"/>
      <c r="BI34">
        <v>1000</v>
      </c>
      <c r="BJ34" t="s">
        <v>129</v>
      </c>
    </row>
    <row r="35" spans="1:64" ht="14.25" x14ac:dyDescent="0.25">
      <c r="A35" s="125"/>
      <c r="B35" s="47" t="s">
        <v>513</v>
      </c>
      <c r="C35" s="2" t="s">
        <v>515</v>
      </c>
      <c r="D35" s="2"/>
      <c r="H35" s="135"/>
      <c r="I35" s="2"/>
      <c r="J35" s="4" t="s">
        <v>513</v>
      </c>
      <c r="K35" s="2" t="s">
        <v>515</v>
      </c>
      <c r="L35" s="2"/>
      <c r="M35" s="2"/>
      <c r="N35" s="2"/>
      <c r="O35" s="14"/>
      <c r="P35" s="126"/>
      <c r="R35" s="47" t="s">
        <v>513</v>
      </c>
      <c r="S35" s="2" t="s">
        <v>515</v>
      </c>
      <c r="T35" s="2"/>
      <c r="Z35" s="364">
        <f>AA35*$Z$32</f>
        <v>180.84200000000001</v>
      </c>
      <c r="AA35" s="382">
        <f>AC35*38/37</f>
        <v>4.8876216216216219</v>
      </c>
      <c r="AB35" s="145">
        <v>3.2</v>
      </c>
      <c r="AC35" s="145">
        <f>AB35+$AE$32</f>
        <v>4.7590000000000003</v>
      </c>
      <c r="AD35" s="384">
        <v>4.1000000000000003E-3</v>
      </c>
      <c r="AE35" s="389">
        <v>0.1</v>
      </c>
      <c r="AF35" s="145">
        <v>10</v>
      </c>
      <c r="AG35" s="382">
        <f>AE35*12*AF35</f>
        <v>12.000000000000002</v>
      </c>
      <c r="AH35" s="390">
        <f>SQRT(AG35)/AG35*100</f>
        <v>28.867513459481287</v>
      </c>
      <c r="AI35" s="364">
        <f>AG35*2</f>
        <v>24.000000000000004</v>
      </c>
      <c r="AK35" s="142" t="s">
        <v>197</v>
      </c>
      <c r="AM35" s="145" t="s">
        <v>182</v>
      </c>
      <c r="AN35" s="145" t="s">
        <v>183</v>
      </c>
      <c r="AO35" s="145" t="s">
        <v>184</v>
      </c>
      <c r="AP35" s="145" t="s">
        <v>185</v>
      </c>
      <c r="AQ35" s="145" t="s">
        <v>74</v>
      </c>
      <c r="AR35" s="142" t="s">
        <v>193</v>
      </c>
      <c r="AS35" s="19" t="s">
        <v>195</v>
      </c>
      <c r="AU35" s="19" t="s">
        <v>92</v>
      </c>
      <c r="BH35" s="374" t="s">
        <v>128</v>
      </c>
    </row>
    <row r="36" spans="1:64" x14ac:dyDescent="0.2">
      <c r="A36" s="125"/>
      <c r="B36" s="47" t="s">
        <v>510</v>
      </c>
      <c r="C36" s="2" t="s">
        <v>516</v>
      </c>
      <c r="D36" s="2"/>
      <c r="H36" s="135"/>
      <c r="I36" s="2"/>
      <c r="J36" s="4" t="s">
        <v>522</v>
      </c>
      <c r="K36" s="2" t="s">
        <v>523</v>
      </c>
      <c r="L36" s="2"/>
      <c r="M36" s="2"/>
      <c r="N36" s="2"/>
      <c r="O36" s="14"/>
      <c r="P36" s="126"/>
      <c r="R36" s="47" t="s">
        <v>510</v>
      </c>
      <c r="S36" s="2" t="s">
        <v>516</v>
      </c>
      <c r="T36" s="2"/>
      <c r="Z36" s="364">
        <f>AA36*$Z$32</f>
        <v>188.44199999999998</v>
      </c>
      <c r="AA36" s="382">
        <f>AC36*38/37</f>
        <v>5.0930270270270261</v>
      </c>
      <c r="AB36" s="145">
        <v>3.4</v>
      </c>
      <c r="AC36" s="145">
        <f>AB36+$AE$32</f>
        <v>4.9589999999999996</v>
      </c>
      <c r="AD36" s="384">
        <v>8.0999999999999996E-3</v>
      </c>
      <c r="AE36" s="389">
        <v>0.188</v>
      </c>
      <c r="AF36" s="145">
        <v>5</v>
      </c>
      <c r="AG36" s="382">
        <f>AE36*12*AF36</f>
        <v>11.280000000000001</v>
      </c>
      <c r="AH36" s="390">
        <f>SQRT(AG36)/AG36*100</f>
        <v>29.774566708770678</v>
      </c>
      <c r="AI36" s="364">
        <f>AG36*2</f>
        <v>22.560000000000002</v>
      </c>
      <c r="AK36" s="142" t="s">
        <v>526</v>
      </c>
      <c r="AM36" s="145" t="s">
        <v>186</v>
      </c>
      <c r="AN36" s="145"/>
      <c r="AO36" s="145" t="s">
        <v>186</v>
      </c>
      <c r="AP36" s="292"/>
      <c r="AQ36" s="145" t="s">
        <v>526</v>
      </c>
      <c r="AR36" s="142" t="s">
        <v>194</v>
      </c>
      <c r="AS36" s="142" t="s">
        <v>196</v>
      </c>
      <c r="AU36" s="313" t="s">
        <v>171</v>
      </c>
      <c r="BH36" s="363" t="s">
        <v>51</v>
      </c>
      <c r="BI36" s="363" t="s">
        <v>127</v>
      </c>
      <c r="BJ36" s="363" t="s">
        <v>53</v>
      </c>
      <c r="BK36" s="21" t="s">
        <v>127</v>
      </c>
      <c r="BL36" s="375" t="s">
        <v>53</v>
      </c>
    </row>
    <row r="37" spans="1:64" x14ac:dyDescent="0.2">
      <c r="A37" s="125"/>
      <c r="B37" s="47" t="s">
        <v>511</v>
      </c>
      <c r="C37" s="2" t="s">
        <v>517</v>
      </c>
      <c r="D37" s="2"/>
      <c r="H37" s="135"/>
      <c r="I37" s="2"/>
      <c r="J37" s="4" t="s">
        <v>524</v>
      </c>
      <c r="K37" s="2" t="s">
        <v>525</v>
      </c>
      <c r="L37" s="2"/>
      <c r="M37" s="2"/>
      <c r="N37" s="2"/>
      <c r="O37" s="14"/>
      <c r="P37" s="126"/>
      <c r="R37" s="47" t="s">
        <v>511</v>
      </c>
      <c r="S37" s="2" t="s">
        <v>178</v>
      </c>
      <c r="T37" s="2"/>
      <c r="Z37" s="364">
        <f>AA37*$Z$32</f>
        <v>196.042</v>
      </c>
      <c r="AA37" s="382">
        <f>AC37*38/37</f>
        <v>5.2984324324324321</v>
      </c>
      <c r="AB37" s="145">
        <v>3.6</v>
      </c>
      <c r="AC37" s="145">
        <f>AB37+$AE$32</f>
        <v>5.1589999999999998</v>
      </c>
      <c r="AD37" s="384">
        <v>0.02</v>
      </c>
      <c r="AE37" s="389">
        <v>0.5</v>
      </c>
      <c r="AF37" s="145">
        <v>2</v>
      </c>
      <c r="AG37" s="382">
        <f>AE37*12*AF37</f>
        <v>12</v>
      </c>
      <c r="AH37" s="390">
        <f>SQRT(AG37)/AG37*100</f>
        <v>28.867513459481287</v>
      </c>
      <c r="AI37" s="364">
        <f>AG37*2</f>
        <v>24</v>
      </c>
      <c r="AM37" s="142"/>
      <c r="AN37" s="142"/>
      <c r="AO37" s="142"/>
      <c r="AR37" s="142"/>
      <c r="AS37" s="142"/>
      <c r="AU37" s="313"/>
      <c r="BH37" s="21" t="s">
        <v>46</v>
      </c>
      <c r="BI37" s="21" t="s">
        <v>47</v>
      </c>
      <c r="BJ37" s="21" t="s">
        <v>47</v>
      </c>
      <c r="BK37" s="21" t="s">
        <v>52</v>
      </c>
      <c r="BL37" s="21" t="s">
        <v>52</v>
      </c>
    </row>
    <row r="38" spans="1:64" x14ac:dyDescent="0.2">
      <c r="A38" s="125"/>
      <c r="B38" s="13"/>
      <c r="C38" s="2"/>
      <c r="D38" s="2"/>
      <c r="H38" s="135"/>
      <c r="I38" s="2"/>
      <c r="J38" s="4" t="s">
        <v>511</v>
      </c>
      <c r="K38" s="2" t="s">
        <v>517</v>
      </c>
      <c r="L38" s="2"/>
      <c r="M38" s="2"/>
      <c r="N38" s="2"/>
      <c r="O38" s="14"/>
      <c r="P38" s="126"/>
      <c r="R38" s="13"/>
      <c r="S38" s="2"/>
      <c r="T38" s="2"/>
      <c r="Z38" s="364">
        <f>AA38*$Z$32</f>
        <v>203.642</v>
      </c>
      <c r="AA38" s="382">
        <f>AC38*38/37</f>
        <v>5.5038378378378381</v>
      </c>
      <c r="AB38" s="145">
        <v>3.8</v>
      </c>
      <c r="AC38" s="145">
        <f>AB38+$AE$32</f>
        <v>5.359</v>
      </c>
      <c r="AD38" s="384">
        <v>4.8000000000000001E-2</v>
      </c>
      <c r="AE38" s="389">
        <v>1.1000000000000001</v>
      </c>
      <c r="AF38" s="145">
        <v>1</v>
      </c>
      <c r="AG38" s="382">
        <f>AE38*12*AF38</f>
        <v>13.200000000000001</v>
      </c>
      <c r="AH38" s="390">
        <f>SQRT(AG38)/AG38*100</f>
        <v>27.524094128159014</v>
      </c>
      <c r="AI38" s="364">
        <f>AG38*2</f>
        <v>26.400000000000002</v>
      </c>
      <c r="AK38" s="316">
        <v>2</v>
      </c>
      <c r="AL38" s="142">
        <v>1</v>
      </c>
      <c r="AM38" s="49">
        <f>AO38-$AN$29</f>
        <v>2.5284999999999997</v>
      </c>
      <c r="AN38" s="303">
        <v>10.667</v>
      </c>
      <c r="AO38" s="49">
        <f>AN38-$AN$28</f>
        <v>5.1654999999999998</v>
      </c>
      <c r="AP38" s="310">
        <f>AO32*AP32*AO38/AM38</f>
        <v>4.766791905609387</v>
      </c>
      <c r="AQ38" s="363">
        <f>AK38/AP38</f>
        <v>0.41956939585436337</v>
      </c>
      <c r="AR38" s="21">
        <v>65</v>
      </c>
      <c r="AS38" s="317">
        <v>3</v>
      </c>
      <c r="AT38" s="311">
        <v>7</v>
      </c>
      <c r="AU38" s="364">
        <v>330</v>
      </c>
      <c r="BH38" s="303">
        <v>0.28754999999999997</v>
      </c>
      <c r="BI38" s="367">
        <f>BK38*$BI$34</f>
        <v>1.5810000000000001E-17</v>
      </c>
      <c r="BJ38" s="367">
        <f>BL38*$BI$34</f>
        <v>9.7979999999999998E-18</v>
      </c>
      <c r="BK38" s="266">
        <v>1.581E-20</v>
      </c>
      <c r="BL38" s="372">
        <v>9.7980000000000002E-21</v>
      </c>
    </row>
    <row r="39" spans="1:64" x14ac:dyDescent="0.2">
      <c r="A39" s="125"/>
      <c r="B39" s="13"/>
      <c r="C39" s="2"/>
      <c r="D39" s="2"/>
      <c r="H39" s="135"/>
      <c r="I39" s="2"/>
      <c r="J39" s="2"/>
      <c r="K39" s="2"/>
      <c r="L39" s="2"/>
      <c r="M39" s="2"/>
      <c r="N39" s="2"/>
      <c r="O39" s="14"/>
      <c r="P39" s="126"/>
      <c r="R39" s="13"/>
      <c r="S39" s="2"/>
      <c r="T39" s="2"/>
      <c r="AB39" s="142"/>
      <c r="AD39" s="142"/>
      <c r="AF39" s="386">
        <f>SUM(AF35:AF38)</f>
        <v>18</v>
      </c>
      <c r="AK39" s="316">
        <v>0.36</v>
      </c>
      <c r="AL39" s="142">
        <v>2</v>
      </c>
      <c r="AM39" s="49">
        <f>AO39-$AN$29</f>
        <v>1.9484999999999997</v>
      </c>
      <c r="AN39" s="303">
        <v>10.087</v>
      </c>
      <c r="AO39" s="49">
        <f>AN39-$AN$28</f>
        <v>4.5854999999999997</v>
      </c>
      <c r="AP39" s="318">
        <f>$AO$32*$AP$32*AO39/AM39</f>
        <v>5.4911470361816797</v>
      </c>
      <c r="AQ39" s="363">
        <f>AK39/AP39</f>
        <v>6.5560072900602812E-2</v>
      </c>
      <c r="AR39" s="21">
        <v>25</v>
      </c>
      <c r="AS39" s="317">
        <v>5</v>
      </c>
      <c r="AT39" s="311">
        <v>11</v>
      </c>
      <c r="AU39" s="364">
        <v>500</v>
      </c>
      <c r="BH39" s="303">
        <v>0.29987000000000003</v>
      </c>
      <c r="BI39" s="367">
        <f t="shared" ref="BI39:BI70" si="2">BK39*$BI$34</f>
        <v>6.0210000000000009E-17</v>
      </c>
      <c r="BJ39" s="367">
        <f t="shared" ref="BJ39:BJ95" si="3">BL39*$BI$34</f>
        <v>3.7439999999999998E-17</v>
      </c>
      <c r="BK39" s="266">
        <v>6.0210000000000005E-20</v>
      </c>
      <c r="BL39" s="372">
        <v>3.7439999999999998E-20</v>
      </c>
    </row>
    <row r="40" spans="1:64" ht="14.25" x14ac:dyDescent="0.25">
      <c r="A40" s="125"/>
      <c r="B40" s="13"/>
      <c r="C40" s="2"/>
      <c r="D40" s="2"/>
      <c r="E40" s="2"/>
      <c r="F40" s="2"/>
      <c r="G40" s="2"/>
      <c r="H40" s="135"/>
      <c r="I40" s="2"/>
      <c r="J40" s="4" t="s">
        <v>512</v>
      </c>
      <c r="K40" s="41">
        <v>10000000000</v>
      </c>
      <c r="L40" s="84" t="s">
        <v>518</v>
      </c>
      <c r="M40" s="41">
        <v>2.0000000000000001E-4</v>
      </c>
      <c r="N40" s="84" t="s">
        <v>341</v>
      </c>
      <c r="O40" s="14"/>
      <c r="P40" s="132"/>
      <c r="R40" s="47" t="s">
        <v>176</v>
      </c>
      <c r="S40" s="173">
        <v>100</v>
      </c>
      <c r="T40" s="2" t="s">
        <v>520</v>
      </c>
      <c r="U40" s="2"/>
      <c r="V40" s="2"/>
      <c r="W40" s="2"/>
      <c r="AB40" s="142"/>
      <c r="AC40" s="142"/>
      <c r="AK40" s="303">
        <v>0.1</v>
      </c>
      <c r="AL40" s="142"/>
      <c r="AM40" s="309">
        <f>AO40-$AN$29</f>
        <v>1.7225000000000006</v>
      </c>
      <c r="AN40" s="303">
        <v>9.8610000000000007</v>
      </c>
      <c r="AO40" s="309">
        <f>AN40-$AN$28</f>
        <v>4.3595000000000006</v>
      </c>
      <c r="AP40" s="310">
        <f>$AO$32*$AP$32*AO40/AM40</f>
        <v>5.9054668601838411</v>
      </c>
      <c r="AQ40" s="310"/>
      <c r="AR40" s="142"/>
      <c r="AS40" s="142" t="s">
        <v>175</v>
      </c>
      <c r="AU40" s="364"/>
      <c r="BH40" s="303">
        <v>0.31281999999999999</v>
      </c>
      <c r="BI40" s="367">
        <f t="shared" si="2"/>
        <v>2.251E-16</v>
      </c>
      <c r="BJ40" s="367">
        <f t="shared" si="3"/>
        <v>1.3969999999999998E-16</v>
      </c>
      <c r="BK40" s="266">
        <v>2.2510000000000001E-19</v>
      </c>
      <c r="BL40" s="372">
        <v>1.3969999999999999E-19</v>
      </c>
    </row>
    <row r="41" spans="1:64" ht="15" x14ac:dyDescent="0.25">
      <c r="A41" s="125"/>
      <c r="B41" s="47" t="s">
        <v>512</v>
      </c>
      <c r="C41" s="41">
        <v>893000</v>
      </c>
      <c r="D41" s="84" t="s">
        <v>518</v>
      </c>
      <c r="E41" s="41">
        <f>C41*0.0000000000000000001</f>
        <v>8.9299999999999996E-14</v>
      </c>
      <c r="F41" s="84" t="s">
        <v>341</v>
      </c>
      <c r="G41" s="87"/>
      <c r="H41" s="135"/>
      <c r="I41" s="2"/>
      <c r="J41" s="4" t="s">
        <v>513</v>
      </c>
      <c r="K41" s="41">
        <v>1E+18</v>
      </c>
      <c r="L41" s="84" t="s">
        <v>519</v>
      </c>
      <c r="M41" s="2"/>
      <c r="N41" s="2"/>
      <c r="O41" s="14"/>
      <c r="P41" s="126"/>
      <c r="R41" s="47" t="s">
        <v>512</v>
      </c>
      <c r="S41" s="41">
        <v>770000</v>
      </c>
      <c r="T41" s="84" t="s">
        <v>518</v>
      </c>
      <c r="U41" s="41">
        <f>S41*0.0000000000000000001</f>
        <v>7.7E-14</v>
      </c>
      <c r="V41" s="84" t="s">
        <v>341</v>
      </c>
      <c r="W41" s="87"/>
      <c r="AK41" s="316">
        <v>7.0000000000000007E-2</v>
      </c>
      <c r="AL41" s="142">
        <v>3</v>
      </c>
      <c r="AM41" s="309"/>
      <c r="AN41" s="303"/>
      <c r="AO41" s="49">
        <v>4.3</v>
      </c>
      <c r="AP41" s="318">
        <v>6</v>
      </c>
      <c r="AQ41" s="363">
        <f>AK41/AP41</f>
        <v>1.1666666666666667E-2</v>
      </c>
      <c r="AR41" s="21">
        <v>4</v>
      </c>
      <c r="AS41" s="317">
        <v>12</v>
      </c>
      <c r="AT41" s="311">
        <v>14</v>
      </c>
      <c r="AU41" s="364">
        <v>500</v>
      </c>
      <c r="BH41" s="303">
        <v>0.32644000000000001</v>
      </c>
      <c r="BI41" s="367">
        <f t="shared" si="2"/>
        <v>8.2510000000000004E-16</v>
      </c>
      <c r="BJ41" s="367">
        <f t="shared" si="3"/>
        <v>5.1139999999999999E-16</v>
      </c>
      <c r="BK41" s="266">
        <v>8.2510000000000004E-19</v>
      </c>
      <c r="BL41" s="372">
        <v>5.1140000000000003E-19</v>
      </c>
    </row>
    <row r="42" spans="1:64" ht="15" x14ac:dyDescent="0.25">
      <c r="A42" s="125"/>
      <c r="B42" s="47" t="s">
        <v>513</v>
      </c>
      <c r="C42" s="41">
        <f ca="1">Target!D17</f>
        <v>1.2229773920337059E+17</v>
      </c>
      <c r="D42" s="84" t="s">
        <v>519</v>
      </c>
      <c r="E42" s="2"/>
      <c r="F42" s="2"/>
      <c r="G42" s="87"/>
      <c r="H42" s="135"/>
      <c r="I42" s="2"/>
      <c r="J42" s="4" t="s">
        <v>522</v>
      </c>
      <c r="K42" s="41">
        <v>7.0999999999999994E-2</v>
      </c>
      <c r="L42" s="84" t="s">
        <v>527</v>
      </c>
      <c r="M42" s="2"/>
      <c r="N42" s="2"/>
      <c r="O42" s="14"/>
      <c r="P42" s="126"/>
      <c r="R42" s="47" t="s">
        <v>513</v>
      </c>
      <c r="S42" s="41">
        <f ca="1">Target!D17</f>
        <v>1.2229773920337059E+17</v>
      </c>
      <c r="T42" s="84" t="s">
        <v>519</v>
      </c>
      <c r="U42" s="2">
        <f>Target!D9</f>
        <v>40</v>
      </c>
      <c r="V42" s="2" t="s">
        <v>71</v>
      </c>
      <c r="W42" s="87"/>
      <c r="AK42" s="142">
        <v>2.8000000000000001E-2</v>
      </c>
      <c r="AL42" s="142"/>
      <c r="AM42" s="309">
        <f>AO42-$AN$29</f>
        <v>1.6135000000000006</v>
      </c>
      <c r="AN42" s="303">
        <v>9.7520000000000007</v>
      </c>
      <c r="AO42" s="309">
        <f>AN42-$AN$28</f>
        <v>4.2505000000000006</v>
      </c>
      <c r="AP42" s="310">
        <f>$AO$32*$AP$32*AO42/AM42</f>
        <v>6.1467823571945042</v>
      </c>
      <c r="AQ42" s="365"/>
      <c r="AR42" s="142"/>
      <c r="AS42" s="142"/>
      <c r="AU42" s="364"/>
      <c r="BH42" s="303">
        <v>0.34075</v>
      </c>
      <c r="BI42" s="367">
        <f t="shared" si="2"/>
        <v>2.9659999999999997E-15</v>
      </c>
      <c r="BJ42" s="367">
        <f t="shared" si="3"/>
        <v>1.835E-15</v>
      </c>
      <c r="BK42" s="266">
        <v>2.9659999999999999E-18</v>
      </c>
      <c r="BL42" s="372">
        <v>1.8349999999999999E-18</v>
      </c>
    </row>
    <row r="43" spans="1:64" x14ac:dyDescent="0.2">
      <c r="A43" s="125"/>
      <c r="B43" s="47" t="s">
        <v>510</v>
      </c>
      <c r="C43" s="41">
        <v>4.8000000000000001E-2</v>
      </c>
      <c r="D43" s="84" t="s">
        <v>526</v>
      </c>
      <c r="E43" s="2"/>
      <c r="F43" s="2"/>
      <c r="G43" s="87"/>
      <c r="H43" s="135"/>
      <c r="I43" s="2"/>
      <c r="J43" s="4" t="s">
        <v>524</v>
      </c>
      <c r="K43" s="37">
        <v>3.14</v>
      </c>
      <c r="L43" s="84" t="s">
        <v>528</v>
      </c>
      <c r="M43" s="2"/>
      <c r="N43" s="2"/>
      <c r="O43" s="14"/>
      <c r="P43" s="126"/>
      <c r="R43" s="47" t="s">
        <v>190</v>
      </c>
      <c r="S43" s="82">
        <f>AD36</f>
        <v>8.0999999999999996E-3</v>
      </c>
      <c r="T43" s="84" t="s">
        <v>526</v>
      </c>
      <c r="U43" s="308" t="s">
        <v>177</v>
      </c>
      <c r="V43" s="2"/>
      <c r="W43" s="4" t="s">
        <v>191</v>
      </c>
      <c r="X43" s="174">
        <f>S43*AP38</f>
        <v>3.8611014435436034E-2</v>
      </c>
      <c r="Y43" t="s">
        <v>526</v>
      </c>
      <c r="Z43" s="87"/>
      <c r="AC43" t="s">
        <v>80</v>
      </c>
      <c r="AD43" s="383">
        <v>1.0999999999999999E-2</v>
      </c>
      <c r="AE43" s="145">
        <v>0.3</v>
      </c>
      <c r="AG43" s="142">
        <v>42</v>
      </c>
      <c r="AH43" s="19">
        <v>15</v>
      </c>
      <c r="AK43" s="142"/>
      <c r="AL43" s="142"/>
      <c r="AM43" s="309">
        <f>AO43-$AN$29</f>
        <v>1.4074999999999993</v>
      </c>
      <c r="AN43" s="303">
        <v>9.5459999999999994</v>
      </c>
      <c r="AO43" s="309">
        <f>AN43-$AN$28</f>
        <v>4.0444999999999993</v>
      </c>
      <c r="AP43" s="310">
        <f>$AO$32*$AP$32*AO43/AM43</f>
        <v>6.7049141503848464</v>
      </c>
      <c r="AQ43" s="365"/>
      <c r="AR43" s="142"/>
      <c r="AS43" s="142"/>
      <c r="AU43" s="364"/>
      <c r="BH43" s="303">
        <v>0.35579</v>
      </c>
      <c r="BI43" s="367">
        <f t="shared" si="2"/>
        <v>1.0439999999999999E-14</v>
      </c>
      <c r="BJ43" s="367">
        <f t="shared" si="3"/>
        <v>6.4449999999999996E-15</v>
      </c>
      <c r="BK43" s="266">
        <v>1.044E-17</v>
      </c>
      <c r="BL43" s="372">
        <v>6.445E-18</v>
      </c>
    </row>
    <row r="44" spans="1:64" x14ac:dyDescent="0.2">
      <c r="A44" s="125"/>
      <c r="B44" s="47" t="s">
        <v>511</v>
      </c>
      <c r="C44" s="37">
        <v>50</v>
      </c>
      <c r="D44" s="84" t="s">
        <v>520</v>
      </c>
      <c r="E44" s="2"/>
      <c r="F44" s="2"/>
      <c r="G44" s="87"/>
      <c r="H44" s="135"/>
      <c r="I44" s="2"/>
      <c r="J44" s="4" t="s">
        <v>511</v>
      </c>
      <c r="K44" s="37">
        <v>85</v>
      </c>
      <c r="L44" s="84" t="s">
        <v>520</v>
      </c>
      <c r="M44" s="2"/>
      <c r="N44" s="2"/>
      <c r="O44" s="14"/>
      <c r="P44" s="126"/>
      <c r="R44" s="47" t="s">
        <v>511</v>
      </c>
      <c r="S44" s="37">
        <v>50</v>
      </c>
      <c r="T44" s="84" t="s">
        <v>520</v>
      </c>
      <c r="U44" s="2"/>
      <c r="V44" s="2"/>
      <c r="W44" s="87"/>
      <c r="Z44" s="87"/>
      <c r="AA44" s="87"/>
      <c r="AB44" s="87"/>
      <c r="AC44" s="87"/>
      <c r="AD44" s="384">
        <v>2.4E-2</v>
      </c>
      <c r="AE44" s="145">
        <v>0.6</v>
      </c>
      <c r="AF44" s="87"/>
      <c r="AG44" s="19">
        <v>30</v>
      </c>
      <c r="AH44" s="19">
        <v>18</v>
      </c>
      <c r="AK44" s="317">
        <v>8.9999999999999993E-3</v>
      </c>
      <c r="AL44" s="142">
        <v>4</v>
      </c>
      <c r="AM44" s="309"/>
      <c r="AN44" s="303"/>
      <c r="AO44" s="49">
        <v>4</v>
      </c>
      <c r="AP44" s="310">
        <v>6.8</v>
      </c>
      <c r="AQ44" s="54">
        <f>AK44/AP44</f>
        <v>1.3235294117647058E-3</v>
      </c>
      <c r="AR44" s="21">
        <v>0.5</v>
      </c>
      <c r="AS44" s="317">
        <v>24</v>
      </c>
      <c r="AT44" s="311">
        <v>41</v>
      </c>
      <c r="AU44" s="364"/>
      <c r="BH44" s="303">
        <v>0.37159999999999999</v>
      </c>
      <c r="BI44" s="367">
        <f t="shared" si="2"/>
        <v>3.6040000000000003E-14</v>
      </c>
      <c r="BJ44" s="367">
        <f t="shared" si="3"/>
        <v>2.2199999999999999E-14</v>
      </c>
      <c r="BK44" s="266">
        <v>3.6040000000000002E-17</v>
      </c>
      <c r="BL44" s="372">
        <v>2.2199999999999999E-17</v>
      </c>
    </row>
    <row r="45" spans="1:64" x14ac:dyDescent="0.2">
      <c r="A45" s="125"/>
      <c r="B45" s="47" t="s">
        <v>49</v>
      </c>
      <c r="C45" s="37">
        <v>100</v>
      </c>
      <c r="D45" s="83" t="s">
        <v>520</v>
      </c>
      <c r="E45" s="2"/>
      <c r="F45" s="2"/>
      <c r="G45" s="2"/>
      <c r="H45" s="135"/>
      <c r="I45" s="2"/>
      <c r="J45" s="2"/>
      <c r="K45" s="2"/>
      <c r="L45" s="2"/>
      <c r="M45" s="2"/>
      <c r="N45" s="2"/>
      <c r="O45" s="14"/>
      <c r="P45" s="126"/>
      <c r="R45" s="13"/>
      <c r="S45" s="2"/>
      <c r="T45" s="2"/>
      <c r="U45" s="2"/>
      <c r="V45" s="2"/>
      <c r="W45" s="2"/>
      <c r="Z45" s="87"/>
      <c r="AA45" s="87"/>
      <c r="AB45" s="87"/>
      <c r="AC45" s="87"/>
      <c r="AD45" s="384">
        <v>5.5E-2</v>
      </c>
      <c r="AE45" s="382">
        <v>1.3</v>
      </c>
      <c r="AF45" s="19"/>
      <c r="AG45" s="19">
        <v>33</v>
      </c>
      <c r="AH45" s="19">
        <v>17</v>
      </c>
      <c r="AK45" s="142"/>
      <c r="AL45" s="142"/>
      <c r="AM45" s="309">
        <f>AO45-$AN$29</f>
        <v>1.3535000000000008</v>
      </c>
      <c r="AN45" s="303">
        <v>9.4920000000000009</v>
      </c>
      <c r="AO45" s="309">
        <f>AN45-$AN$28</f>
        <v>3.9905000000000008</v>
      </c>
      <c r="AP45" s="310">
        <f>$AO$32*$AP$32*AO45/AM45</f>
        <v>6.8793252062553849</v>
      </c>
      <c r="AQ45" s="365"/>
      <c r="AR45" s="142"/>
      <c r="AS45" s="142"/>
      <c r="AU45" s="364"/>
      <c r="BH45" s="303">
        <v>0.38822000000000001</v>
      </c>
      <c r="BI45" s="367">
        <f t="shared" si="2"/>
        <v>1.2189999999999999E-13</v>
      </c>
      <c r="BJ45" s="367">
        <f t="shared" si="3"/>
        <v>7.4889999999999997E-14</v>
      </c>
      <c r="BK45" s="266">
        <v>1.2189999999999999E-16</v>
      </c>
      <c r="BL45" s="372">
        <v>7.4889999999999995E-17</v>
      </c>
    </row>
    <row r="46" spans="1:64" x14ac:dyDescent="0.2">
      <c r="A46" s="125"/>
      <c r="B46" s="47" t="s">
        <v>521</v>
      </c>
      <c r="C46" s="82">
        <f ca="1">(C41*C42*10000*C43*1E-28*0.001*(C44/100))</f>
        <v>2.621085146606639E-6</v>
      </c>
      <c r="D46" s="84" t="s">
        <v>343</v>
      </c>
      <c r="E46" s="82">
        <f ca="1">(C42*10000*C43*1E-28*0.001*(C44/100))/(E41*1.6E-19)</f>
        <v>2.0542733348830449E+20</v>
      </c>
      <c r="F46" s="84" t="s">
        <v>342</v>
      </c>
      <c r="G46" s="2"/>
      <c r="H46" s="135"/>
      <c r="I46" s="2"/>
      <c r="J46" s="4" t="s">
        <v>521</v>
      </c>
      <c r="K46" s="82">
        <f>(K40*K41*10000*K42*1E-28*0.001*K43*(K44/100))</f>
        <v>1.8949899999999995</v>
      </c>
      <c r="L46" s="84" t="s">
        <v>345</v>
      </c>
      <c r="M46" s="42">
        <f>((M40/1.6E-19)*K41*10000*K42*1E-28*0.001*K43*(K44/100))</f>
        <v>236873.75</v>
      </c>
      <c r="N46" s="84" t="s">
        <v>342</v>
      </c>
      <c r="O46" s="14"/>
      <c r="P46" s="132"/>
      <c r="R46" s="47" t="s">
        <v>521</v>
      </c>
      <c r="S46" s="307">
        <v>0</v>
      </c>
      <c r="T46" s="84" t="s">
        <v>343</v>
      </c>
      <c r="U46" s="82">
        <f ca="1">(S42*10000*S43*1E-28*0.001*(S44/100))/(U41*1.6E-19)</f>
        <v>4.0203396410198942E+19</v>
      </c>
      <c r="V46" s="84" t="s">
        <v>342</v>
      </c>
      <c r="W46" s="2"/>
      <c r="Z46" s="87"/>
      <c r="AA46" s="87"/>
      <c r="AB46" s="106"/>
      <c r="AC46" s="370"/>
      <c r="AD46" s="384">
        <v>0.15</v>
      </c>
      <c r="AE46" s="145">
        <v>3.5</v>
      </c>
      <c r="AF46" s="87"/>
      <c r="AG46" s="19">
        <v>30</v>
      </c>
      <c r="AH46" s="19">
        <v>18</v>
      </c>
      <c r="AK46" s="317">
        <v>1E-3</v>
      </c>
      <c r="AL46" s="142">
        <v>5</v>
      </c>
      <c r="AM46" s="49">
        <f>AO46-$AN$29</f>
        <v>1.1764999999999994</v>
      </c>
      <c r="AN46" s="303">
        <v>9.3149999999999995</v>
      </c>
      <c r="AO46" s="49">
        <f>AN46-$AN$28</f>
        <v>3.8134999999999994</v>
      </c>
      <c r="AP46" s="310">
        <f>$AO$32*$AP$32*AO46/AM46</f>
        <v>7.5632525853520365</v>
      </c>
      <c r="AQ46" s="54">
        <f>AK46/AP46</f>
        <v>1.3221824720448027E-4</v>
      </c>
      <c r="AR46" s="21">
        <v>0.05</v>
      </c>
      <c r="AS46" s="142">
        <v>84</v>
      </c>
      <c r="AU46" s="364"/>
      <c r="BH46" s="303">
        <v>0.40569</v>
      </c>
      <c r="BI46" s="367">
        <f t="shared" si="2"/>
        <v>4.0380000000000001E-13</v>
      </c>
      <c r="BJ46" s="367">
        <f t="shared" si="3"/>
        <v>2.4739999999999999E-13</v>
      </c>
      <c r="BK46" s="266">
        <v>4.0380000000000002E-16</v>
      </c>
      <c r="BL46" s="372">
        <v>2.4739999999999999E-16</v>
      </c>
    </row>
    <row r="47" spans="1:64" x14ac:dyDescent="0.2">
      <c r="A47" s="125"/>
      <c r="B47" s="13"/>
      <c r="C47" s="80">
        <f ca="1">C46*3600</f>
        <v>9.4359065277839008E-3</v>
      </c>
      <c r="D47" s="84" t="s">
        <v>344</v>
      </c>
      <c r="E47" s="2"/>
      <c r="F47" s="2"/>
      <c r="G47" s="2"/>
      <c r="H47" s="135"/>
      <c r="I47" s="2"/>
      <c r="J47" s="2"/>
      <c r="K47" s="42">
        <f>(K40*K41*10000*K42*1E-28*0.001*K43*(K44/100))*3600</f>
        <v>6821.9639999999981</v>
      </c>
      <c r="L47" s="84" t="s">
        <v>346</v>
      </c>
      <c r="M47" s="2"/>
      <c r="N47" s="2"/>
      <c r="O47" s="14"/>
      <c r="P47" s="126"/>
      <c r="R47" s="13"/>
      <c r="S47" s="312"/>
      <c r="T47" s="84" t="s">
        <v>344</v>
      </c>
      <c r="U47" s="2"/>
      <c r="V47" s="2"/>
      <c r="W47" s="2"/>
      <c r="Z47" s="87"/>
      <c r="AA47" s="87"/>
      <c r="AB47" s="106"/>
      <c r="AC47" s="370"/>
      <c r="AD47" s="87"/>
      <c r="AE47" s="87"/>
      <c r="AF47" s="87"/>
      <c r="AG47" s="87"/>
      <c r="AH47" s="87"/>
      <c r="AK47" s="366">
        <v>2.19E-5</v>
      </c>
      <c r="AL47" s="142">
        <v>6</v>
      </c>
      <c r="AM47" s="49">
        <f>AO47-$AN$29</f>
        <v>0.94350000000000067</v>
      </c>
      <c r="AN47" s="195">
        <v>9.0820000000000007</v>
      </c>
      <c r="AO47" s="260">
        <f>AN47-$AN$28</f>
        <v>3.5805000000000007</v>
      </c>
      <c r="AP47" s="218">
        <f>$AO$32*$AP$32*AO47/AM47</f>
        <v>8.8547959724430267</v>
      </c>
      <c r="AQ47" s="121">
        <f>AK47/AP47</f>
        <v>2.4732359806092538E-6</v>
      </c>
      <c r="BH47" s="303">
        <v>0.42404999999999998</v>
      </c>
      <c r="BI47" s="367">
        <f t="shared" si="2"/>
        <v>1.3100000000000001E-12</v>
      </c>
      <c r="BJ47" s="367">
        <f t="shared" si="3"/>
        <v>7.9000000000000007E-13</v>
      </c>
      <c r="BK47" s="266">
        <v>1.31E-15</v>
      </c>
      <c r="BL47" s="372">
        <v>7.9000000000000002E-16</v>
      </c>
    </row>
    <row r="48" spans="1:64" x14ac:dyDescent="0.2">
      <c r="A48" s="125"/>
      <c r="B48" s="13"/>
      <c r="C48" s="2"/>
      <c r="D48" s="2"/>
      <c r="E48" s="2"/>
      <c r="F48" s="2"/>
      <c r="G48" s="2"/>
      <c r="H48" s="135"/>
      <c r="I48" s="2"/>
      <c r="J48" s="2"/>
      <c r="K48" s="2"/>
      <c r="L48" s="2"/>
      <c r="M48" s="2"/>
      <c r="N48" s="2"/>
      <c r="O48" s="14"/>
      <c r="P48" s="126"/>
      <c r="R48" s="13"/>
      <c r="S48" s="2"/>
      <c r="T48" s="2"/>
      <c r="U48" s="2"/>
      <c r="V48" s="2"/>
      <c r="W48" s="2"/>
      <c r="Z48" s="87"/>
      <c r="AA48" s="87"/>
      <c r="AB48" s="106"/>
      <c r="AC48" s="217"/>
      <c r="AD48" s="87"/>
      <c r="AE48" s="87"/>
      <c r="AF48" s="87"/>
      <c r="AG48" s="87"/>
      <c r="AH48" s="87"/>
      <c r="AJ48" t="s">
        <v>130</v>
      </c>
      <c r="AK48" s="376">
        <f>X43/AK47</f>
        <v>1763.0600198829238</v>
      </c>
      <c r="BH48" s="303">
        <v>0.44334000000000001</v>
      </c>
      <c r="BI48" s="367">
        <f t="shared" si="2"/>
        <v>4.16E-12</v>
      </c>
      <c r="BJ48" s="367">
        <f t="shared" si="3"/>
        <v>2.5159999999999998E-12</v>
      </c>
      <c r="BK48" s="266">
        <v>4.1599999999999998E-15</v>
      </c>
      <c r="BL48" s="372">
        <v>2.5159999999999999E-15</v>
      </c>
    </row>
    <row r="49" spans="1:64" x14ac:dyDescent="0.2">
      <c r="A49" s="125"/>
      <c r="B49" s="47" t="s">
        <v>347</v>
      </c>
      <c r="C49" s="37">
        <v>120</v>
      </c>
      <c r="D49" s="83" t="s">
        <v>285</v>
      </c>
      <c r="E49" s="2"/>
      <c r="F49" s="2"/>
      <c r="G49" s="2"/>
      <c r="H49" s="135"/>
      <c r="I49" s="2"/>
      <c r="J49" s="4" t="s">
        <v>347</v>
      </c>
      <c r="K49" s="37">
        <v>120</v>
      </c>
      <c r="L49" s="83" t="s">
        <v>285</v>
      </c>
      <c r="M49" s="2"/>
      <c r="N49" s="2"/>
      <c r="O49" s="14"/>
      <c r="P49" s="126"/>
      <c r="R49" s="47" t="s">
        <v>347</v>
      </c>
      <c r="S49" s="173">
        <v>24</v>
      </c>
      <c r="T49" s="83" t="s">
        <v>285</v>
      </c>
      <c r="U49" s="2"/>
      <c r="V49" s="2"/>
      <c r="W49" s="2"/>
      <c r="Z49" s="87"/>
      <c r="AA49" s="87"/>
      <c r="AB49" s="106"/>
      <c r="AC49" s="217"/>
      <c r="AD49" s="87"/>
      <c r="AE49" s="87"/>
      <c r="AF49" s="87"/>
      <c r="AG49" s="87"/>
      <c r="AH49" s="83"/>
      <c r="BH49" s="303">
        <v>0.46362999999999999</v>
      </c>
      <c r="BI49" s="367">
        <f t="shared" si="2"/>
        <v>1.2929999999999999E-11</v>
      </c>
      <c r="BJ49" s="367">
        <f t="shared" si="3"/>
        <v>7.7950000000000006E-12</v>
      </c>
      <c r="BK49" s="266">
        <v>1.293E-14</v>
      </c>
      <c r="BL49" s="372">
        <v>7.7949999999999999E-15</v>
      </c>
    </row>
    <row r="50" spans="1:64" x14ac:dyDescent="0.2">
      <c r="A50" s="126"/>
      <c r="B50" s="13"/>
      <c r="C50" s="2"/>
      <c r="D50" s="2"/>
      <c r="E50" s="2"/>
      <c r="F50" s="2"/>
      <c r="G50" s="2"/>
      <c r="H50" s="135"/>
      <c r="I50" s="2"/>
      <c r="J50" s="2"/>
      <c r="K50" s="2"/>
      <c r="L50" s="2"/>
      <c r="M50" s="2"/>
      <c r="N50" s="2"/>
      <c r="O50" s="14"/>
      <c r="P50" s="126"/>
      <c r="R50" s="13"/>
      <c r="S50" s="2"/>
      <c r="T50" s="2"/>
      <c r="U50" s="2"/>
      <c r="V50" s="2"/>
      <c r="W50" s="2"/>
      <c r="Z50" s="87"/>
      <c r="AA50" s="87"/>
      <c r="AB50" s="106"/>
      <c r="AC50" s="217"/>
      <c r="AD50" s="87"/>
      <c r="AE50" s="87"/>
      <c r="AF50" s="87"/>
      <c r="AG50" s="87"/>
      <c r="AH50" s="19"/>
      <c r="BH50" s="303">
        <v>0.48494999999999999</v>
      </c>
      <c r="BI50" s="367">
        <f t="shared" si="2"/>
        <v>3.9370000000000002E-11</v>
      </c>
      <c r="BJ50" s="367">
        <f t="shared" si="3"/>
        <v>2.363E-11</v>
      </c>
      <c r="BK50" s="266">
        <v>3.937E-14</v>
      </c>
      <c r="BL50" s="372">
        <v>2.3629999999999999E-14</v>
      </c>
    </row>
    <row r="51" spans="1:64" x14ac:dyDescent="0.2">
      <c r="A51" s="126"/>
      <c r="B51" s="47" t="s">
        <v>348</v>
      </c>
      <c r="C51" s="42">
        <f ca="1">C47*C49</f>
        <v>1.1323087833340681</v>
      </c>
      <c r="D51" s="83" t="s">
        <v>349</v>
      </c>
      <c r="E51" s="81">
        <f ca="1">C51*(C45/100)</f>
        <v>1.1323087833340681</v>
      </c>
      <c r="F51" s="2" t="s">
        <v>177</v>
      </c>
      <c r="G51" s="2"/>
      <c r="H51" s="135"/>
      <c r="I51" s="2"/>
      <c r="J51" s="4" t="s">
        <v>348</v>
      </c>
      <c r="K51" s="42">
        <f>K47*K49</f>
        <v>818635.67999999982</v>
      </c>
      <c r="L51" s="83" t="s">
        <v>349</v>
      </c>
      <c r="M51" s="2"/>
      <c r="N51" s="2"/>
      <c r="O51" s="14"/>
      <c r="P51" s="126"/>
      <c r="R51" s="47" t="s">
        <v>348</v>
      </c>
      <c r="S51" s="95" t="str">
        <f>IF(AND(S46&gt;0,S47=0),S46*S49*3600,(IF(AND(S46=0,S47&gt;0),S47*S49,"NAN")))</f>
        <v>NAN</v>
      </c>
      <c r="T51" s="83" t="s">
        <v>349</v>
      </c>
      <c r="U51" s="294" t="e">
        <f>SQRT(S51)/S51*100</f>
        <v>#VALUE!</v>
      </c>
      <c r="V51" s="2" t="s">
        <v>192</v>
      </c>
      <c r="W51" s="2"/>
      <c r="Z51" s="87"/>
      <c r="AA51" s="87"/>
      <c r="AB51" s="106"/>
      <c r="AC51" s="19"/>
      <c r="AD51" s="19"/>
      <c r="AE51" s="19"/>
      <c r="AF51" s="87"/>
      <c r="AG51" s="87"/>
      <c r="AH51" s="19"/>
      <c r="AM51" s="19" t="s">
        <v>50</v>
      </c>
      <c r="BH51" s="303">
        <v>0.50736000000000003</v>
      </c>
      <c r="BI51" s="367">
        <f t="shared" si="2"/>
        <v>1.173E-10</v>
      </c>
      <c r="BJ51" s="367">
        <f t="shared" si="3"/>
        <v>7.0110000000000004E-11</v>
      </c>
      <c r="BK51" s="266">
        <v>1.1729999999999999E-13</v>
      </c>
      <c r="BL51" s="372">
        <v>7.0110000000000004E-14</v>
      </c>
    </row>
    <row r="52" spans="1:64" x14ac:dyDescent="0.2">
      <c r="A52" s="126"/>
      <c r="B52" s="15"/>
      <c r="C52" s="385">
        <f ca="1">SQRT(C51)/C51*100</f>
        <v>93.976131169535421</v>
      </c>
      <c r="D52" s="16" t="s">
        <v>520</v>
      </c>
      <c r="E52" s="16"/>
      <c r="F52" s="16"/>
      <c r="G52" s="16"/>
      <c r="H52" s="137"/>
      <c r="I52" s="15"/>
      <c r="J52" s="16"/>
      <c r="K52" s="16"/>
      <c r="L52" s="16"/>
      <c r="M52" s="16"/>
      <c r="N52" s="16"/>
      <c r="O52" s="17"/>
      <c r="P52" s="126"/>
      <c r="R52" s="15"/>
      <c r="S52" s="16"/>
      <c r="T52" s="16"/>
      <c r="U52" s="16"/>
      <c r="V52" s="16"/>
      <c r="W52" s="16"/>
      <c r="Z52" s="87"/>
      <c r="AA52" s="87"/>
      <c r="AB52" s="106"/>
      <c r="AC52" s="87"/>
      <c r="AD52" s="359"/>
      <c r="AE52" s="359"/>
      <c r="AF52" s="87"/>
      <c r="AG52" s="87"/>
      <c r="AH52" s="87"/>
      <c r="BH52" s="303">
        <v>0.53091999999999995</v>
      </c>
      <c r="BI52" s="367">
        <f t="shared" si="2"/>
        <v>3.4220000000000002E-10</v>
      </c>
      <c r="BJ52" s="367">
        <f t="shared" si="3"/>
        <v>2.035E-10</v>
      </c>
      <c r="BK52" s="266">
        <v>3.422E-13</v>
      </c>
      <c r="BL52" s="372">
        <v>2.0349999999999999E-13</v>
      </c>
    </row>
    <row r="53" spans="1:64" ht="13.5" thickBot="1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20"/>
      <c r="R53" s="131"/>
      <c r="S53" s="131"/>
      <c r="T53" s="131"/>
      <c r="U53" s="131"/>
      <c r="V53" s="131"/>
      <c r="W53" s="131"/>
      <c r="Z53" s="87"/>
      <c r="AA53" s="87"/>
      <c r="AB53" s="87"/>
      <c r="AC53" s="87"/>
      <c r="AD53" s="87"/>
      <c r="AE53" s="87"/>
      <c r="AF53" s="87"/>
      <c r="AG53" s="87"/>
      <c r="AH53" s="87"/>
      <c r="AM53" s="19" t="s">
        <v>75</v>
      </c>
      <c r="AN53" s="19" t="s">
        <v>73</v>
      </c>
      <c r="AO53" s="19" t="s">
        <v>74</v>
      </c>
      <c r="AP53" s="19" t="s">
        <v>77</v>
      </c>
      <c r="AQ53" s="19" t="s">
        <v>180</v>
      </c>
      <c r="AR53" s="19" t="s">
        <v>181</v>
      </c>
      <c r="AS53" s="19" t="s">
        <v>72</v>
      </c>
      <c r="AT53" s="19" t="s">
        <v>76</v>
      </c>
      <c r="BH53" s="303">
        <v>0.55567999999999995</v>
      </c>
      <c r="BI53" s="367">
        <f t="shared" si="2"/>
        <v>9.7730000000000013E-10</v>
      </c>
      <c r="BJ53" s="367">
        <f t="shared" si="3"/>
        <v>5.7829999999999996E-10</v>
      </c>
      <c r="BK53" s="266">
        <v>9.7730000000000009E-13</v>
      </c>
      <c r="BL53" s="372">
        <v>5.7829999999999997E-13</v>
      </c>
    </row>
    <row r="54" spans="1:64" x14ac:dyDescent="0.2">
      <c r="A54" s="126"/>
      <c r="B54" s="126"/>
      <c r="C54" s="126"/>
      <c r="D54" s="126"/>
      <c r="E54" s="126"/>
      <c r="F54" s="126"/>
      <c r="G54" s="126"/>
      <c r="H54" s="126"/>
      <c r="I54" s="134"/>
      <c r="J54" s="134"/>
      <c r="K54" s="126"/>
      <c r="L54" s="126"/>
      <c r="M54" s="126"/>
      <c r="N54" s="126"/>
      <c r="O54" s="126"/>
      <c r="P54" s="133"/>
      <c r="R54" s="2"/>
      <c r="Z54" s="87"/>
      <c r="AA54" s="87"/>
      <c r="AB54" s="97"/>
      <c r="AC54" s="86"/>
      <c r="AD54" s="87"/>
      <c r="AE54" s="87"/>
      <c r="AF54" s="87"/>
      <c r="AG54" s="87"/>
      <c r="AH54" s="87"/>
      <c r="AM54" s="315">
        <v>2.4</v>
      </c>
      <c r="AN54" s="310">
        <v>5</v>
      </c>
      <c r="AO54" s="316">
        <v>0.41</v>
      </c>
      <c r="AP54" s="309">
        <f>AN54/AM54</f>
        <v>2.0833333333333335</v>
      </c>
      <c r="AQ54" s="303">
        <f>(1*21)/(4*18)</f>
        <v>0.29166666666666669</v>
      </c>
      <c r="AR54" s="142">
        <v>8</v>
      </c>
      <c r="AS54" s="316">
        <f>AO54*AP54*AQ54*AR54</f>
        <v>1.9930555555555556</v>
      </c>
      <c r="AT54" s="314">
        <f>AS54/AO54</f>
        <v>4.8611111111111116</v>
      </c>
      <c r="BH54" s="303">
        <v>0.58169999999999999</v>
      </c>
      <c r="BI54" s="367">
        <f t="shared" si="2"/>
        <v>2.7320000000000001E-9</v>
      </c>
      <c r="BJ54" s="367">
        <f t="shared" si="3"/>
        <v>1.608E-9</v>
      </c>
      <c r="BK54" s="266">
        <v>2.7320000000000001E-12</v>
      </c>
      <c r="BL54" s="372">
        <v>1.608E-12</v>
      </c>
    </row>
    <row r="55" spans="1:64" x14ac:dyDescent="0.2">
      <c r="A55" s="125"/>
      <c r="B55" s="58" t="s">
        <v>155</v>
      </c>
      <c r="C55" s="11"/>
      <c r="D55" s="11"/>
      <c r="E55" s="11"/>
      <c r="F55" s="11"/>
      <c r="G55" s="11"/>
      <c r="H55" s="135"/>
      <c r="I55" s="3" t="s">
        <v>156</v>
      </c>
      <c r="K55" s="11"/>
      <c r="L55" s="11"/>
      <c r="M55" s="11"/>
      <c r="N55" s="11"/>
      <c r="O55" s="12"/>
      <c r="P55" s="126"/>
      <c r="R55" s="2"/>
      <c r="AM55" s="315">
        <v>2.2000000000000002</v>
      </c>
      <c r="AN55" s="310">
        <v>4.8</v>
      </c>
      <c r="AO55" s="316">
        <v>0.18</v>
      </c>
      <c r="AP55" s="309">
        <f>AN55/AM55</f>
        <v>2.1818181818181817</v>
      </c>
      <c r="AQ55" s="303">
        <f>(1*21)/(4*18)</f>
        <v>0.29166666666666669</v>
      </c>
      <c r="AR55" s="142">
        <v>8</v>
      </c>
      <c r="AS55" s="316">
        <f>AO55*AP55*AQ55*AR55</f>
        <v>0.91636363636363638</v>
      </c>
      <c r="AT55" s="314">
        <f>AS55/AO55</f>
        <v>5.0909090909090908</v>
      </c>
      <c r="BH55" s="303">
        <v>0.60906000000000005</v>
      </c>
      <c r="BI55" s="367">
        <f t="shared" si="2"/>
        <v>7.4769999999999997E-9</v>
      </c>
      <c r="BJ55" s="367">
        <f t="shared" si="3"/>
        <v>4.4109999999999998E-9</v>
      </c>
      <c r="BK55" s="266">
        <v>7.4769999999999997E-12</v>
      </c>
      <c r="BL55" s="372">
        <v>4.4109999999999997E-12</v>
      </c>
    </row>
    <row r="56" spans="1:64" x14ac:dyDescent="0.2">
      <c r="A56" s="125"/>
      <c r="B56" s="13"/>
      <c r="C56" s="2"/>
      <c r="D56" s="2"/>
      <c r="E56" s="2"/>
      <c r="F56" s="2"/>
      <c r="G56" s="2"/>
      <c r="H56" s="135"/>
      <c r="J56" s="2"/>
      <c r="K56" s="2"/>
      <c r="L56" s="2"/>
      <c r="M56" s="2"/>
      <c r="N56" s="2"/>
      <c r="O56" s="14"/>
      <c r="P56" s="126"/>
      <c r="R56" s="2"/>
      <c r="AB56" s="19"/>
      <c r="AC56" s="19"/>
      <c r="AD56" s="19"/>
      <c r="AE56" s="19"/>
      <c r="AF56" s="19"/>
      <c r="AG56" s="19"/>
      <c r="AH56" s="19"/>
      <c r="AM56" s="315">
        <v>2</v>
      </c>
      <c r="AN56" s="310">
        <v>4.7</v>
      </c>
      <c r="AO56" s="316">
        <v>7.0999999999999994E-2</v>
      </c>
      <c r="AP56" s="309">
        <f>AN56/AM56</f>
        <v>2.35</v>
      </c>
      <c r="AQ56" s="303">
        <f>(1*21)/(4*18)</f>
        <v>0.29166666666666669</v>
      </c>
      <c r="AR56" s="142">
        <v>8</v>
      </c>
      <c r="AS56" s="316">
        <f>AO56*AP56*AQ56*AR56</f>
        <v>0.3893166666666667</v>
      </c>
      <c r="AT56" s="314">
        <f>AS56/AO56</f>
        <v>5.4833333333333343</v>
      </c>
      <c r="BH56" s="303">
        <v>0.63780999999999999</v>
      </c>
      <c r="BI56" s="367">
        <f t="shared" si="2"/>
        <v>2.0039999999999999E-8</v>
      </c>
      <c r="BJ56" s="367">
        <f t="shared" si="3"/>
        <v>1.1549999999999999E-8</v>
      </c>
      <c r="BK56" s="266">
        <v>2.0039999999999999E-11</v>
      </c>
      <c r="BL56" s="372">
        <v>1.155E-11</v>
      </c>
    </row>
    <row r="57" spans="1:64" x14ac:dyDescent="0.2">
      <c r="A57" s="125"/>
      <c r="B57" s="13" t="s">
        <v>350</v>
      </c>
      <c r="H57" s="135"/>
      <c r="I57" s="2" t="s">
        <v>157</v>
      </c>
      <c r="K57" s="2"/>
      <c r="L57" s="2"/>
      <c r="M57" s="2"/>
      <c r="N57" s="2"/>
      <c r="O57" s="14"/>
      <c r="P57" s="126"/>
      <c r="R57" s="2"/>
      <c r="AM57" s="315">
        <v>1.8</v>
      </c>
      <c r="AN57" s="310">
        <v>4.4000000000000004</v>
      </c>
      <c r="AO57" s="316">
        <v>2.4E-2</v>
      </c>
      <c r="AP57" s="309">
        <f>AN57/AM57</f>
        <v>2.4444444444444446</v>
      </c>
      <c r="AQ57" s="303">
        <f>(1*21)/(4*18)</f>
        <v>0.29166666666666669</v>
      </c>
      <c r="AR57" s="142">
        <v>8</v>
      </c>
      <c r="AS57" s="316">
        <f>AO57*AP57*AQ57*AR57</f>
        <v>0.13688888888888892</v>
      </c>
      <c r="AT57" s="314">
        <f>AS57/AO57</f>
        <v>5.7037037037037051</v>
      </c>
      <c r="BH57" s="303">
        <v>0.66803000000000001</v>
      </c>
      <c r="BI57" s="367">
        <f t="shared" si="2"/>
        <v>5.257E-8</v>
      </c>
      <c r="BJ57" s="367">
        <f t="shared" si="3"/>
        <v>3.0110000000000003E-8</v>
      </c>
      <c r="BK57" s="266">
        <v>5.2569999999999999E-11</v>
      </c>
      <c r="BL57" s="372">
        <v>3.011E-11</v>
      </c>
    </row>
    <row r="58" spans="1:64" x14ac:dyDescent="0.2">
      <c r="A58" s="125"/>
      <c r="B58" s="13"/>
      <c r="C58" s="2"/>
      <c r="H58" s="135"/>
      <c r="J58" s="2"/>
      <c r="K58" s="2"/>
      <c r="L58" s="2"/>
      <c r="M58" s="2"/>
      <c r="N58" s="2"/>
      <c r="O58" s="14"/>
      <c r="P58" s="126"/>
      <c r="R58" s="2"/>
      <c r="AM58" s="315">
        <v>1.6</v>
      </c>
      <c r="AN58" s="310">
        <v>4.2</v>
      </c>
      <c r="AO58" s="362">
        <v>4.5999999999999999E-3</v>
      </c>
      <c r="AP58" s="309">
        <f>AN58/AM58</f>
        <v>2.625</v>
      </c>
      <c r="AQ58" s="303">
        <f>(1*21)/(4*18)</f>
        <v>0.29166666666666669</v>
      </c>
      <c r="AR58" s="142">
        <v>8</v>
      </c>
      <c r="AS58" s="316">
        <f>AO58*AP58*AQ58*AR58</f>
        <v>2.8174999999999999E-2</v>
      </c>
      <c r="AT58" s="314">
        <f>AS58/AO58</f>
        <v>6.125</v>
      </c>
      <c r="BH58" s="303">
        <v>0.69979999999999998</v>
      </c>
      <c r="BI58" s="367">
        <f t="shared" si="2"/>
        <v>1.3510000000000001E-7</v>
      </c>
      <c r="BJ58" s="367">
        <f t="shared" si="3"/>
        <v>7.6829999999999994E-8</v>
      </c>
      <c r="BK58" s="266">
        <v>1.351E-10</v>
      </c>
      <c r="BL58" s="372">
        <v>7.6829999999999995E-11</v>
      </c>
    </row>
    <row r="59" spans="1:64" ht="18" x14ac:dyDescent="0.3">
      <c r="A59" s="125"/>
      <c r="B59" s="13"/>
      <c r="C59" s="170" t="s">
        <v>454</v>
      </c>
      <c r="D59" s="2"/>
      <c r="E59" s="2"/>
      <c r="F59" s="2"/>
      <c r="H59" s="135"/>
      <c r="J59" s="171" t="s">
        <v>455</v>
      </c>
      <c r="K59" s="2"/>
      <c r="L59" s="2"/>
      <c r="M59" s="2"/>
      <c r="N59" s="2"/>
      <c r="O59" s="14"/>
      <c r="P59" s="126"/>
      <c r="R59" s="2"/>
      <c r="BH59" s="303">
        <v>0.73319000000000001</v>
      </c>
      <c r="BI59" s="367">
        <f t="shared" si="2"/>
        <v>3.3989999999999997E-7</v>
      </c>
      <c r="BJ59" s="367">
        <f t="shared" si="3"/>
        <v>1.9189999999999999E-7</v>
      </c>
      <c r="BK59" s="266">
        <v>3.3989999999999998E-10</v>
      </c>
      <c r="BL59" s="372">
        <v>1.919E-10</v>
      </c>
    </row>
    <row r="60" spans="1:64" x14ac:dyDescent="0.2">
      <c r="A60" s="125"/>
      <c r="B60" s="13"/>
      <c r="C60" s="2"/>
      <c r="D60" s="2"/>
      <c r="E60" s="2"/>
      <c r="F60" s="2"/>
      <c r="H60" s="135"/>
      <c r="J60" s="2"/>
      <c r="K60" s="2"/>
      <c r="L60" s="2"/>
      <c r="M60" s="2"/>
      <c r="N60" s="2"/>
      <c r="O60" s="14"/>
      <c r="P60" s="126"/>
      <c r="R60" s="2"/>
      <c r="BH60" s="303">
        <v>0.76827999999999996</v>
      </c>
      <c r="BI60" s="367">
        <f t="shared" si="2"/>
        <v>8.3789999999999995E-7</v>
      </c>
      <c r="BJ60" s="367">
        <f t="shared" si="3"/>
        <v>4.75E-7</v>
      </c>
      <c r="BK60" s="266">
        <v>8.3789999999999997E-10</v>
      </c>
      <c r="BL60" s="372">
        <v>4.7500000000000001E-10</v>
      </c>
    </row>
    <row r="61" spans="1:64" ht="15.75" x14ac:dyDescent="0.3">
      <c r="A61" s="125"/>
      <c r="B61" s="47" t="s">
        <v>320</v>
      </c>
      <c r="C61" s="2" t="s">
        <v>151</v>
      </c>
      <c r="D61" s="2"/>
      <c r="E61" s="2"/>
      <c r="F61" s="2"/>
      <c r="H61" s="135"/>
      <c r="J61" s="4" t="s">
        <v>320</v>
      </c>
      <c r="K61" s="2" t="s">
        <v>151</v>
      </c>
      <c r="L61" s="2"/>
      <c r="M61" s="2"/>
      <c r="N61" s="2"/>
      <c r="O61" s="14"/>
      <c r="P61" s="126"/>
      <c r="R61" s="2"/>
      <c r="BH61" s="303">
        <v>0.80517000000000005</v>
      </c>
      <c r="BI61" s="367">
        <f t="shared" si="2"/>
        <v>2.0229999999999999E-6</v>
      </c>
      <c r="BJ61" s="367">
        <f t="shared" si="3"/>
        <v>1.1379999999999999E-6</v>
      </c>
      <c r="BK61" s="266">
        <v>2.0230000000000001E-9</v>
      </c>
      <c r="BL61" s="372">
        <v>1.138E-9</v>
      </c>
    </row>
    <row r="62" spans="1:64" x14ac:dyDescent="0.2">
      <c r="A62" s="125"/>
      <c r="B62" s="13"/>
      <c r="C62" s="88" t="s">
        <v>325</v>
      </c>
      <c r="D62" s="2" t="s">
        <v>587</v>
      </c>
      <c r="E62" s="2"/>
      <c r="F62" s="2"/>
      <c r="H62" s="135"/>
      <c r="J62" s="2"/>
      <c r="K62" s="88" t="s">
        <v>325</v>
      </c>
      <c r="L62" s="2" t="s">
        <v>587</v>
      </c>
      <c r="M62" s="2"/>
      <c r="N62" s="2"/>
      <c r="O62" s="14"/>
      <c r="P62" s="126"/>
      <c r="R62" s="2"/>
      <c r="BH62" s="303">
        <v>0.84394999999999998</v>
      </c>
      <c r="BI62" s="367">
        <f t="shared" si="2"/>
        <v>4.7870000000000001E-6</v>
      </c>
      <c r="BJ62" s="367">
        <f t="shared" si="3"/>
        <v>2.6120000000000001E-6</v>
      </c>
      <c r="BK62" s="266">
        <v>4.7870000000000001E-9</v>
      </c>
      <c r="BL62" s="372">
        <v>2.6120000000000001E-9</v>
      </c>
    </row>
    <row r="63" spans="1:64" x14ac:dyDescent="0.2">
      <c r="A63" s="125"/>
      <c r="B63" s="13"/>
      <c r="C63" s="88" t="s">
        <v>326</v>
      </c>
      <c r="D63" s="2" t="s">
        <v>588</v>
      </c>
      <c r="E63" s="2"/>
      <c r="F63" s="2"/>
      <c r="H63" s="135"/>
      <c r="J63" s="2"/>
      <c r="K63" s="88" t="s">
        <v>326</v>
      </c>
      <c r="L63" s="2" t="s">
        <v>588</v>
      </c>
      <c r="M63" s="2"/>
      <c r="N63" s="2"/>
      <c r="O63" s="14"/>
      <c r="P63" s="126"/>
      <c r="R63" s="2"/>
      <c r="BH63" s="316">
        <v>0.88470000000000004</v>
      </c>
      <c r="BI63" s="367">
        <f t="shared" si="2"/>
        <v>1.1090000000000001E-5</v>
      </c>
      <c r="BJ63" s="367">
        <f t="shared" si="3"/>
        <v>6.0000000000000002E-6</v>
      </c>
      <c r="BK63" s="366">
        <v>1.109E-8</v>
      </c>
      <c r="BL63" s="372">
        <v>6E-9</v>
      </c>
    </row>
    <row r="64" spans="1:64" x14ac:dyDescent="0.2">
      <c r="A64" s="125"/>
      <c r="B64" s="13"/>
      <c r="C64" s="89" t="s">
        <v>327</v>
      </c>
      <c r="D64" s="2" t="s">
        <v>330</v>
      </c>
      <c r="E64" s="2"/>
      <c r="F64" s="2"/>
      <c r="H64" s="135"/>
      <c r="J64" s="2"/>
      <c r="K64" s="89" t="s">
        <v>327</v>
      </c>
      <c r="L64" s="2" t="s">
        <v>330</v>
      </c>
      <c r="M64" s="2"/>
      <c r="N64" s="2"/>
      <c r="O64" s="14"/>
      <c r="P64" s="126"/>
      <c r="R64" s="2"/>
      <c r="BE64">
        <f>(BH65-BH64)/2+BH64</f>
        <v>0.95005500000000009</v>
      </c>
      <c r="BF64" s="266">
        <f>(BJ65-BJ64)/2+BJ64</f>
        <v>2.1895E-5</v>
      </c>
      <c r="BH64" s="303">
        <v>0.92754000000000003</v>
      </c>
      <c r="BI64" s="367">
        <f t="shared" si="2"/>
        <v>2.5209999999999997E-5</v>
      </c>
      <c r="BJ64" s="367">
        <f t="shared" si="3"/>
        <v>1.3509999999999999E-5</v>
      </c>
      <c r="BK64" s="266">
        <v>2.5209999999999999E-8</v>
      </c>
      <c r="BL64" s="372">
        <v>1.351E-8</v>
      </c>
    </row>
    <row r="65" spans="1:64" ht="15.75" x14ac:dyDescent="0.3">
      <c r="A65" s="125"/>
      <c r="B65" s="13"/>
      <c r="C65" s="89" t="s">
        <v>328</v>
      </c>
      <c r="D65" s="2" t="s">
        <v>329</v>
      </c>
      <c r="E65" s="2"/>
      <c r="F65" s="2"/>
      <c r="H65" s="135"/>
      <c r="J65" s="2"/>
      <c r="K65" s="89" t="s">
        <v>328</v>
      </c>
      <c r="L65" s="2" t="s">
        <v>329</v>
      </c>
      <c r="M65" s="2"/>
      <c r="N65" s="2"/>
      <c r="O65" s="14"/>
      <c r="P65" s="126"/>
      <c r="R65" s="2"/>
      <c r="BH65" s="303">
        <v>0.97257000000000005</v>
      </c>
      <c r="BI65" s="367">
        <f t="shared" si="2"/>
        <v>5.6180000000000001E-5</v>
      </c>
      <c r="BJ65" s="367">
        <f t="shared" si="3"/>
        <v>3.0279999999999998E-5</v>
      </c>
      <c r="BK65" s="266">
        <v>5.6179999999999997E-8</v>
      </c>
      <c r="BL65" s="372">
        <v>3.0279999999999997E-8</v>
      </c>
    </row>
    <row r="66" spans="1:64" x14ac:dyDescent="0.2">
      <c r="A66" s="125"/>
      <c r="B66" s="47" t="s">
        <v>321</v>
      </c>
      <c r="C66" s="90" t="s">
        <v>585</v>
      </c>
      <c r="D66" s="2"/>
      <c r="E66" s="2"/>
      <c r="F66" s="2"/>
      <c r="H66" s="135"/>
      <c r="J66" s="4" t="s">
        <v>321</v>
      </c>
      <c r="K66" s="90" t="s">
        <v>585</v>
      </c>
      <c r="L66" s="2"/>
      <c r="M66" s="2"/>
      <c r="N66" s="2"/>
      <c r="O66" s="14"/>
      <c r="P66" s="126"/>
      <c r="R66" s="2"/>
      <c r="BH66" s="303">
        <v>1.0199</v>
      </c>
      <c r="BI66" s="367">
        <f t="shared" si="2"/>
        <v>1.227E-4</v>
      </c>
      <c r="BJ66" s="367">
        <f t="shared" si="3"/>
        <v>6.5480000000000003E-5</v>
      </c>
      <c r="BK66" s="266">
        <v>1.2270000000000001E-7</v>
      </c>
      <c r="BL66" s="372">
        <v>6.5480000000000001E-8</v>
      </c>
    </row>
    <row r="67" spans="1:64" x14ac:dyDescent="0.2">
      <c r="A67" s="125"/>
      <c r="B67" s="47" t="s">
        <v>322</v>
      </c>
      <c r="C67" s="84" t="s">
        <v>586</v>
      </c>
      <c r="D67" s="2"/>
      <c r="E67" s="2"/>
      <c r="F67" s="2"/>
      <c r="H67" s="135"/>
      <c r="J67" s="4" t="s">
        <v>322</v>
      </c>
      <c r="K67" s="84" t="s">
        <v>586</v>
      </c>
      <c r="L67" s="2"/>
      <c r="M67" s="2"/>
      <c r="N67" s="2"/>
      <c r="O67" s="14"/>
      <c r="P67" s="126"/>
      <c r="R67" s="2"/>
      <c r="BH67" s="303">
        <v>1.06965</v>
      </c>
      <c r="BI67" s="367">
        <f t="shared" si="2"/>
        <v>2.6289999999999999E-4</v>
      </c>
      <c r="BJ67" s="367">
        <f t="shared" si="3"/>
        <v>1.3879999999999999E-4</v>
      </c>
      <c r="BK67" s="266">
        <v>2.629E-7</v>
      </c>
      <c r="BL67" s="372">
        <v>1.388E-7</v>
      </c>
    </row>
    <row r="68" spans="1:64" x14ac:dyDescent="0.2">
      <c r="A68" s="125"/>
      <c r="B68" s="47" t="s">
        <v>323</v>
      </c>
      <c r="C68" s="84" t="s">
        <v>589</v>
      </c>
      <c r="D68" s="2"/>
      <c r="E68" s="2"/>
      <c r="F68" s="2"/>
      <c r="H68" s="135"/>
      <c r="J68" s="4" t="s">
        <v>323</v>
      </c>
      <c r="K68" s="84" t="s">
        <v>589</v>
      </c>
      <c r="L68" s="2"/>
      <c r="M68" s="2"/>
      <c r="N68" s="2"/>
      <c r="O68" s="14"/>
      <c r="P68" s="126"/>
      <c r="R68" s="2"/>
      <c r="BH68" s="303">
        <v>1.1219399999999999</v>
      </c>
      <c r="BI68" s="367">
        <f t="shared" si="2"/>
        <v>5.5250000000000004E-4</v>
      </c>
      <c r="BJ68" s="367">
        <f t="shared" si="3"/>
        <v>2.8019999999999998E-4</v>
      </c>
      <c r="BK68" s="266">
        <v>5.525E-7</v>
      </c>
      <c r="BL68" s="372">
        <v>2.8019999999999998E-7</v>
      </c>
    </row>
    <row r="69" spans="1:64" x14ac:dyDescent="0.2">
      <c r="A69" s="125"/>
      <c r="B69" s="47" t="s">
        <v>324</v>
      </c>
      <c r="C69" s="84" t="s">
        <v>590</v>
      </c>
      <c r="D69" s="2"/>
      <c r="E69" s="2"/>
      <c r="F69" s="2"/>
      <c r="H69" s="135"/>
      <c r="J69" s="4" t="s">
        <v>324</v>
      </c>
      <c r="K69" s="84" t="s">
        <v>590</v>
      </c>
      <c r="L69" s="2"/>
      <c r="M69" s="2"/>
      <c r="N69" s="2"/>
      <c r="O69" s="14"/>
      <c r="P69" s="126"/>
      <c r="R69" s="2"/>
      <c r="BH69" s="303">
        <v>1.1769000000000001</v>
      </c>
      <c r="BI69" s="367">
        <f t="shared" si="2"/>
        <v>1.139E-3</v>
      </c>
      <c r="BJ69" s="367">
        <f t="shared" si="3"/>
        <v>5.8199999999999994E-4</v>
      </c>
      <c r="BK69" s="266">
        <v>1.139E-6</v>
      </c>
      <c r="BL69" s="372">
        <v>5.82E-7</v>
      </c>
    </row>
    <row r="70" spans="1:64" x14ac:dyDescent="0.2">
      <c r="A70" s="125"/>
      <c r="B70" s="13"/>
      <c r="C70" s="2"/>
      <c r="D70" s="2"/>
      <c r="E70" s="2"/>
      <c r="F70" s="2"/>
      <c r="H70" s="135"/>
      <c r="J70" s="97" t="s">
        <v>158</v>
      </c>
      <c r="K70" s="83" t="s">
        <v>160</v>
      </c>
      <c r="L70" s="2"/>
      <c r="M70" s="2"/>
      <c r="N70" s="2"/>
      <c r="O70" s="14"/>
      <c r="P70" s="126"/>
      <c r="R70" s="2"/>
      <c r="BH70" s="303">
        <v>1.2346699999999999</v>
      </c>
      <c r="BI70" s="367">
        <f t="shared" si="2"/>
        <v>2.3040000000000001E-3</v>
      </c>
      <c r="BJ70" s="367">
        <f t="shared" si="3"/>
        <v>1.1620000000000001E-3</v>
      </c>
      <c r="BK70" s="266">
        <v>2.3039999999999999E-6</v>
      </c>
      <c r="BL70" s="372">
        <v>1.1620000000000001E-6</v>
      </c>
    </row>
    <row r="71" spans="1:64" x14ac:dyDescent="0.2">
      <c r="A71" s="125"/>
      <c r="B71" s="129" t="s">
        <v>152</v>
      </c>
      <c r="C71" s="95">
        <v>197.3</v>
      </c>
      <c r="D71" s="84" t="s">
        <v>153</v>
      </c>
      <c r="E71" s="2"/>
      <c r="F71" s="2"/>
      <c r="H71" s="135"/>
      <c r="J71" s="97" t="s">
        <v>159</v>
      </c>
      <c r="K71" s="83" t="s">
        <v>161</v>
      </c>
      <c r="L71" s="2"/>
      <c r="M71" s="2"/>
      <c r="N71" s="2"/>
      <c r="O71" s="14"/>
      <c r="P71" s="126"/>
      <c r="R71" s="2"/>
      <c r="BH71" s="316">
        <v>1.2954000000000001</v>
      </c>
      <c r="BI71" s="367">
        <f t="shared" ref="BI71:BI95" si="4">BK71*$BI$34</f>
        <v>4.5750000000000001E-3</v>
      </c>
      <c r="BJ71" s="367">
        <f t="shared" si="3"/>
        <v>2.274E-3</v>
      </c>
      <c r="BK71" s="366">
        <v>4.5750000000000002E-6</v>
      </c>
      <c r="BL71" s="372">
        <v>2.2740000000000002E-6</v>
      </c>
    </row>
    <row r="72" spans="1:64" x14ac:dyDescent="0.2">
      <c r="A72" s="125"/>
      <c r="B72" s="47" t="s">
        <v>591</v>
      </c>
      <c r="C72" s="80">
        <f>((Reaction!D31*Reaction!D32)/(Reaction!D31+Reaction!D32))*931.501</f>
        <v>6296.7641127450979</v>
      </c>
      <c r="D72" s="84" t="s">
        <v>593</v>
      </c>
      <c r="E72" s="2"/>
      <c r="F72" s="2"/>
      <c r="H72" s="135"/>
      <c r="J72" s="2"/>
      <c r="K72" s="2"/>
      <c r="L72" s="2"/>
      <c r="M72" s="2"/>
      <c r="N72" s="2"/>
      <c r="O72" s="14"/>
      <c r="P72" s="126"/>
      <c r="R72" s="2"/>
      <c r="BH72" s="303">
        <v>1.3592200000000001</v>
      </c>
      <c r="BI72" s="367">
        <f t="shared" si="4"/>
        <v>8.9160000000000003E-3</v>
      </c>
      <c r="BJ72" s="367">
        <f t="shared" si="3"/>
        <v>4.365E-3</v>
      </c>
      <c r="BK72" s="266">
        <v>8.9160000000000007E-6</v>
      </c>
      <c r="BL72" s="372">
        <v>4.3649999999999997E-6</v>
      </c>
    </row>
    <row r="73" spans="1:64" ht="14.25" x14ac:dyDescent="0.25">
      <c r="A73" s="125"/>
      <c r="B73" s="47" t="s">
        <v>592</v>
      </c>
      <c r="C73" s="81">
        <f ca="1">Reaction!C25</f>
        <v>2.8968146478297325</v>
      </c>
      <c r="D73" s="84" t="s">
        <v>593</v>
      </c>
      <c r="E73" s="2"/>
      <c r="F73" s="2"/>
      <c r="H73" s="135"/>
      <c r="J73" s="94" t="s">
        <v>152</v>
      </c>
      <c r="K73" s="95">
        <v>197.3</v>
      </c>
      <c r="L73" s="84" t="s">
        <v>153</v>
      </c>
      <c r="M73" s="2"/>
      <c r="N73" s="2"/>
      <c r="O73" s="14"/>
      <c r="P73" s="126"/>
      <c r="R73" s="2"/>
      <c r="BH73" s="303">
        <v>1.42631</v>
      </c>
      <c r="BI73" s="367">
        <f t="shared" si="4"/>
        <v>1.7059999999999999E-2</v>
      </c>
      <c r="BJ73" s="367">
        <f t="shared" si="3"/>
        <v>8.2609999999999992E-3</v>
      </c>
      <c r="BK73" s="266">
        <v>1.7059999999999999E-5</v>
      </c>
      <c r="BL73" s="372">
        <v>8.2609999999999993E-6</v>
      </c>
    </row>
    <row r="74" spans="1:64" x14ac:dyDescent="0.2">
      <c r="A74" s="125"/>
      <c r="B74" s="47" t="s">
        <v>320</v>
      </c>
      <c r="C74" s="81">
        <f ca="1">(2*PI()*C71)/SQRT(2*C72*C73)</f>
        <v>6.4904213228782037</v>
      </c>
      <c r="D74" s="84" t="s">
        <v>154</v>
      </c>
      <c r="E74" s="2"/>
      <c r="F74" s="2"/>
      <c r="H74" s="135"/>
      <c r="J74" s="4" t="s">
        <v>591</v>
      </c>
      <c r="K74" s="80">
        <f>((Reaction!D31*Reaction!D32)/(Reaction!D31+Reaction!D32))*931.501</f>
        <v>6296.7641127450979</v>
      </c>
      <c r="L74" s="84" t="s">
        <v>593</v>
      </c>
      <c r="M74" s="2"/>
      <c r="N74" s="2"/>
      <c r="O74" s="14"/>
      <c r="P74" s="126"/>
      <c r="R74" s="2"/>
      <c r="BH74" s="303">
        <v>1.4968300000000001</v>
      </c>
      <c r="BI74" s="367">
        <f t="shared" si="4"/>
        <v>3.2039999999999999E-2</v>
      </c>
      <c r="BJ74" s="367">
        <f t="shared" si="3"/>
        <v>1.525E-2</v>
      </c>
      <c r="BK74" s="266">
        <v>3.2039999999999998E-5</v>
      </c>
      <c r="BL74" s="372">
        <v>1.525E-5</v>
      </c>
    </row>
    <row r="75" spans="1:64" ht="14.25" x14ac:dyDescent="0.25">
      <c r="A75" s="125"/>
      <c r="B75" s="47" t="s">
        <v>321</v>
      </c>
      <c r="C75" s="79">
        <f ca="1">Reaction!G32</f>
        <v>196.96656865671665</v>
      </c>
      <c r="D75" s="84" t="s">
        <v>594</v>
      </c>
      <c r="E75" s="2"/>
      <c r="F75" s="2"/>
      <c r="H75" s="135"/>
      <c r="J75" s="4" t="s">
        <v>592</v>
      </c>
      <c r="K75" s="81">
        <f ca="1">Reaction!C25</f>
        <v>2.8968146478297325</v>
      </c>
      <c r="L75" s="84" t="s">
        <v>593</v>
      </c>
      <c r="M75" s="2"/>
      <c r="N75" s="2"/>
      <c r="O75" s="14"/>
      <c r="P75" s="126"/>
      <c r="R75" s="2"/>
      <c r="BH75" s="303">
        <v>1.5709500000000001</v>
      </c>
      <c r="BI75" s="367">
        <f t="shared" si="4"/>
        <v>5.91E-2</v>
      </c>
      <c r="BJ75" s="367">
        <f t="shared" si="3"/>
        <v>2.6970000000000001E-2</v>
      </c>
      <c r="BK75" s="266">
        <v>5.91E-5</v>
      </c>
      <c r="BL75" s="372">
        <v>2.6970000000000001E-5</v>
      </c>
    </row>
    <row r="76" spans="1:64" x14ac:dyDescent="0.2">
      <c r="A76" s="125"/>
      <c r="B76" s="47" t="s">
        <v>322</v>
      </c>
      <c r="C76" s="79">
        <f ca="1">Reaction!G31</f>
        <v>7.0160045510122844</v>
      </c>
      <c r="D76" s="84" t="s">
        <v>594</v>
      </c>
      <c r="E76" s="2"/>
      <c r="F76" s="2"/>
      <c r="H76" s="135"/>
      <c r="J76" s="4" t="s">
        <v>320</v>
      </c>
      <c r="K76" s="81">
        <f ca="1">(2*PI()*K73)/SQRT(2*K74*K75)</f>
        <v>6.4904213228782037</v>
      </c>
      <c r="L76" s="84" t="s">
        <v>154</v>
      </c>
      <c r="M76" s="2"/>
      <c r="N76" s="2"/>
      <c r="O76" s="14"/>
      <c r="P76" s="126"/>
      <c r="R76" s="2"/>
      <c r="BH76" s="303">
        <v>1.6488499999999999</v>
      </c>
      <c r="BI76" s="367">
        <f t="shared" si="4"/>
        <v>0.107</v>
      </c>
      <c r="BJ76" s="367">
        <f t="shared" si="3"/>
        <v>4.7870000000000003E-2</v>
      </c>
      <c r="BK76" s="266">
        <v>1.07E-4</v>
      </c>
      <c r="BL76" s="372">
        <v>4.7870000000000001E-5</v>
      </c>
    </row>
    <row r="77" spans="1:64" x14ac:dyDescent="0.2">
      <c r="A77" s="125"/>
      <c r="B77" s="47" t="s">
        <v>323</v>
      </c>
      <c r="C77" s="41">
        <v>9.6</v>
      </c>
      <c r="D77" s="84" t="s">
        <v>595</v>
      </c>
      <c r="E77" s="2"/>
      <c r="F77" s="2"/>
      <c r="H77" s="135"/>
      <c r="J77" s="4" t="s">
        <v>321</v>
      </c>
      <c r="K77" s="79">
        <f ca="1">Reaction!G32</f>
        <v>196.96656865671665</v>
      </c>
      <c r="L77" s="84" t="s">
        <v>594</v>
      </c>
      <c r="M77" s="2"/>
      <c r="N77" s="2"/>
      <c r="O77" s="14"/>
      <c r="P77" s="126"/>
      <c r="BH77" s="303">
        <v>1.7307399999999999</v>
      </c>
      <c r="BI77" s="367">
        <f t="shared" si="4"/>
        <v>0.1903</v>
      </c>
      <c r="BJ77" s="367">
        <f t="shared" si="3"/>
        <v>8.4409999999999999E-2</v>
      </c>
      <c r="BK77" s="266">
        <v>1.9029999999999999E-4</v>
      </c>
      <c r="BL77" s="372">
        <v>8.441E-5</v>
      </c>
    </row>
    <row r="78" spans="1:64" ht="14.25" x14ac:dyDescent="0.2">
      <c r="A78" s="125"/>
      <c r="B78" s="47" t="s">
        <v>324</v>
      </c>
      <c r="C78" s="41">
        <v>90.9</v>
      </c>
      <c r="D78" s="84" t="s">
        <v>596</v>
      </c>
      <c r="E78" s="2"/>
      <c r="F78" s="2"/>
      <c r="H78" s="135"/>
      <c r="J78" s="4" t="s">
        <v>322</v>
      </c>
      <c r="K78" s="79">
        <f ca="1">Reaction!G31</f>
        <v>7.0160045510122844</v>
      </c>
      <c r="L78" s="84" t="s">
        <v>594</v>
      </c>
      <c r="M78" s="2"/>
      <c r="N78" s="2"/>
      <c r="O78" s="14"/>
      <c r="P78" s="126"/>
      <c r="BH78" s="303">
        <v>1.8168200000000001</v>
      </c>
      <c r="BI78" s="367">
        <f t="shared" si="4"/>
        <v>0.33250000000000002</v>
      </c>
      <c r="BJ78" s="367">
        <f t="shared" si="3"/>
        <v>0.14400000000000002</v>
      </c>
      <c r="BK78" s="266">
        <v>3.325E-4</v>
      </c>
      <c r="BL78" s="372">
        <v>1.44E-4</v>
      </c>
    </row>
    <row r="79" spans="1:64" x14ac:dyDescent="0.2">
      <c r="A79" s="125"/>
      <c r="B79" s="13"/>
      <c r="E79" s="2"/>
      <c r="F79" s="2"/>
      <c r="H79" s="135"/>
      <c r="J79" s="4" t="s">
        <v>323</v>
      </c>
      <c r="K79" s="82">
        <f>C77</f>
        <v>9.6</v>
      </c>
      <c r="L79" s="84" t="s">
        <v>595</v>
      </c>
      <c r="M79" s="2"/>
      <c r="N79" s="2"/>
      <c r="O79" s="14"/>
      <c r="P79" s="126"/>
      <c r="BH79" s="303">
        <v>1.9072899999999999</v>
      </c>
      <c r="BI79" s="367">
        <f t="shared" si="4"/>
        <v>0.57030000000000003</v>
      </c>
      <c r="BJ79" s="367">
        <f t="shared" si="3"/>
        <v>0.2429</v>
      </c>
      <c r="BK79" s="266">
        <v>5.7030000000000004E-4</v>
      </c>
      <c r="BL79" s="372">
        <v>2.429E-4</v>
      </c>
    </row>
    <row r="80" spans="1:64" ht="15" x14ac:dyDescent="0.25">
      <c r="A80" s="125"/>
      <c r="B80" s="47" t="s">
        <v>163</v>
      </c>
      <c r="C80" s="82">
        <f ca="1">(C74^2)*(C75+C76)*C77/(2*(C78*C75))*1E-26*1000000000000000</f>
        <v>2.3036881086552468E-11</v>
      </c>
      <c r="D80" s="83" t="s">
        <v>340</v>
      </c>
      <c r="E80" s="2"/>
      <c r="F80" s="2"/>
      <c r="H80" s="135"/>
      <c r="J80" s="4" t="s">
        <v>324</v>
      </c>
      <c r="K80" s="82">
        <f>C78</f>
        <v>90.9</v>
      </c>
      <c r="L80" s="84" t="s">
        <v>596</v>
      </c>
      <c r="M80" s="2"/>
      <c r="N80" s="2"/>
      <c r="O80" s="14"/>
      <c r="P80" s="126"/>
      <c r="BH80" s="303">
        <v>2.00238</v>
      </c>
      <c r="BI80" s="367">
        <f t="shared" si="4"/>
        <v>0.96020000000000005</v>
      </c>
      <c r="BJ80" s="367">
        <f t="shared" si="3"/>
        <v>0.39829999999999999</v>
      </c>
      <c r="BK80" s="266">
        <v>9.6020000000000003E-4</v>
      </c>
      <c r="BL80" s="372">
        <v>3.9829999999999998E-4</v>
      </c>
    </row>
    <row r="81" spans="1:64" x14ac:dyDescent="0.2">
      <c r="A81" s="125"/>
      <c r="B81" s="13"/>
      <c r="G81" s="2"/>
      <c r="H81" s="135"/>
      <c r="J81" s="97" t="s">
        <v>158</v>
      </c>
      <c r="K81" s="41">
        <v>220</v>
      </c>
      <c r="L81" s="83" t="s">
        <v>162</v>
      </c>
      <c r="M81" s="2"/>
      <c r="N81" s="2"/>
      <c r="O81" s="14"/>
      <c r="P81" s="126"/>
      <c r="BH81" s="303">
        <v>2.1023399999999999</v>
      </c>
      <c r="BI81" s="367">
        <f t="shared" si="4"/>
        <v>1.5859999999999999</v>
      </c>
      <c r="BJ81" s="367">
        <f t="shared" si="3"/>
        <v>0.63940000000000008</v>
      </c>
      <c r="BK81" s="266">
        <v>1.586E-3</v>
      </c>
      <c r="BL81" s="372">
        <v>6.3940000000000004E-4</v>
      </c>
    </row>
    <row r="82" spans="1:64" x14ac:dyDescent="0.2">
      <c r="A82" s="125"/>
      <c r="B82" s="13"/>
      <c r="G82" s="2"/>
      <c r="H82" s="135"/>
      <c r="J82" s="97" t="s">
        <v>159</v>
      </c>
      <c r="K82" s="41">
        <v>50</v>
      </c>
      <c r="L82" s="83" t="s">
        <v>162</v>
      </c>
      <c r="M82" s="2"/>
      <c r="N82" s="2"/>
      <c r="O82" s="14"/>
      <c r="P82" s="126"/>
      <c r="BH82" s="303">
        <v>2.2073999999999998</v>
      </c>
      <c r="BI82" s="367">
        <f t="shared" si="4"/>
        <v>2.5709999999999997</v>
      </c>
      <c r="BJ82" s="367">
        <f t="shared" si="3"/>
        <v>1.006</v>
      </c>
      <c r="BK82" s="266">
        <v>2.5709999999999999E-3</v>
      </c>
      <c r="BL82" s="372">
        <v>1.0059999999999999E-3</v>
      </c>
    </row>
    <row r="83" spans="1:64" x14ac:dyDescent="0.2">
      <c r="A83" s="125"/>
      <c r="B83" s="13"/>
      <c r="G83" s="2"/>
      <c r="H83" s="135"/>
      <c r="J83" s="2"/>
      <c r="K83" s="2"/>
      <c r="L83" s="2"/>
      <c r="M83" s="2"/>
      <c r="N83" s="2"/>
      <c r="O83" s="14"/>
      <c r="P83" s="126"/>
      <c r="BH83" s="303">
        <v>2.3178299999999998</v>
      </c>
      <c r="BI83" s="367">
        <f t="shared" si="4"/>
        <v>4.085</v>
      </c>
      <c r="BJ83" s="367">
        <f t="shared" si="3"/>
        <v>1.552</v>
      </c>
      <c r="BK83" s="266">
        <v>4.0850000000000001E-3</v>
      </c>
      <c r="BL83" s="372">
        <v>1.552E-3</v>
      </c>
    </row>
    <row r="84" spans="1:64" ht="14.25" x14ac:dyDescent="0.25">
      <c r="A84" s="125"/>
      <c r="B84" s="13"/>
      <c r="G84" s="2"/>
      <c r="H84" s="135"/>
      <c r="J84" s="97" t="s">
        <v>164</v>
      </c>
      <c r="K84" s="82">
        <f ca="1">((K76^2)*(K77+K78)*K79/(PI()*K80*K77)*1E-26*1000000000000000)*ATAN(K81/K82)</f>
        <v>1.9759432700479248E-11</v>
      </c>
      <c r="L84" s="83" t="s">
        <v>340</v>
      </c>
      <c r="M84" s="2"/>
      <c r="N84" s="2"/>
      <c r="O84" s="14"/>
      <c r="P84" s="126"/>
      <c r="BH84" s="303">
        <v>2.43391</v>
      </c>
      <c r="BI84" s="367">
        <f t="shared" si="4"/>
        <v>6.3579999999999997</v>
      </c>
      <c r="BJ84" s="367">
        <f t="shared" si="3"/>
        <v>2.339</v>
      </c>
      <c r="BK84" s="266">
        <v>6.3579999999999999E-3</v>
      </c>
      <c r="BL84" s="372">
        <v>2.3389999999999999E-3</v>
      </c>
    </row>
    <row r="85" spans="1:64" ht="14.25" x14ac:dyDescent="0.25">
      <c r="A85" s="125"/>
      <c r="B85" s="91" t="s">
        <v>166</v>
      </c>
      <c r="C85" s="85"/>
      <c r="D85" s="2"/>
      <c r="E85" s="2"/>
      <c r="F85" s="2"/>
      <c r="G85" s="87"/>
      <c r="H85" s="135"/>
      <c r="J85" s="2"/>
      <c r="K85" s="2"/>
      <c r="L85" s="2"/>
      <c r="M85" s="2"/>
      <c r="N85" s="2"/>
      <c r="O85" s="14"/>
      <c r="P85" s="126"/>
      <c r="BH85" s="303">
        <v>2.55592</v>
      </c>
      <c r="BI85" s="367">
        <f t="shared" si="4"/>
        <v>9.6929999999999996</v>
      </c>
      <c r="BJ85" s="367">
        <f t="shared" si="3"/>
        <v>3.4430000000000001</v>
      </c>
      <c r="BK85" s="266">
        <v>9.6930000000000002E-3</v>
      </c>
      <c r="BL85" s="372">
        <v>3.4429999999999999E-3</v>
      </c>
    </row>
    <row r="86" spans="1:64" x14ac:dyDescent="0.2">
      <c r="A86" s="125"/>
      <c r="B86" s="13"/>
      <c r="C86" s="2"/>
      <c r="D86" s="2"/>
      <c r="E86" s="2"/>
      <c r="F86" s="2"/>
      <c r="G86" s="2"/>
      <c r="H86" s="135"/>
      <c r="J86" s="2"/>
      <c r="K86" s="2"/>
      <c r="L86" s="2"/>
      <c r="M86" s="2"/>
      <c r="N86" s="2"/>
      <c r="O86" s="14"/>
      <c r="P86" s="126"/>
      <c r="BH86" s="303">
        <v>2.6841599999999999</v>
      </c>
      <c r="BI86" s="367">
        <f t="shared" si="4"/>
        <v>14.46</v>
      </c>
      <c r="BJ86" s="367">
        <f t="shared" si="3"/>
        <v>4.9449999999999994</v>
      </c>
      <c r="BK86" s="266">
        <v>1.4460000000000001E-2</v>
      </c>
      <c r="BL86" s="372">
        <v>4.9449999999999997E-3</v>
      </c>
    </row>
    <row r="87" spans="1:64" ht="14.25" x14ac:dyDescent="0.25">
      <c r="A87" s="125"/>
      <c r="B87" s="47" t="s">
        <v>512</v>
      </c>
      <c r="C87" s="2" t="s">
        <v>514</v>
      </c>
      <c r="D87" s="2"/>
      <c r="E87" s="2"/>
      <c r="F87" s="2"/>
      <c r="G87" s="2"/>
      <c r="H87" s="135"/>
      <c r="J87" s="2"/>
      <c r="K87" s="2"/>
      <c r="L87" s="2"/>
      <c r="M87" s="2"/>
      <c r="N87" s="2"/>
      <c r="O87" s="14"/>
      <c r="P87" s="126"/>
      <c r="BH87" s="303">
        <v>2.8189500000000001</v>
      </c>
      <c r="BI87" s="367">
        <f t="shared" si="4"/>
        <v>21.11</v>
      </c>
      <c r="BJ87" s="367">
        <f t="shared" si="3"/>
        <v>6.891</v>
      </c>
      <c r="BK87" s="266">
        <v>2.111E-2</v>
      </c>
      <c r="BL87" s="372">
        <v>6.8910000000000004E-3</v>
      </c>
    </row>
    <row r="88" spans="1:64" ht="16.5" x14ac:dyDescent="0.3">
      <c r="A88" s="125"/>
      <c r="B88" s="47" t="s">
        <v>511</v>
      </c>
      <c r="C88" s="2" t="s">
        <v>517</v>
      </c>
      <c r="D88" s="2"/>
      <c r="E88" s="2"/>
      <c r="F88" s="2"/>
      <c r="G88" s="87"/>
      <c r="H88" s="135"/>
      <c r="J88" s="2"/>
      <c r="K88" s="172" t="s">
        <v>456</v>
      </c>
      <c r="L88" s="2"/>
      <c r="M88" s="2"/>
      <c r="N88" s="2"/>
      <c r="O88" s="14"/>
      <c r="P88" s="126"/>
      <c r="BH88" s="303">
        <v>2.9606400000000002</v>
      </c>
      <c r="BI88" s="367">
        <f t="shared" si="4"/>
        <v>30.13</v>
      </c>
      <c r="BJ88" s="367">
        <f t="shared" si="3"/>
        <v>9.4039999999999999</v>
      </c>
      <c r="BK88" s="266">
        <v>3.0130000000000001E-2</v>
      </c>
      <c r="BL88" s="372">
        <v>9.4039999999999992E-3</v>
      </c>
    </row>
    <row r="89" spans="1:64" x14ac:dyDescent="0.2">
      <c r="A89" s="125"/>
      <c r="B89" s="13"/>
      <c r="C89" s="2"/>
      <c r="D89" s="2"/>
      <c r="E89" s="2"/>
      <c r="F89" s="2"/>
      <c r="G89" s="2"/>
      <c r="H89" s="135"/>
      <c r="J89" s="2"/>
      <c r="K89" s="2"/>
      <c r="L89" s="2"/>
      <c r="M89" s="2"/>
      <c r="N89" s="2"/>
      <c r="O89" s="14"/>
      <c r="P89" s="126"/>
      <c r="BH89" s="303">
        <v>3.1095600000000001</v>
      </c>
      <c r="BI89" s="367">
        <f t="shared" si="4"/>
        <v>42</v>
      </c>
      <c r="BJ89" s="367">
        <f t="shared" si="3"/>
        <v>12.540000000000001</v>
      </c>
      <c r="BK89" s="266">
        <v>4.2000000000000003E-2</v>
      </c>
      <c r="BL89" s="372">
        <v>1.2540000000000001E-2</v>
      </c>
    </row>
    <row r="90" spans="1:64" ht="14.25" x14ac:dyDescent="0.25">
      <c r="A90" s="125"/>
      <c r="B90" s="47" t="s">
        <v>512</v>
      </c>
      <c r="C90" s="41">
        <v>800000</v>
      </c>
      <c r="D90" s="84" t="s">
        <v>518</v>
      </c>
      <c r="E90" s="82">
        <f>C90*1.6E-19</f>
        <v>1.2799999999999998E-13</v>
      </c>
      <c r="F90" s="84" t="s">
        <v>341</v>
      </c>
      <c r="G90" s="2"/>
      <c r="H90" s="135"/>
      <c r="J90" s="2"/>
      <c r="K90" s="4" t="s">
        <v>165</v>
      </c>
      <c r="L90" s="49">
        <f>(2/PI())*ATAN(K81/K82)</f>
        <v>0.85773037705236954</v>
      </c>
      <c r="N90" s="2"/>
      <c r="O90" s="14"/>
      <c r="P90" s="126"/>
      <c r="BH90" s="303">
        <v>3.2660999999999998</v>
      </c>
      <c r="BI90" s="367">
        <f t="shared" si="4"/>
        <v>57.160000000000004</v>
      </c>
      <c r="BJ90" s="367">
        <f t="shared" si="3"/>
        <v>16.209999999999997</v>
      </c>
      <c r="BK90" s="266">
        <v>5.7160000000000002E-2</v>
      </c>
      <c r="BL90" s="372">
        <v>1.6209999999999999E-2</v>
      </c>
    </row>
    <row r="91" spans="1:64" x14ac:dyDescent="0.2">
      <c r="A91" s="125"/>
      <c r="B91" s="47" t="s">
        <v>511</v>
      </c>
      <c r="C91" s="37">
        <v>25</v>
      </c>
      <c r="D91" s="84" t="s">
        <v>520</v>
      </c>
      <c r="E91" s="2"/>
      <c r="F91" s="2"/>
      <c r="G91" s="2"/>
      <c r="H91" s="135"/>
      <c r="J91" s="2"/>
      <c r="K91" s="2"/>
      <c r="L91" s="2"/>
      <c r="M91" s="2"/>
      <c r="N91" s="2"/>
      <c r="O91" s="14"/>
      <c r="P91" s="126"/>
      <c r="BH91" s="303">
        <v>3.4306299999999998</v>
      </c>
      <c r="BI91" s="367">
        <f t="shared" si="4"/>
        <v>76.03</v>
      </c>
      <c r="BJ91" s="367">
        <f t="shared" si="3"/>
        <v>20.2</v>
      </c>
      <c r="BK91" s="266">
        <v>7.603E-2</v>
      </c>
      <c r="BL91" s="372">
        <v>2.0199999999999999E-2</v>
      </c>
    </row>
    <row r="92" spans="1:64" ht="14.25" x14ac:dyDescent="0.25">
      <c r="A92" s="125"/>
      <c r="B92" s="13"/>
      <c r="C92" s="2"/>
      <c r="D92" s="2"/>
      <c r="E92" s="2"/>
      <c r="F92" s="2"/>
      <c r="G92" s="2"/>
      <c r="H92" s="135"/>
      <c r="J92" s="98" t="s">
        <v>384</v>
      </c>
      <c r="K92" s="104"/>
      <c r="M92" s="2"/>
      <c r="N92" s="2"/>
      <c r="O92" s="14"/>
      <c r="P92" s="126"/>
      <c r="BH92" s="303">
        <v>3.6035699999999999</v>
      </c>
      <c r="BI92" s="367">
        <f t="shared" si="4"/>
        <v>98.75</v>
      </c>
      <c r="BJ92" s="367">
        <f t="shared" si="3"/>
        <v>24.639999999999997</v>
      </c>
      <c r="BK92" s="266">
        <v>9.8750000000000004E-2</v>
      </c>
      <c r="BL92" s="372">
        <v>2.4639999999999999E-2</v>
      </c>
    </row>
    <row r="93" spans="1:64" ht="14.25" x14ac:dyDescent="0.25">
      <c r="A93" s="125"/>
      <c r="B93" s="47" t="s">
        <v>382</v>
      </c>
      <c r="C93" s="82">
        <f ca="1">C80*C90*(C91/100)</f>
        <v>4.6073762173104932E-6</v>
      </c>
      <c r="D93" s="84" t="s">
        <v>343</v>
      </c>
      <c r="E93" s="82">
        <f ca="1">C80/(E90*1.6E-19)*(C91/100)</f>
        <v>2.8121192732607998E+20</v>
      </c>
      <c r="F93" s="84" t="s">
        <v>342</v>
      </c>
      <c r="G93" s="2"/>
      <c r="H93" s="135"/>
      <c r="J93" s="2"/>
      <c r="M93" s="2"/>
      <c r="N93" s="2"/>
      <c r="O93" s="14"/>
      <c r="P93" s="126"/>
      <c r="BH93" s="303">
        <v>3.7853500000000002</v>
      </c>
      <c r="BI93" s="367">
        <f t="shared" si="4"/>
        <v>125.4</v>
      </c>
      <c r="BJ93" s="367">
        <f t="shared" si="3"/>
        <v>29.09</v>
      </c>
      <c r="BK93" s="266">
        <v>0.12540000000000001</v>
      </c>
      <c r="BL93" s="372">
        <v>2.9090000000000001E-2</v>
      </c>
    </row>
    <row r="94" spans="1:64" ht="14.25" x14ac:dyDescent="0.25">
      <c r="A94" s="125"/>
      <c r="B94" s="13"/>
      <c r="C94" s="81">
        <f ca="1">C93*3600</f>
        <v>1.6586554382317775E-2</v>
      </c>
      <c r="D94" s="84" t="s">
        <v>344</v>
      </c>
      <c r="E94" s="86"/>
      <c r="F94" s="84"/>
      <c r="G94" s="2"/>
      <c r="H94" s="135"/>
      <c r="J94" s="4" t="s">
        <v>383</v>
      </c>
      <c r="K94" s="81">
        <f ca="1">C94*L90</f>
        <v>1.4226791544345058E-2</v>
      </c>
      <c r="L94" t="s">
        <v>344</v>
      </c>
      <c r="M94" s="2"/>
      <c r="N94" s="2"/>
      <c r="O94" s="14"/>
      <c r="P94" s="126"/>
      <c r="BH94" s="303">
        <v>3.9764200000000001</v>
      </c>
      <c r="BI94" s="367">
        <f t="shared" si="4"/>
        <v>155.29999999999998</v>
      </c>
      <c r="BJ94" s="367">
        <f t="shared" si="3"/>
        <v>34.049999999999997</v>
      </c>
      <c r="BK94" s="266">
        <v>0.15529999999999999</v>
      </c>
      <c r="BL94" s="372">
        <v>3.4049999999999997E-2</v>
      </c>
    </row>
    <row r="95" spans="1:64" x14ac:dyDescent="0.2">
      <c r="A95" s="125"/>
      <c r="B95" s="13"/>
      <c r="C95" s="2"/>
      <c r="D95" s="2"/>
      <c r="E95" s="2"/>
      <c r="F95" s="2"/>
      <c r="G95" s="2"/>
      <c r="H95" s="135"/>
      <c r="J95" s="2"/>
      <c r="K95" s="2"/>
      <c r="L95" s="96"/>
      <c r="M95" s="2"/>
      <c r="N95" s="2"/>
      <c r="O95" s="14"/>
      <c r="P95" s="126"/>
      <c r="BH95" s="371">
        <v>4.1775099999999998</v>
      </c>
      <c r="BI95" s="367">
        <f t="shared" si="4"/>
        <v>188.70000000000002</v>
      </c>
      <c r="BJ95" s="367">
        <f t="shared" si="3"/>
        <v>38.39</v>
      </c>
      <c r="BK95" s="372">
        <v>0.18870000000000001</v>
      </c>
      <c r="BL95" s="372">
        <v>3.8390000000000001E-2</v>
      </c>
    </row>
    <row r="96" spans="1:64" x14ac:dyDescent="0.2">
      <c r="A96" s="125"/>
      <c r="B96" s="47" t="s">
        <v>347</v>
      </c>
      <c r="C96" s="37">
        <v>96</v>
      </c>
      <c r="D96" s="83" t="s">
        <v>285</v>
      </c>
      <c r="E96" s="86"/>
      <c r="F96" s="83"/>
      <c r="G96" s="2"/>
      <c r="H96" s="135"/>
      <c r="J96" s="4" t="s">
        <v>347</v>
      </c>
      <c r="K96" s="79">
        <f>C96</f>
        <v>96</v>
      </c>
      <c r="L96" s="83" t="s">
        <v>285</v>
      </c>
      <c r="M96" s="2"/>
      <c r="N96" s="2"/>
      <c r="O96" s="14"/>
      <c r="P96" s="126"/>
      <c r="BL96" s="373"/>
    </row>
    <row r="97" spans="1:64" x14ac:dyDescent="0.2">
      <c r="A97" s="125"/>
      <c r="B97" s="13"/>
      <c r="C97" s="2"/>
      <c r="D97" s="2"/>
      <c r="E97" s="87"/>
      <c r="F97" s="87"/>
      <c r="G97" s="2"/>
      <c r="H97" s="135"/>
      <c r="J97" s="2"/>
      <c r="M97" s="2"/>
      <c r="N97" s="2"/>
      <c r="O97" s="14"/>
      <c r="P97" s="126"/>
      <c r="BL97" s="373"/>
    </row>
    <row r="98" spans="1:64" x14ac:dyDescent="0.2">
      <c r="A98" s="125"/>
      <c r="B98" s="47" t="s">
        <v>348</v>
      </c>
      <c r="C98" s="42">
        <f ca="1">C94*C96</f>
        <v>1.5923092207025062</v>
      </c>
      <c r="D98" s="83" t="s">
        <v>349</v>
      </c>
      <c r="E98" s="86"/>
      <c r="F98" s="87"/>
      <c r="G98" s="2"/>
      <c r="H98" s="135"/>
      <c r="J98" s="4" t="s">
        <v>348</v>
      </c>
      <c r="K98" s="42">
        <f ca="1">K94*K96</f>
        <v>1.3657719882571255</v>
      </c>
      <c r="L98" s="83" t="s">
        <v>349</v>
      </c>
      <c r="M98" s="2"/>
      <c r="N98" s="2"/>
      <c r="O98" s="14"/>
      <c r="P98" s="126"/>
      <c r="BL98" s="373"/>
    </row>
    <row r="99" spans="1:64" x14ac:dyDescent="0.2">
      <c r="A99" s="125"/>
      <c r="B99" s="13"/>
      <c r="H99" s="135"/>
      <c r="J99" s="2"/>
      <c r="O99" s="14"/>
      <c r="P99" s="126"/>
      <c r="BL99" s="373"/>
    </row>
    <row r="100" spans="1:64" x14ac:dyDescent="0.2">
      <c r="A100" s="125"/>
      <c r="B100" s="15"/>
      <c r="C100" s="16"/>
      <c r="D100" s="16"/>
      <c r="E100" s="16"/>
      <c r="F100" s="16"/>
      <c r="G100" s="16"/>
      <c r="H100" s="135"/>
      <c r="I100" s="15"/>
      <c r="J100" s="16"/>
      <c r="K100" s="16"/>
      <c r="L100" s="16"/>
      <c r="M100" s="16"/>
      <c r="N100" s="16"/>
      <c r="O100" s="17"/>
      <c r="P100" s="126"/>
      <c r="BL100" s="373"/>
    </row>
    <row r="101" spans="1:64" x14ac:dyDescent="0.2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BL101" s="373"/>
    </row>
    <row r="102" spans="1:64" x14ac:dyDescent="0.2">
      <c r="BL102" s="373"/>
    </row>
    <row r="103" spans="1:64" x14ac:dyDescent="0.2">
      <c r="BL103" s="373"/>
    </row>
    <row r="104" spans="1:64" x14ac:dyDescent="0.2">
      <c r="BL104" s="373"/>
    </row>
    <row r="105" spans="1:64" x14ac:dyDescent="0.2">
      <c r="BL105" s="373"/>
    </row>
    <row r="106" spans="1:64" x14ac:dyDescent="0.2">
      <c r="BL106" s="373"/>
    </row>
    <row r="107" spans="1:64" x14ac:dyDescent="0.2">
      <c r="BL107" s="373"/>
    </row>
    <row r="108" spans="1:64" x14ac:dyDescent="0.2">
      <c r="BL108" s="373"/>
    </row>
    <row r="109" spans="1:64" x14ac:dyDescent="0.2">
      <c r="BL109" s="373"/>
    </row>
    <row r="110" spans="1:64" x14ac:dyDescent="0.2">
      <c r="BL110" s="373"/>
    </row>
    <row r="111" spans="1:64" x14ac:dyDescent="0.2">
      <c r="BL111" s="373"/>
    </row>
    <row r="112" spans="1:64" x14ac:dyDescent="0.2">
      <c r="BL112" s="373"/>
    </row>
    <row r="113" spans="64:64" x14ac:dyDescent="0.2">
      <c r="BL113" s="373"/>
    </row>
    <row r="114" spans="64:64" x14ac:dyDescent="0.2">
      <c r="BL114" s="373"/>
    </row>
    <row r="115" spans="64:64" x14ac:dyDescent="0.2">
      <c r="BL115" s="373"/>
    </row>
    <row r="116" spans="64:64" x14ac:dyDescent="0.2">
      <c r="BL116" s="373"/>
    </row>
    <row r="117" spans="64:64" x14ac:dyDescent="0.2">
      <c r="BL117" s="373"/>
    </row>
    <row r="118" spans="64:64" x14ac:dyDescent="0.2">
      <c r="BL118" s="373"/>
    </row>
    <row r="119" spans="64:64" x14ac:dyDescent="0.2">
      <c r="BL119" s="373"/>
    </row>
    <row r="120" spans="64:64" x14ac:dyDescent="0.2">
      <c r="BL120" s="373"/>
    </row>
    <row r="121" spans="64:64" x14ac:dyDescent="0.2">
      <c r="BL121" s="373"/>
    </row>
    <row r="122" spans="64:64" x14ac:dyDescent="0.2">
      <c r="BL122" s="373"/>
    </row>
    <row r="123" spans="64:64" x14ac:dyDescent="0.2">
      <c r="BL123" s="373"/>
    </row>
    <row r="124" spans="64:64" x14ac:dyDescent="0.2">
      <c r="BL124" s="373"/>
    </row>
    <row r="125" spans="64:64" x14ac:dyDescent="0.2">
      <c r="BL125" s="373"/>
    </row>
    <row r="126" spans="64:64" x14ac:dyDescent="0.2">
      <c r="BL126" s="373"/>
    </row>
    <row r="127" spans="64:64" x14ac:dyDescent="0.2">
      <c r="BL127" s="373"/>
    </row>
    <row r="128" spans="64:64" x14ac:dyDescent="0.2">
      <c r="BL128" s="373"/>
    </row>
    <row r="129" spans="64:64" x14ac:dyDescent="0.2">
      <c r="BL129" s="373"/>
    </row>
  </sheetData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A340"/>
  <sheetViews>
    <sheetView topLeftCell="BE54" zoomScaleNormal="100" workbookViewId="0">
      <selection activeCell="BF100" sqref="A100:XFD100"/>
    </sheetView>
  </sheetViews>
  <sheetFormatPr defaultColWidth="8.85546875" defaultRowHeight="12.75" x14ac:dyDescent="0.2"/>
  <cols>
    <col min="1" max="1" width="11.42578125" style="142" customWidth="1"/>
    <col min="2" max="2" width="10.42578125" style="142" customWidth="1"/>
    <col min="3" max="3" width="11.85546875" style="142" customWidth="1"/>
    <col min="4" max="4" width="9" style="142" customWidth="1"/>
    <col min="5" max="5" width="10" style="142" customWidth="1"/>
    <col min="6" max="6" width="11.85546875" style="142" customWidth="1"/>
    <col min="7" max="7" width="12" style="142" customWidth="1"/>
    <col min="8" max="8" width="11.7109375" style="142" customWidth="1"/>
    <col min="9" max="9" width="6.42578125" style="142" customWidth="1"/>
    <col min="10" max="10" width="8.140625" style="142" customWidth="1"/>
    <col min="11" max="11" width="10.140625" style="142" customWidth="1"/>
    <col min="12" max="12" width="27.28515625" style="142" bestFit="1" customWidth="1"/>
    <col min="13" max="13" width="8.7109375" style="142" customWidth="1"/>
    <col min="14" max="15" width="9" style="142" customWidth="1"/>
    <col min="16" max="16" width="10.7109375" style="142" customWidth="1"/>
    <col min="17" max="17" width="10.85546875" style="142" customWidth="1"/>
    <col min="18" max="18" width="14.85546875" style="142" customWidth="1"/>
    <col min="19" max="19" width="15.42578125" style="142" customWidth="1"/>
    <col min="20" max="20" width="10.28515625" style="142" customWidth="1"/>
    <col min="21" max="21" width="9" style="142" bestFit="1" customWidth="1"/>
    <col min="22" max="23" width="10.28515625" style="142" customWidth="1"/>
    <col min="24" max="24" width="7.42578125" style="142" customWidth="1"/>
    <col min="25" max="25" width="9.7109375" style="142" customWidth="1"/>
    <col min="26" max="26" width="8.85546875" style="142"/>
    <col min="27" max="27" width="9.85546875" style="142" customWidth="1"/>
    <col min="28" max="28" width="10.42578125" style="142" customWidth="1"/>
    <col min="29" max="29" width="14.140625" style="142" customWidth="1"/>
    <col min="30" max="31" width="13.85546875" style="142" customWidth="1"/>
    <col min="32" max="32" width="5.85546875" style="420" customWidth="1"/>
    <col min="33" max="33" width="3.85546875" style="420" customWidth="1"/>
    <col min="34" max="34" width="6.42578125" style="142" customWidth="1"/>
    <col min="35" max="35" width="7" style="142" customWidth="1"/>
    <col min="36" max="36" width="8.28515625" style="142" customWidth="1"/>
    <col min="37" max="37" width="8.85546875" style="142"/>
    <col min="38" max="38" width="9" style="142" customWidth="1"/>
    <col min="39" max="39" width="9.42578125" style="142" customWidth="1"/>
    <col min="40" max="41" width="10.42578125" style="142" customWidth="1"/>
    <col min="42" max="42" width="13" style="142" customWidth="1"/>
    <col min="43" max="43" width="13.28515625" style="142" customWidth="1"/>
    <col min="44" max="44" width="11.42578125" style="142" customWidth="1"/>
    <col min="45" max="45" width="10.7109375" style="142" customWidth="1"/>
    <col min="46" max="46" width="13.85546875" style="142" bestFit="1" customWidth="1"/>
    <col min="47" max="47" width="12.42578125" style="142" bestFit="1" customWidth="1"/>
    <col min="48" max="48" width="11" style="142" customWidth="1"/>
    <col min="49" max="49" width="8.42578125" style="142" customWidth="1"/>
    <col min="50" max="50" width="8.7109375" style="142" customWidth="1"/>
    <col min="51" max="51" width="8.85546875" style="142"/>
    <col min="52" max="52" width="9.42578125" style="142" bestFit="1" customWidth="1"/>
    <col min="53" max="53" width="14" style="142" customWidth="1"/>
    <col min="54" max="54" width="13.7109375" style="142" customWidth="1"/>
    <col min="55" max="55" width="15.140625" style="142" bestFit="1" customWidth="1"/>
    <col min="56" max="56" width="15" style="142" customWidth="1"/>
    <col min="57" max="57" width="10.42578125" style="142" customWidth="1"/>
    <col min="58" max="58" width="3.28515625" style="142" customWidth="1"/>
    <col min="59" max="59" width="8.85546875" style="142"/>
    <col min="60" max="60" width="24.7109375" style="142" customWidth="1"/>
    <col min="61" max="61" width="12.28515625" style="142" customWidth="1"/>
    <col min="62" max="62" width="12.42578125" style="142" bestFit="1" customWidth="1"/>
    <col min="63" max="63" width="20.42578125" style="142" bestFit="1" customWidth="1"/>
    <col min="64" max="64" width="20.42578125" style="142" customWidth="1"/>
    <col min="65" max="65" width="37.5703125" style="142" bestFit="1" customWidth="1"/>
    <col min="66" max="66" width="28.140625" style="142" bestFit="1" customWidth="1"/>
    <col min="67" max="67" width="28.140625" style="142" customWidth="1"/>
    <col min="68" max="68" width="33.85546875" style="142" bestFit="1" customWidth="1"/>
    <col min="69" max="70" width="8.85546875" style="142"/>
    <col min="71" max="71" width="15" style="142" customWidth="1"/>
    <col min="72" max="72" width="14.28515625" style="142" customWidth="1"/>
    <col min="73" max="73" width="11.140625" style="142" customWidth="1"/>
    <col min="74" max="74" width="8.85546875" style="142"/>
    <col min="75" max="75" width="11.28515625" style="142" customWidth="1"/>
    <col min="76" max="76" width="4" style="142" customWidth="1"/>
    <col min="77" max="77" width="8.85546875" style="142"/>
    <col min="78" max="78" width="11.140625" style="142" customWidth="1"/>
    <col min="79" max="79" width="3.85546875" style="142" customWidth="1"/>
    <col min="80" max="92" width="8.85546875" style="142"/>
    <col min="93" max="93" width="4" style="142" customWidth="1"/>
    <col min="94" max="99" width="8.85546875" style="142"/>
    <col min="100" max="100" width="3.28515625" style="142" customWidth="1"/>
    <col min="101" max="102" width="8.85546875" style="142"/>
    <col min="103" max="103" width="3.42578125" style="142" customWidth="1"/>
    <col min="104" max="104" width="8.85546875" style="142"/>
    <col min="105" max="105" width="3.42578125" style="142" customWidth="1"/>
    <col min="106" max="111" width="8.85546875" style="142"/>
    <col min="112" max="112" width="3.42578125" style="142" customWidth="1"/>
    <col min="113" max="114" width="8.85546875" style="142"/>
    <col min="115" max="115" width="3.42578125" style="142" customWidth="1"/>
    <col min="116" max="16384" width="8.85546875" style="142"/>
  </cols>
  <sheetData>
    <row r="1" spans="1:68" ht="15.75" x14ac:dyDescent="0.25">
      <c r="A1" s="418" t="s">
        <v>121</v>
      </c>
      <c r="J1" s="419"/>
    </row>
    <row r="2" spans="1:68" ht="14.25" x14ac:dyDescent="0.25">
      <c r="I2" s="421"/>
      <c r="K2" s="422" t="s">
        <v>62</v>
      </c>
      <c r="L2" s="423" t="s">
        <v>63</v>
      </c>
      <c r="M2" s="424"/>
      <c r="N2" s="424"/>
      <c r="O2" s="425"/>
      <c r="BH2" s="142" t="s">
        <v>1812</v>
      </c>
      <c r="BL2" s="142" t="s">
        <v>1809</v>
      </c>
      <c r="BM2" s="142" t="s">
        <v>1813</v>
      </c>
      <c r="BN2" s="426" t="s">
        <v>1814</v>
      </c>
      <c r="BO2" s="142">
        <v>5</v>
      </c>
      <c r="BP2" s="142" t="s">
        <v>1816</v>
      </c>
    </row>
    <row r="3" spans="1:68" ht="14.25" x14ac:dyDescent="0.2">
      <c r="A3" s="10"/>
      <c r="B3" s="10" t="s">
        <v>59</v>
      </c>
      <c r="C3" s="10" t="s">
        <v>1749</v>
      </c>
      <c r="D3" s="10" t="s">
        <v>1750</v>
      </c>
      <c r="E3" s="10" t="s">
        <v>1741</v>
      </c>
      <c r="F3" s="10" t="s">
        <v>1739</v>
      </c>
      <c r="G3" s="10" t="s">
        <v>265</v>
      </c>
      <c r="H3" s="10"/>
      <c r="I3" s="427"/>
      <c r="J3" s="48"/>
      <c r="K3" s="48"/>
      <c r="L3" s="48"/>
      <c r="M3" s="48"/>
      <c r="N3" s="48"/>
      <c r="O3" s="428"/>
      <c r="BL3" s="142" t="s">
        <v>1811</v>
      </c>
      <c r="BM3" s="426">
        <f>SQRT(57.5^2+10^2)</f>
        <v>58.363087649643759</v>
      </c>
      <c r="BN3" s="426" t="s">
        <v>1802</v>
      </c>
      <c r="BO3" s="426" t="s">
        <v>1815</v>
      </c>
    </row>
    <row r="4" spans="1:68" ht="15" x14ac:dyDescent="0.25">
      <c r="B4" s="142" t="s">
        <v>1745</v>
      </c>
      <c r="C4" s="499" t="s">
        <v>1754</v>
      </c>
      <c r="D4" s="197">
        <v>7</v>
      </c>
      <c r="E4" s="21">
        <f>INDEX(Z_values,MATCH(C4,Symbol_values,0))</f>
        <v>3</v>
      </c>
      <c r="F4" s="429">
        <f ca="1">Masses!V2</f>
        <v>7.0160045510122844</v>
      </c>
      <c r="G4" s="21">
        <f ca="1">Masses!V2*Masses!$A$2</f>
        <v>6535.3651609999997</v>
      </c>
      <c r="H4" s="19"/>
      <c r="I4" s="427"/>
      <c r="J4" s="18" t="s">
        <v>65</v>
      </c>
      <c r="K4" s="48" t="s">
        <v>66</v>
      </c>
      <c r="L4" s="48"/>
      <c r="M4" s="48"/>
      <c r="N4" s="48"/>
      <c r="O4" s="428"/>
      <c r="P4" s="367"/>
      <c r="Q4" s="367"/>
      <c r="BH4" s="426" t="s">
        <v>1805</v>
      </c>
      <c r="BI4" s="426" t="s">
        <v>1806</v>
      </c>
      <c r="BJ4" s="426" t="s">
        <v>1804</v>
      </c>
      <c r="BK4" s="426" t="s">
        <v>1799</v>
      </c>
      <c r="BL4" s="426" t="s">
        <v>525</v>
      </c>
      <c r="BM4" s="426" t="s">
        <v>1803</v>
      </c>
      <c r="BN4" s="426" t="s">
        <v>1801</v>
      </c>
      <c r="BO4" s="426" t="s">
        <v>1808</v>
      </c>
      <c r="BP4" s="426" t="s">
        <v>1807</v>
      </c>
    </row>
    <row r="5" spans="1:68" ht="14.25" x14ac:dyDescent="0.25">
      <c r="B5" s="142" t="s">
        <v>1746</v>
      </c>
      <c r="C5" s="499" t="s">
        <v>1698</v>
      </c>
      <c r="D5" s="197">
        <v>197</v>
      </c>
      <c r="E5" s="21">
        <f>INDEX(Z_values,MATCH(C5,Symbol_values,0))</f>
        <v>79</v>
      </c>
      <c r="F5" s="21">
        <f ca="1">Masses!V3</f>
        <v>196.96656865671665</v>
      </c>
      <c r="G5" s="21">
        <f ca="1">Masses!V3*Masses!$A$2</f>
        <v>183473.14932900001</v>
      </c>
      <c r="H5" s="19"/>
      <c r="I5" s="427"/>
      <c r="J5" s="50" t="s">
        <v>512</v>
      </c>
      <c r="K5" s="48" t="s">
        <v>67</v>
      </c>
      <c r="L5" s="48"/>
      <c r="M5" s="48"/>
      <c r="N5" s="48"/>
      <c r="O5" s="428"/>
      <c r="P5" s="367"/>
      <c r="Q5" s="367"/>
      <c r="BH5" s="142">
        <v>0</v>
      </c>
      <c r="BI5" s="142">
        <f>RADIANS(BH5)</f>
        <v>0</v>
      </c>
      <c r="BJ5" s="142" t="e">
        <f>SIN(BI5/2)^-4</f>
        <v>#DIV/0!</v>
      </c>
      <c r="BK5" s="142">
        <f>(E4*E5*N16)^2</f>
        <v>116468.15603107335</v>
      </c>
      <c r="BL5" s="142">
        <f>(BO2)^2/(4*BM3^2)</f>
        <v>1.834862385321101E-3</v>
      </c>
      <c r="BM5" s="142" t="e">
        <f ca="1">$BK$5*$N$19*BJ5</f>
        <v>#DIV/0!</v>
      </c>
      <c r="BN5" s="142" t="e">
        <f ca="1">BM5/100</f>
        <v>#DIV/0!</v>
      </c>
      <c r="BO5" s="142" t="e">
        <f ca="1">BN5*10^-24</f>
        <v>#DIV/0!</v>
      </c>
      <c r="BP5" s="367" t="e">
        <f ca="1">$K$16*$K$17*BO5*($K$18/100)*$BL$5</f>
        <v>#DIV/0!</v>
      </c>
    </row>
    <row r="6" spans="1:68" ht="14.25" x14ac:dyDescent="0.25">
      <c r="B6" s="142" t="s">
        <v>60</v>
      </c>
      <c r="C6" s="21" t="str">
        <f>C4</f>
        <v>Li</v>
      </c>
      <c r="D6" s="198">
        <f>D4</f>
        <v>7</v>
      </c>
      <c r="E6" s="21">
        <f>INDEX(Z_values,MATCH(C6,Symbol_values,0))</f>
        <v>3</v>
      </c>
      <c r="F6" s="429">
        <f ca="1">Masses!V4</f>
        <v>7.0160045510122844</v>
      </c>
      <c r="G6" s="21">
        <f ca="1">Masses!V4*Masses!$A$2</f>
        <v>6535.3651609999997</v>
      </c>
      <c r="H6" s="19"/>
      <c r="I6" s="427"/>
      <c r="J6" s="18" t="s">
        <v>513</v>
      </c>
      <c r="K6" s="48" t="s">
        <v>68</v>
      </c>
      <c r="L6" s="48"/>
      <c r="M6" s="48"/>
      <c r="N6" s="48"/>
      <c r="O6" s="428"/>
      <c r="P6" s="430"/>
      <c r="Q6" s="430"/>
      <c r="BH6" s="142">
        <f>BH5+1</f>
        <v>1</v>
      </c>
      <c r="BI6" s="142">
        <f t="shared" ref="BI6:BI69" si="0">RADIANS(BH6)</f>
        <v>1.7453292519943295E-2</v>
      </c>
      <c r="BJ6" s="142">
        <f t="shared" ref="BJ6:BJ69" si="1">SIN(BI6/2)^-4</f>
        <v>172437834.901555</v>
      </c>
      <c r="BM6" s="142">
        <f ca="1">$BK$5*$N$19*BJ6</f>
        <v>149581664829.16959</v>
      </c>
      <c r="BN6" s="142">
        <f ca="1">BM6/100</f>
        <v>1495816648.2916958</v>
      </c>
      <c r="BO6" s="142">
        <f ca="1">BN6*10^-24</f>
        <v>1.495816648291696E-15</v>
      </c>
      <c r="BP6" s="367">
        <f ca="1">$K$16*$K$17*BO6*$BL$5*($K$18/100)</f>
        <v>41537991.836089306</v>
      </c>
    </row>
    <row r="7" spans="1:68" x14ac:dyDescent="0.2">
      <c r="B7" s="142" t="s">
        <v>61</v>
      </c>
      <c r="C7" s="21" t="str">
        <f>C5</f>
        <v>Au</v>
      </c>
      <c r="D7" s="198">
        <f>D5</f>
        <v>197</v>
      </c>
      <c r="E7" s="21">
        <f>INDEX(Z_values,MATCH(C7,Symbol_values,0))</f>
        <v>79</v>
      </c>
      <c r="F7" s="21">
        <f ca="1">Masses!V5</f>
        <v>196.96656865671665</v>
      </c>
      <c r="G7" s="21">
        <f ca="1">Masses!V5*Masses!$A$2</f>
        <v>183473.14932900001</v>
      </c>
      <c r="H7" s="19"/>
      <c r="I7" s="427"/>
      <c r="J7" s="50" t="s">
        <v>522</v>
      </c>
      <c r="K7" s="48" t="s">
        <v>69</v>
      </c>
      <c r="L7" s="48"/>
      <c r="M7" s="48"/>
      <c r="N7" s="48"/>
      <c r="O7" s="428"/>
      <c r="BH7" s="142">
        <f t="shared" ref="BH7:BH70" si="2">BH6+1</f>
        <v>2</v>
      </c>
      <c r="BI7" s="142">
        <f t="shared" si="0"/>
        <v>3.4906585039886591E-2</v>
      </c>
      <c r="BJ7" s="142">
        <f t="shared" si="1"/>
        <v>10779006.313708538</v>
      </c>
      <c r="BM7" s="142">
        <f ca="1">$BK$5*$N$19*BJ7</f>
        <v>9350278090.2412834</v>
      </c>
      <c r="BN7" s="142">
        <f t="shared" ref="BN7:BN69" ca="1" si="3">BM7/100</f>
        <v>93502780.902412832</v>
      </c>
      <c r="BO7" s="142">
        <f t="shared" ref="BO7:BO69" ca="1" si="4">BN7*10^-24</f>
        <v>9.3502780902412843E-17</v>
      </c>
      <c r="BP7" s="367">
        <f t="shared" ref="BP7:BP70" ca="1" si="5">$K$16*$K$17*BO7*$BL$5*($K$18/100)</f>
        <v>2596519.9372608378</v>
      </c>
    </row>
    <row r="8" spans="1:68" ht="15.75" x14ac:dyDescent="0.3">
      <c r="I8" s="427"/>
      <c r="J8" s="48"/>
      <c r="K8" s="50" t="s">
        <v>522</v>
      </c>
      <c r="L8" s="431" t="s">
        <v>1817</v>
      </c>
      <c r="M8" s="48"/>
      <c r="N8" s="48"/>
      <c r="O8" s="428"/>
      <c r="BH8" s="142">
        <f t="shared" si="2"/>
        <v>3</v>
      </c>
      <c r="BI8" s="142">
        <f t="shared" si="0"/>
        <v>5.235987755982989E-2</v>
      </c>
      <c r="BJ8" s="142">
        <f t="shared" si="1"/>
        <v>2129727.0081837289</v>
      </c>
      <c r="BM8" s="142">
        <f t="shared" ref="BM8:BM69" ca="1" si="6">$BK$5*$N$19*BJ8</f>
        <v>1847437435.6279738</v>
      </c>
      <c r="BN8" s="142">
        <f t="shared" ca="1" si="3"/>
        <v>18474374.356279738</v>
      </c>
      <c r="BO8" s="142">
        <f t="shared" ca="1" si="4"/>
        <v>1.8474374356279741E-17</v>
      </c>
      <c r="BP8" s="367">
        <f t="shared" ca="1" si="5"/>
        <v>513023.04467890819</v>
      </c>
    </row>
    <row r="9" spans="1:68" x14ac:dyDescent="0.2">
      <c r="B9" s="19" t="s">
        <v>347</v>
      </c>
      <c r="C9" s="23">
        <v>1</v>
      </c>
      <c r="D9" s="142" t="s">
        <v>285</v>
      </c>
      <c r="I9" s="427"/>
      <c r="J9" s="48"/>
      <c r="K9" s="48" t="s">
        <v>272</v>
      </c>
      <c r="L9" s="48" t="s">
        <v>276</v>
      </c>
      <c r="M9" s="48"/>
      <c r="N9" s="48"/>
      <c r="O9" s="428"/>
      <c r="P9" s="48"/>
      <c r="Q9" s="48"/>
      <c r="BH9" s="142">
        <f t="shared" si="2"/>
        <v>4</v>
      </c>
      <c r="BI9" s="142">
        <f t="shared" si="0"/>
        <v>6.9813170079773182E-2</v>
      </c>
      <c r="BJ9" s="142">
        <f t="shared" si="1"/>
        <v>674098.47464591591</v>
      </c>
      <c r="BM9" s="142">
        <f t="shared" ca="1" si="6"/>
        <v>584748539.40207171</v>
      </c>
      <c r="BN9" s="142">
        <f t="shared" ca="1" si="3"/>
        <v>5847485.3940207176</v>
      </c>
      <c r="BO9" s="142">
        <f t="shared" ca="1" si="4"/>
        <v>5.8474853940207182E-18</v>
      </c>
      <c r="BP9" s="367">
        <f t="shared" ca="1" si="5"/>
        <v>162381.39937530502</v>
      </c>
    </row>
    <row r="10" spans="1:68" x14ac:dyDescent="0.2">
      <c r="I10" s="427"/>
      <c r="J10" s="48"/>
      <c r="K10" s="48" t="s">
        <v>273</v>
      </c>
      <c r="L10" s="48" t="s">
        <v>275</v>
      </c>
      <c r="M10" s="48"/>
      <c r="N10" s="48"/>
      <c r="O10" s="428"/>
      <c r="P10" s="48"/>
      <c r="Q10" s="48"/>
      <c r="BH10" s="142">
        <f t="shared" si="2"/>
        <v>5</v>
      </c>
      <c r="BI10" s="142">
        <f t="shared" si="0"/>
        <v>8.7266462599716474E-2</v>
      </c>
      <c r="BJ10" s="142">
        <f t="shared" si="1"/>
        <v>276236.9393910162</v>
      </c>
      <c r="BM10" s="142">
        <f t="shared" ca="1" si="6"/>
        <v>239622477.89188641</v>
      </c>
      <c r="BN10" s="142">
        <f t="shared" ca="1" si="3"/>
        <v>2396224.7789188642</v>
      </c>
      <c r="BO10" s="142">
        <f t="shared" ca="1" si="4"/>
        <v>2.3962247789188645E-18</v>
      </c>
      <c r="BP10" s="367">
        <f t="shared" ca="1" si="5"/>
        <v>66541.822099547004</v>
      </c>
    </row>
    <row r="11" spans="1:68" ht="15.75" x14ac:dyDescent="0.3">
      <c r="I11" s="427"/>
      <c r="J11" s="48"/>
      <c r="K11" s="48" t="s">
        <v>277</v>
      </c>
      <c r="L11" s="48" t="s">
        <v>122</v>
      </c>
      <c r="M11" s="48"/>
      <c r="N11" s="48"/>
      <c r="O11" s="428"/>
      <c r="P11" s="48"/>
      <c r="Q11" s="48"/>
      <c r="BH11" s="142">
        <f t="shared" si="2"/>
        <v>6</v>
      </c>
      <c r="BI11" s="142">
        <f t="shared" si="0"/>
        <v>0.10471975511965978</v>
      </c>
      <c r="BJ11" s="142">
        <f t="shared" si="1"/>
        <v>133290.54548587312</v>
      </c>
      <c r="BM11" s="142">
        <f t="shared" ca="1" si="6"/>
        <v>115623243.07277222</v>
      </c>
      <c r="BN11" s="142">
        <f t="shared" ca="1" si="3"/>
        <v>1156232.4307277221</v>
      </c>
      <c r="BO11" s="142">
        <f t="shared" ca="1" si="4"/>
        <v>1.1562324307277223E-18</v>
      </c>
      <c r="BP11" s="367">
        <f t="shared" ca="1" si="5"/>
        <v>32107.92801580322</v>
      </c>
    </row>
    <row r="12" spans="1:68" x14ac:dyDescent="0.2">
      <c r="I12" s="427"/>
      <c r="J12" s="48"/>
      <c r="K12" s="52" t="s">
        <v>274</v>
      </c>
      <c r="L12" s="48" t="s">
        <v>278</v>
      </c>
      <c r="M12" s="48"/>
      <c r="N12" s="48"/>
      <c r="O12" s="428"/>
      <c r="P12" s="48"/>
      <c r="Q12" s="48"/>
      <c r="BH12" s="142">
        <f t="shared" si="2"/>
        <v>7</v>
      </c>
      <c r="BI12" s="142">
        <f t="shared" si="0"/>
        <v>0.12217304763960307</v>
      </c>
      <c r="BJ12" s="142">
        <f t="shared" si="1"/>
        <v>71994.427892261549</v>
      </c>
      <c r="BM12" s="142">
        <f t="shared" ca="1" si="6"/>
        <v>62451760.593585216</v>
      </c>
      <c r="BN12" s="142">
        <f t="shared" ca="1" si="3"/>
        <v>624517.60593585216</v>
      </c>
      <c r="BO12" s="142">
        <f t="shared" ca="1" si="4"/>
        <v>6.2451760593585224E-19</v>
      </c>
      <c r="BP12" s="367">
        <f t="shared" ca="1" si="5"/>
        <v>17342.504675612308</v>
      </c>
    </row>
    <row r="13" spans="1:68" x14ac:dyDescent="0.2">
      <c r="I13" s="427"/>
      <c r="J13" s="18" t="s">
        <v>64</v>
      </c>
      <c r="K13" s="48" t="s">
        <v>70</v>
      </c>
      <c r="L13" s="48"/>
      <c r="M13" s="48"/>
      <c r="N13" s="48"/>
      <c r="O13" s="428"/>
      <c r="P13" s="48"/>
      <c r="Q13" s="48"/>
      <c r="BH13" s="142">
        <f t="shared" si="2"/>
        <v>8</v>
      </c>
      <c r="BI13" s="142">
        <f t="shared" si="0"/>
        <v>0.13962634015954636</v>
      </c>
      <c r="BJ13" s="142">
        <f t="shared" si="1"/>
        <v>42233.971845588123</v>
      </c>
      <c r="BM13" s="142">
        <f t="shared" ca="1" si="6"/>
        <v>36635972.752835691</v>
      </c>
      <c r="BN13" s="142">
        <f t="shared" ca="1" si="3"/>
        <v>366359.72752835689</v>
      </c>
      <c r="BO13" s="142">
        <f t="shared" ca="1" si="4"/>
        <v>3.6635972752835691E-19</v>
      </c>
      <c r="BP13" s="367">
        <f t="shared" ca="1" si="5"/>
        <v>10173.604758661031</v>
      </c>
    </row>
    <row r="14" spans="1:68" x14ac:dyDescent="0.2">
      <c r="I14" s="427"/>
      <c r="J14" s="50" t="s">
        <v>511</v>
      </c>
      <c r="K14" s="48" t="s">
        <v>29</v>
      </c>
      <c r="L14" s="48"/>
      <c r="M14" s="48"/>
      <c r="N14" s="48"/>
      <c r="O14" s="428"/>
      <c r="P14" s="48"/>
      <c r="Q14" s="48"/>
      <c r="BH14" s="142">
        <f t="shared" si="2"/>
        <v>9</v>
      </c>
      <c r="BI14" s="142">
        <f t="shared" si="0"/>
        <v>0.15707963267948966</v>
      </c>
      <c r="BJ14" s="142">
        <f t="shared" si="1"/>
        <v>26389.235350911782</v>
      </c>
      <c r="BM14" s="142">
        <f t="shared" ca="1" si="6"/>
        <v>22891413.358394954</v>
      </c>
      <c r="BN14" s="142">
        <f t="shared" ca="1" si="3"/>
        <v>228914.13358394953</v>
      </c>
      <c r="BO14" s="142">
        <f t="shared" ca="1" si="4"/>
        <v>2.2891413358394957E-19</v>
      </c>
      <c r="BP14" s="367">
        <f t="shared" ca="1" si="5"/>
        <v>6356.8174768177178</v>
      </c>
    </row>
    <row r="15" spans="1:68" x14ac:dyDescent="0.2">
      <c r="I15" s="427"/>
      <c r="J15" s="48"/>
      <c r="K15" s="48"/>
      <c r="L15" s="48"/>
      <c r="M15" s="48"/>
      <c r="N15" s="48"/>
      <c r="O15" s="428"/>
      <c r="P15" s="48"/>
      <c r="Q15" s="48"/>
      <c r="BH15" s="142">
        <f t="shared" si="2"/>
        <v>10</v>
      </c>
      <c r="BI15" s="142">
        <f t="shared" si="0"/>
        <v>0.17453292519943295</v>
      </c>
      <c r="BJ15" s="142">
        <f t="shared" si="1"/>
        <v>17330.694498272311</v>
      </c>
      <c r="BM15" s="142">
        <f t="shared" ca="1" si="6"/>
        <v>15033557.671245879</v>
      </c>
      <c r="BN15" s="142">
        <f t="shared" ca="1" si="3"/>
        <v>150335.57671245877</v>
      </c>
      <c r="BO15" s="142">
        <f t="shared" ca="1" si="4"/>
        <v>1.5033557671245879E-19</v>
      </c>
      <c r="BP15" s="367">
        <f t="shared" ca="1" si="5"/>
        <v>4174.7348950070909</v>
      </c>
    </row>
    <row r="16" spans="1:68" ht="15" x14ac:dyDescent="0.25">
      <c r="I16" s="427"/>
      <c r="J16" s="50" t="s">
        <v>512</v>
      </c>
      <c r="K16" s="22">
        <v>125000000</v>
      </c>
      <c r="L16" s="48" t="s">
        <v>518</v>
      </c>
      <c r="M16" s="50" t="s">
        <v>281</v>
      </c>
      <c r="N16" s="21">
        <v>1.4399759999999999</v>
      </c>
      <c r="O16" s="428" t="s">
        <v>79</v>
      </c>
      <c r="P16" s="48"/>
      <c r="Q16" s="48"/>
      <c r="BH16" s="142">
        <f t="shared" si="2"/>
        <v>11</v>
      </c>
      <c r="BI16" s="142">
        <f t="shared" si="0"/>
        <v>0.19198621771937624</v>
      </c>
      <c r="BJ16" s="142">
        <f t="shared" si="1"/>
        <v>11849.731607786774</v>
      </c>
      <c r="BM16" s="142">
        <f t="shared" ca="1" si="6"/>
        <v>10279081.633584082</v>
      </c>
      <c r="BN16" s="142">
        <f t="shared" ca="1" si="3"/>
        <v>102790.81633584082</v>
      </c>
      <c r="BO16" s="142">
        <f t="shared" ca="1" si="4"/>
        <v>1.0279081633584084E-19</v>
      </c>
      <c r="BP16" s="367">
        <f t="shared" ca="1" si="5"/>
        <v>2854.4434872144052</v>
      </c>
    </row>
    <row r="17" spans="1:79" ht="15" x14ac:dyDescent="0.25">
      <c r="I17" s="427"/>
      <c r="J17" s="18" t="s">
        <v>513</v>
      </c>
      <c r="K17" s="22">
        <f ca="1">Target!D17</f>
        <v>1.2229773920337059E+17</v>
      </c>
      <c r="L17" s="48" t="s">
        <v>519</v>
      </c>
      <c r="M17" s="48"/>
      <c r="N17" s="48"/>
      <c r="O17" s="428"/>
      <c r="P17" s="48"/>
      <c r="Q17" s="48"/>
      <c r="BH17" s="142">
        <f t="shared" si="2"/>
        <v>12</v>
      </c>
      <c r="BI17" s="142">
        <f t="shared" si="0"/>
        <v>0.20943951023931956</v>
      </c>
      <c r="BJ17" s="142">
        <f t="shared" si="1"/>
        <v>8376.4835021443523</v>
      </c>
      <c r="BM17" s="142">
        <f t="shared" ca="1" si="6"/>
        <v>7266203.1994321123</v>
      </c>
      <c r="BN17" s="142">
        <f t="shared" ca="1" si="3"/>
        <v>72662.031994321122</v>
      </c>
      <c r="BO17" s="142">
        <f t="shared" ca="1" si="4"/>
        <v>7.2662031994321132E-20</v>
      </c>
      <c r="BP17" s="367">
        <f t="shared" ca="1" si="5"/>
        <v>2017.7839945963697</v>
      </c>
    </row>
    <row r="18" spans="1:79" x14ac:dyDescent="0.2">
      <c r="I18" s="427"/>
      <c r="J18" s="50" t="s">
        <v>511</v>
      </c>
      <c r="K18" s="23">
        <v>99</v>
      </c>
      <c r="L18" s="48" t="s">
        <v>520</v>
      </c>
      <c r="M18" s="48"/>
      <c r="N18" s="48"/>
      <c r="O18" s="428"/>
      <c r="P18" s="48"/>
      <c r="Q18" s="48"/>
      <c r="BH18" s="142">
        <f t="shared" si="2"/>
        <v>13</v>
      </c>
      <c r="BI18" s="142">
        <f t="shared" si="0"/>
        <v>0.22689280275926285</v>
      </c>
      <c r="BJ18" s="142">
        <f t="shared" si="1"/>
        <v>6089.2664005042343</v>
      </c>
      <c r="BM18" s="142">
        <f t="shared" ca="1" si="6"/>
        <v>5282150.5575951459</v>
      </c>
      <c r="BN18" s="142">
        <f t="shared" ca="1" si="3"/>
        <v>52821.505575951458</v>
      </c>
      <c r="BO18" s="142">
        <f t="shared" ca="1" si="4"/>
        <v>5.2821505575951462E-20</v>
      </c>
      <c r="BP18" s="367">
        <f t="shared" ca="1" si="5"/>
        <v>1466.8236711294787</v>
      </c>
    </row>
    <row r="19" spans="1:79" ht="15" x14ac:dyDescent="0.25">
      <c r="I19" s="427"/>
      <c r="J19" s="50" t="s">
        <v>123</v>
      </c>
      <c r="K19" s="49">
        <f>Reaction!C24</f>
        <v>3</v>
      </c>
      <c r="L19" s="48" t="s">
        <v>593</v>
      </c>
      <c r="M19" s="426" t="s">
        <v>1818</v>
      </c>
      <c r="N19" s="142">
        <f ca="1">(1/(4*K20))^2</f>
        <v>7.4479817132737901E-3</v>
      </c>
      <c r="O19" s="432" t="s">
        <v>1800</v>
      </c>
      <c r="P19" s="48"/>
      <c r="Q19" s="48"/>
      <c r="BH19" s="142">
        <f t="shared" si="2"/>
        <v>14</v>
      </c>
      <c r="BI19" s="142">
        <f t="shared" si="0"/>
        <v>0.24434609527920614</v>
      </c>
      <c r="BJ19" s="142">
        <f t="shared" si="1"/>
        <v>4533.379901118672</v>
      </c>
      <c r="BM19" s="142">
        <f t="shared" ca="1" si="6"/>
        <v>3932492.6185692451</v>
      </c>
      <c r="BN19" s="142">
        <f t="shared" ca="1" si="3"/>
        <v>39324.92618569245</v>
      </c>
      <c r="BO19" s="142">
        <f t="shared" ca="1" si="4"/>
        <v>3.9324926185692453E-20</v>
      </c>
      <c r="BP19" s="367">
        <f t="shared" ca="1" si="5"/>
        <v>1092.0312089864951</v>
      </c>
    </row>
    <row r="20" spans="1:79" ht="14.25" x14ac:dyDescent="0.25">
      <c r="I20" s="427"/>
      <c r="J20" s="50" t="s">
        <v>124</v>
      </c>
      <c r="K20" s="38">
        <f ca="1">(K19*F5)/(F4+F5)</f>
        <v>2.8968146478297325</v>
      </c>
      <c r="L20" s="48"/>
      <c r="M20" s="48"/>
      <c r="N20" s="48"/>
      <c r="O20" s="428"/>
      <c r="P20" s="48"/>
      <c r="Q20" s="48"/>
      <c r="BH20" s="142">
        <f t="shared" si="2"/>
        <v>15</v>
      </c>
      <c r="BI20" s="142">
        <f t="shared" si="0"/>
        <v>0.26179938779914941</v>
      </c>
      <c r="BJ20" s="142">
        <f t="shared" si="1"/>
        <v>3445.1594359366859</v>
      </c>
      <c r="BM20" s="142">
        <f t="shared" ca="1" si="6"/>
        <v>2988512.8418803015</v>
      </c>
      <c r="BN20" s="142">
        <f t="shared" ca="1" si="3"/>
        <v>29885.128418803015</v>
      </c>
      <c r="BO20" s="142">
        <f t="shared" ca="1" si="4"/>
        <v>2.9885128418803018E-20</v>
      </c>
      <c r="BP20" s="367">
        <f t="shared" ca="1" si="5"/>
        <v>829.89330390086934</v>
      </c>
    </row>
    <row r="21" spans="1:79" x14ac:dyDescent="0.2">
      <c r="H21" s="428"/>
      <c r="I21" s="419"/>
      <c r="J21" s="419"/>
      <c r="K21" s="419"/>
      <c r="L21" s="419"/>
      <c r="M21" s="419"/>
      <c r="N21" s="419"/>
      <c r="O21" s="433"/>
      <c r="P21" s="48"/>
      <c r="Q21" s="48"/>
      <c r="BH21" s="142">
        <f t="shared" si="2"/>
        <v>16</v>
      </c>
      <c r="BI21" s="142">
        <f t="shared" si="0"/>
        <v>0.27925268031909273</v>
      </c>
      <c r="BJ21" s="142">
        <f t="shared" si="1"/>
        <v>2665.5005962066066</v>
      </c>
      <c r="BM21" s="142">
        <f t="shared" ca="1" si="6"/>
        <v>2312195.6791637545</v>
      </c>
      <c r="BN21" s="142">
        <f t="shared" ca="1" si="3"/>
        <v>23121.956791637545</v>
      </c>
      <c r="BO21" s="142">
        <f t="shared" ca="1" si="4"/>
        <v>2.3121956791637547E-20</v>
      </c>
      <c r="BP21" s="367">
        <f t="shared" ca="1" si="5"/>
        <v>642.08380989897682</v>
      </c>
    </row>
    <row r="22" spans="1:79" x14ac:dyDescent="0.2">
      <c r="J22" s="48"/>
      <c r="K22" s="48"/>
      <c r="L22" s="48"/>
      <c r="M22" s="48"/>
      <c r="N22" s="48"/>
      <c r="O22" s="48"/>
      <c r="P22" s="48"/>
      <c r="Q22" s="48"/>
      <c r="S22" s="436" t="e">
        <f ca="1">DEGREES(ASIN($G$5/$G$4))</f>
        <v>#NUM!</v>
      </c>
      <c r="BH22" s="142">
        <f t="shared" si="2"/>
        <v>17</v>
      </c>
      <c r="BI22" s="142">
        <f t="shared" si="0"/>
        <v>0.29670597283903605</v>
      </c>
      <c r="BJ22" s="142">
        <f t="shared" si="1"/>
        <v>2095.0367855528152</v>
      </c>
      <c r="BM22" s="142">
        <f t="shared" ca="1" si="6"/>
        <v>1817345.3084716045</v>
      </c>
      <c r="BN22" s="142">
        <f t="shared" ca="1" si="3"/>
        <v>18173.453084716046</v>
      </c>
      <c r="BO22" s="142">
        <f t="shared" ca="1" si="4"/>
        <v>1.8173453084716047E-20</v>
      </c>
      <c r="BP22" s="367">
        <f t="shared" ca="1" si="5"/>
        <v>504.6666292480507</v>
      </c>
    </row>
    <row r="23" spans="1:79" ht="26.25" thickBot="1" x14ac:dyDescent="0.35">
      <c r="A23" s="434" t="s">
        <v>286</v>
      </c>
      <c r="B23" s="435"/>
      <c r="C23" s="424"/>
      <c r="D23" s="424"/>
      <c r="E23" s="424"/>
      <c r="F23" s="424"/>
      <c r="G23" s="424"/>
      <c r="H23" s="424"/>
      <c r="I23" s="424"/>
      <c r="J23" s="422" t="s">
        <v>106</v>
      </c>
      <c r="K23" s="424"/>
      <c r="L23" s="422"/>
      <c r="M23" s="424"/>
      <c r="N23" s="424"/>
      <c r="O23" s="424"/>
      <c r="P23" s="424"/>
      <c r="Q23" s="244" t="s">
        <v>335</v>
      </c>
      <c r="R23" s="424" t="s">
        <v>337</v>
      </c>
      <c r="S23" s="436" t="e">
        <f ca="1">DEGREES(ASIN($G$5/$G$4))</f>
        <v>#NUM!</v>
      </c>
      <c r="T23" s="424"/>
      <c r="U23" s="247" t="s">
        <v>336</v>
      </c>
      <c r="V23" s="247"/>
      <c r="W23" s="247"/>
      <c r="X23" s="437"/>
      <c r="Y23" s="424"/>
      <c r="Z23" s="424"/>
      <c r="AA23" s="424"/>
      <c r="AB23" s="424"/>
      <c r="AC23" s="424"/>
      <c r="AD23" s="424"/>
      <c r="AE23" s="424"/>
      <c r="AF23" s="438"/>
      <c r="AG23" s="439"/>
      <c r="AH23" s="422" t="s">
        <v>107</v>
      </c>
      <c r="AI23" s="424"/>
      <c r="AJ23" s="422"/>
      <c r="AK23" s="424"/>
      <c r="AL23" s="424"/>
      <c r="AM23" s="424"/>
      <c r="AN23" s="424"/>
      <c r="AO23" s="244" t="s">
        <v>335</v>
      </c>
      <c r="AP23" s="424" t="s">
        <v>337</v>
      </c>
      <c r="AQ23" s="436" t="e">
        <f ca="1">DEGREES(ASIN($G$5/$G$4))</f>
        <v>#NUM!</v>
      </c>
      <c r="AR23" s="424"/>
      <c r="AS23" s="247" t="s">
        <v>336</v>
      </c>
      <c r="AT23" s="424"/>
      <c r="AU23" s="437"/>
      <c r="AV23" s="437"/>
      <c r="AW23" s="424"/>
      <c r="AX23" s="424"/>
      <c r="AY23" s="424"/>
      <c r="AZ23" s="424"/>
      <c r="BA23" s="424"/>
      <c r="BB23" s="424"/>
      <c r="BC23" s="424"/>
      <c r="BD23" s="425"/>
      <c r="BH23" s="142">
        <f t="shared" si="2"/>
        <v>18</v>
      </c>
      <c r="BI23" s="142">
        <f t="shared" si="0"/>
        <v>0.31415926535897931</v>
      </c>
      <c r="BJ23" s="142">
        <f t="shared" si="1"/>
        <v>1669.8222151691693</v>
      </c>
      <c r="BM23" s="142">
        <f t="shared" ca="1" si="6"/>
        <v>1448491.7828870502</v>
      </c>
      <c r="BN23" s="142">
        <f t="shared" ca="1" si="3"/>
        <v>14484.917828870502</v>
      </c>
      <c r="BO23" s="142">
        <f t="shared" ca="1" si="4"/>
        <v>1.4484917828870505E-20</v>
      </c>
      <c r="BP23" s="367">
        <f t="shared" ca="1" si="5"/>
        <v>402.23806788699164</v>
      </c>
    </row>
    <row r="24" spans="1:79" ht="41.25" x14ac:dyDescent="0.2">
      <c r="A24" s="427"/>
      <c r="B24" s="48"/>
      <c r="C24" s="48"/>
      <c r="D24" s="48"/>
      <c r="E24" s="48"/>
      <c r="F24" s="48"/>
      <c r="G24" s="48"/>
      <c r="H24" s="48"/>
      <c r="I24" s="48"/>
      <c r="J24" s="48"/>
      <c r="K24" s="149" t="s">
        <v>116</v>
      </c>
      <c r="L24" s="149" t="s">
        <v>117</v>
      </c>
      <c r="M24" s="149" t="s">
        <v>297</v>
      </c>
      <c r="N24" s="149" t="s">
        <v>118</v>
      </c>
      <c r="O24" s="149" t="s">
        <v>298</v>
      </c>
      <c r="P24" s="220" t="s">
        <v>333</v>
      </c>
      <c r="Q24" s="223" t="s">
        <v>334</v>
      </c>
      <c r="R24" s="224" t="s">
        <v>332</v>
      </c>
      <c r="S24" s="224" t="s">
        <v>105</v>
      </c>
      <c r="T24" s="283" t="s">
        <v>283</v>
      </c>
      <c r="U24" s="223" t="s">
        <v>149</v>
      </c>
      <c r="V24" s="224" t="s">
        <v>150</v>
      </c>
      <c r="W24" s="225" t="s">
        <v>283</v>
      </c>
      <c r="X24" s="222" t="s">
        <v>103</v>
      </c>
      <c r="Y24" s="148" t="s">
        <v>102</v>
      </c>
      <c r="Z24" s="148" t="s">
        <v>282</v>
      </c>
      <c r="AA24" s="148" t="s">
        <v>104</v>
      </c>
      <c r="AB24" s="149" t="s">
        <v>296</v>
      </c>
      <c r="AC24" s="149" t="s">
        <v>295</v>
      </c>
      <c r="AD24" s="149" t="s">
        <v>108</v>
      </c>
      <c r="AE24" s="149" t="s">
        <v>1570</v>
      </c>
      <c r="AF24" s="209"/>
      <c r="AG24" s="236"/>
      <c r="AH24" s="48"/>
      <c r="AI24" s="149" t="s">
        <v>116</v>
      </c>
      <c r="AJ24" s="149" t="s">
        <v>117</v>
      </c>
      <c r="AK24" s="149" t="s">
        <v>297</v>
      </c>
      <c r="AL24" s="149" t="s">
        <v>118</v>
      </c>
      <c r="AM24" s="149" t="s">
        <v>298</v>
      </c>
      <c r="AN24" s="220" t="s">
        <v>333</v>
      </c>
      <c r="AO24" s="223" t="s">
        <v>334</v>
      </c>
      <c r="AP24" s="224" t="s">
        <v>332</v>
      </c>
      <c r="AQ24" s="224" t="s">
        <v>105</v>
      </c>
      <c r="AR24" s="225" t="s">
        <v>283</v>
      </c>
      <c r="AS24" s="223" t="s">
        <v>149</v>
      </c>
      <c r="AT24" s="224" t="s">
        <v>150</v>
      </c>
      <c r="AU24" s="225" t="s">
        <v>283</v>
      </c>
      <c r="AV24" s="222" t="s">
        <v>103</v>
      </c>
      <c r="AW24" s="148" t="s">
        <v>102</v>
      </c>
      <c r="AX24" s="148" t="s">
        <v>282</v>
      </c>
      <c r="AY24" s="148" t="s">
        <v>104</v>
      </c>
      <c r="AZ24" s="149" t="s">
        <v>296</v>
      </c>
      <c r="BA24" s="149" t="s">
        <v>295</v>
      </c>
      <c r="BB24" s="149" t="s">
        <v>108</v>
      </c>
      <c r="BC24" s="149" t="s">
        <v>1570</v>
      </c>
      <c r="BD24" s="428"/>
      <c r="BG24" s="209"/>
      <c r="BH24" s="142">
        <f t="shared" si="2"/>
        <v>19</v>
      </c>
      <c r="BI24" s="142">
        <f t="shared" si="0"/>
        <v>0.33161255787892263</v>
      </c>
      <c r="BJ24" s="142">
        <f t="shared" si="1"/>
        <v>1347.6064601118533</v>
      </c>
      <c r="BM24" s="142">
        <f t="shared" ca="1" si="6"/>
        <v>1168984.8573728362</v>
      </c>
      <c r="BN24" s="142">
        <f t="shared" ca="1" si="3"/>
        <v>11689.848573728363</v>
      </c>
      <c r="BO24" s="142">
        <f t="shared" ca="1" si="4"/>
        <v>1.1689848573728364E-20</v>
      </c>
      <c r="BP24" s="367">
        <f t="shared" ca="1" si="5"/>
        <v>324.62055772356831</v>
      </c>
    </row>
    <row r="25" spans="1:79" x14ac:dyDescent="0.2">
      <c r="A25" s="427"/>
      <c r="B25" s="48"/>
      <c r="C25" s="48"/>
      <c r="D25" s="48"/>
      <c r="E25" s="48"/>
      <c r="F25" s="48"/>
      <c r="G25" s="48"/>
      <c r="H25" s="48"/>
      <c r="I25" s="48"/>
      <c r="J25" s="48" t="s">
        <v>291</v>
      </c>
      <c r="K25" s="21">
        <v>0</v>
      </c>
      <c r="L25" s="324">
        <f t="shared" ref="L25:L72" si="7">$C$43+(K25*$C$44)</f>
        <v>11</v>
      </c>
      <c r="M25" s="440">
        <f t="shared" ref="M25:M72" si="8">DEGREES(ATAN(L25/$C$35))</f>
        <v>23.749494492866763</v>
      </c>
      <c r="N25" s="440">
        <f t="shared" ref="N25:N72" si="9">$C$43+$C$46+(K25*$C$44)</f>
        <v>11.391</v>
      </c>
      <c r="O25" s="440">
        <f t="shared" ref="O25:O72" si="10">DEGREES(ATAN(N25/$C$35))</f>
        <v>24.495907680378611</v>
      </c>
      <c r="P25" s="441">
        <f>DEGREES(ATAN((L25+($C$46/2))/$C$35))</f>
        <v>24.123789689887399</v>
      </c>
      <c r="Q25" s="442" t="e">
        <f ca="1">IF(P25&gt;$S$23,"no scattering",P25+DEGREES(ASIN(($F$4/$F$5)*SIN(RADIANS(P25)))))</f>
        <v>#NUM!</v>
      </c>
      <c r="R25" s="440" t="e">
        <f ca="1">(($E$4*$E$5*$N$16*0.000000000000001)^2)*((1/(4*$K$20))^2)*(1/((SIN(RADIANS(Q25)/2))^4))/1E-31</f>
        <v>#NUM!</v>
      </c>
      <c r="S25" s="440" t="e">
        <f ca="1">R25/((((SIN(RADIANS(P25)))^2)/((SIN(RADIANS(Q25))^2)))*COS(RADIANS(Q25)-RADIANS(P25)))</f>
        <v>#NUM!</v>
      </c>
      <c r="T25" s="441" t="e">
        <f ca="1">$K$19-((2*$K$19*$F$4*$F$5*(1-COS(RADIANS(Q25))))/($F$4+$F$5)^2)</f>
        <v>#NUM!</v>
      </c>
      <c r="U25" s="443" t="e">
        <f ca="1">DEGREES(0.5*(PI()-RADIANS(Q25)))</f>
        <v>#NUM!</v>
      </c>
      <c r="V25" s="383" t="e">
        <f ca="1">DEGREES(2*RADIANS(U25))</f>
        <v>#NUM!</v>
      </c>
      <c r="W25" s="444" t="e">
        <f ca="1">$K$19-T25</f>
        <v>#NUM!</v>
      </c>
      <c r="X25" s="445">
        <v>360</v>
      </c>
      <c r="Y25" s="446">
        <f t="shared" ref="Y25:Y72" si="11">(RADIANS(X25))*(COS(RADIANS(M25))-COS(RADIANS(O25)))</f>
        <v>3.3452587312126365E-2</v>
      </c>
      <c r="Z25" s="447" t="e">
        <f ca="1">$K$16*($K$17*10000)*(S25*1E-28*0.001)*Y25*($K$18/100)</f>
        <v>#NUM!</v>
      </c>
      <c r="AA25" s="440">
        <f t="shared" ref="AA25:AA72" si="12">((PI()*(N25/10)^2)-(PI()*(L25/10)^2))*(X25/360)</f>
        <v>0.27504269832652817</v>
      </c>
      <c r="AB25" s="446" t="e">
        <f t="shared" ref="AB25:AB72" ca="1" si="13">Z25/AA25</f>
        <v>#NUM!</v>
      </c>
      <c r="AC25" s="448" t="e">
        <f t="shared" ref="AC25:AC72" ca="1" si="14">($C$47/AB25)/(60*60)</f>
        <v>#NUM!</v>
      </c>
      <c r="AD25" s="449" t="e">
        <f ca="1">AC25/24</f>
        <v>#NUM!</v>
      </c>
      <c r="AE25" s="449" t="e">
        <f ca="1">Z25*($C$9*60*60)</f>
        <v>#NUM!</v>
      </c>
      <c r="AF25" s="450"/>
      <c r="AG25" s="451"/>
      <c r="AH25" s="48" t="s">
        <v>291</v>
      </c>
      <c r="AI25" s="21">
        <v>0</v>
      </c>
      <c r="AJ25" s="324">
        <f t="shared" ref="AJ25:AJ72" si="15">$G$43+(AI25*$G$44)</f>
        <v>11</v>
      </c>
      <c r="AK25" s="440">
        <f>DEGREES(ATAN(AJ25/$C$36))</f>
        <v>5.2374760668125129</v>
      </c>
      <c r="AL25" s="440">
        <f>$G$43+$G$46+(AI25*$G$44)</f>
        <v>11.391</v>
      </c>
      <c r="AM25" s="440">
        <f>DEGREES(ATAN(AL25/$C$36))</f>
        <v>5.4225537202478398</v>
      </c>
      <c r="AN25" s="441">
        <f>DEGREES(ATAN((AJ25+($G$46/2))/$C$36))</f>
        <v>5.3300288375247806</v>
      </c>
      <c r="AO25" s="442" t="e">
        <f ca="1">IF(AN25&gt;$AQ$23,"no scattering",AN25+DEGREES(ASIN(($F$4/$F$5)*SIN(RADIANS(AN25)))))</f>
        <v>#NUM!</v>
      </c>
      <c r="AP25" s="440" t="e">
        <f ca="1">(($E$4*$E$5*$N$16*0.000000000000001)^2)*((1/(4*$K$20))^2)*(1/((SIN(RADIANS(AO25)/2))^4))/1E-31</f>
        <v>#NUM!</v>
      </c>
      <c r="AQ25" s="440" t="e">
        <f ca="1">AP25/((((SIN(RADIANS(AN25)))^2)/((SIN(RADIANS(AO25))^2)))*COS(RADIANS(AO25)-RADIANS(AN25)))</f>
        <v>#NUM!</v>
      </c>
      <c r="AR25" s="452" t="e">
        <f ca="1">$K$19-((2*$K$19*$F$4*$F$5*(1-COS(RADIANS(AO25))))/($F$4+$F$5)^2)</f>
        <v>#NUM!</v>
      </c>
      <c r="AS25" s="442" t="e">
        <f ca="1">DEGREES(0.5*(PI()-RADIANS(AO25)))</f>
        <v>#NUM!</v>
      </c>
      <c r="AT25" s="383" t="e">
        <f ca="1">DEGREES(2*RADIANS(AS25))</f>
        <v>#NUM!</v>
      </c>
      <c r="AU25" s="444" t="e">
        <f ca="1">$K$19-AR25</f>
        <v>#NUM!</v>
      </c>
      <c r="AV25" s="445">
        <v>360</v>
      </c>
      <c r="AW25" s="446">
        <f>(RADIANS(AV25))*(COS(RADIANS(AK25))-COS(RADIANS(AM25)))</f>
        <v>1.8853424723661593E-3</v>
      </c>
      <c r="AX25" s="447" t="e">
        <f ca="1">$K$16*($K$17*10000)*(AQ25*1E-28*0.001)*AW25*($K$18/100)</f>
        <v>#NUM!</v>
      </c>
      <c r="AY25" s="440">
        <f>((PI()*(AL25/10)^2)-(PI()*(AJ25/10)^2))*(AV25/360)</f>
        <v>0.27504269832652817</v>
      </c>
      <c r="AZ25" s="446" t="e">
        <f ca="1">AX25/AY25</f>
        <v>#NUM!</v>
      </c>
      <c r="BA25" s="448" t="e">
        <f t="shared" ref="BA25:BA72" ca="1" si="16">($G$47/AZ25)/(60*60)</f>
        <v>#NUM!</v>
      </c>
      <c r="BB25" s="449" t="e">
        <f ca="1">BA25/24</f>
        <v>#NUM!</v>
      </c>
      <c r="BC25" s="449" t="e">
        <f ca="1">AX25*($C$9*60*60)</f>
        <v>#NUM!</v>
      </c>
      <c r="BD25" s="428"/>
      <c r="BG25" s="450"/>
      <c r="BH25" s="142">
        <f t="shared" si="2"/>
        <v>20</v>
      </c>
      <c r="BI25" s="142">
        <f t="shared" si="0"/>
        <v>0.3490658503988659</v>
      </c>
      <c r="BJ25" s="142">
        <f t="shared" si="1"/>
        <v>1099.8135853258002</v>
      </c>
      <c r="BM25" s="142">
        <f t="shared" ca="1" si="6"/>
        <v>954036.26001620386</v>
      </c>
      <c r="BN25" s="142">
        <f t="shared" ca="1" si="3"/>
        <v>9540.3626001620378</v>
      </c>
      <c r="BO25" s="142">
        <f t="shared" ca="1" si="4"/>
        <v>9.5403626001620391E-21</v>
      </c>
      <c r="BP25" s="367">
        <f t="shared" ca="1" si="5"/>
        <v>264.93053426798298</v>
      </c>
    </row>
    <row r="26" spans="1:79" x14ac:dyDescent="0.2">
      <c r="A26" s="427"/>
      <c r="B26" s="48"/>
      <c r="C26" s="48"/>
      <c r="D26" s="48"/>
      <c r="E26" s="48"/>
      <c r="F26" s="48"/>
      <c r="G26" s="48"/>
      <c r="H26" s="48"/>
      <c r="I26" s="48"/>
      <c r="J26" s="48"/>
      <c r="K26" s="21">
        <f t="shared" ref="K26:K72" si="17">IF(K25=$C$41,FALSE,K25+1)</f>
        <v>1</v>
      </c>
      <c r="L26" s="324">
        <f t="shared" si="7"/>
        <v>11.491</v>
      </c>
      <c r="M26" s="440">
        <f t="shared" si="8"/>
        <v>24.685403734205053</v>
      </c>
      <c r="N26" s="440">
        <f t="shared" si="9"/>
        <v>11.882</v>
      </c>
      <c r="O26" s="440">
        <f t="shared" si="10"/>
        <v>25.420806188312117</v>
      </c>
      <c r="P26" s="441">
        <f>DEGREES(ATAN((L26+($C$46/2))/$C$35))</f>
        <v>25.054208028811949</v>
      </c>
      <c r="Q26" s="442" t="e">
        <f t="shared" ref="Q26:Q72" ca="1" si="18">IF(P26&gt;$S$23,"no scattering",P26+DEGREES(ASIN(($F$4/$F$5)*SIN(RADIANS(P26)))))</f>
        <v>#NUM!</v>
      </c>
      <c r="R26" s="440" t="e">
        <f t="shared" ref="R26:R72" ca="1" si="19">(($E$4*$E$5*$N$16*0.000000000000001)^2)*((1/(4*$K$20))^2)*(1/((SIN(RADIANS(Q26)/2))^4))/1E-31</f>
        <v>#NUM!</v>
      </c>
      <c r="S26" s="440" t="e">
        <f t="shared" ref="S26:S72" ca="1" si="20">R26/((((SIN(RADIANS(P26)))^2)/((SIN(RADIANS(Q26))^2)))*COS(RADIANS(Q26)-RADIANS(P26)))</f>
        <v>#NUM!</v>
      </c>
      <c r="T26" s="441" t="e">
        <f t="shared" ref="T26:T72" ca="1" si="21">$K$19-((2*$K$19*$F$4*$F$5*(1-COS(RADIANS(Q26))))/($F$4+$F$5)^2)</f>
        <v>#NUM!</v>
      </c>
      <c r="U26" s="443" t="e">
        <f t="shared" ref="U26:U72" ca="1" si="22">DEGREES(0.5*(PI()-RADIANS(Q26)))</f>
        <v>#NUM!</v>
      </c>
      <c r="V26" s="383" t="e">
        <f t="shared" ref="V26:V72" ca="1" si="23">DEGREES(2*RADIANS(U26))</f>
        <v>#NUM!</v>
      </c>
      <c r="W26" s="444" t="e">
        <f t="shared" ref="W26:W72" ca="1" si="24">$K$19-T26</f>
        <v>#NUM!</v>
      </c>
      <c r="X26" s="445">
        <f t="shared" ref="X26:X60" si="25">360-DEGREES(2*ASIN(((TAN(17*PI()/180)*(((N26+L26)/2)-$L$25))+TAN(18*PI()/180)*(((N26+L26)/2)-$L$25))/(L26+N26)))</f>
        <v>357.87728245863906</v>
      </c>
      <c r="Y26" s="446">
        <f t="shared" si="11"/>
        <v>3.3948563442955978E-2</v>
      </c>
      <c r="Z26" s="447" t="e">
        <f t="shared" ref="Z26:Z72" ca="1" si="26">$K$16*($K$17*10000)*(S26*1E-28*0.001)*Y26*($K$18/100)</f>
        <v>#NUM!</v>
      </c>
      <c r="AA26" s="440">
        <f t="shared" si="12"/>
        <v>0.28541232229063074</v>
      </c>
      <c r="AB26" s="446" t="e">
        <f t="shared" ca="1" si="13"/>
        <v>#NUM!</v>
      </c>
      <c r="AC26" s="448" t="e">
        <f t="shared" ca="1" si="14"/>
        <v>#NUM!</v>
      </c>
      <c r="AD26" s="449" t="e">
        <f t="shared" ref="AD26:AD72" ca="1" si="27">AC26/24</f>
        <v>#NUM!</v>
      </c>
      <c r="AE26" s="449" t="e">
        <f t="shared" ref="AE26:AE72" ca="1" si="28">Z26*($C$9*60*60)</f>
        <v>#NUM!</v>
      </c>
      <c r="AF26" s="450"/>
      <c r="AG26" s="451"/>
      <c r="AH26" s="48"/>
      <c r="AI26" s="21">
        <f t="shared" ref="AI26:AI72" si="29">IF(AI25=$G$41,FALSE,AI25+1)</f>
        <v>1</v>
      </c>
      <c r="AJ26" s="324">
        <f t="shared" si="15"/>
        <v>11.491</v>
      </c>
      <c r="AK26" s="440">
        <f t="shared" ref="AK26:AK72" si="30">DEGREES(ATAN(AJ26/$C$36))</f>
        <v>5.4698700931258983</v>
      </c>
      <c r="AL26" s="440">
        <f t="shared" ref="AL26:AL72" si="31">$G$43+$G$46+(AI26*$G$44)</f>
        <v>11.882</v>
      </c>
      <c r="AM26" s="440">
        <f t="shared" ref="AM26:AM72" si="32">DEGREES(ATAN(AL26/$C$36))</f>
        <v>5.6548047039233733</v>
      </c>
      <c r="AN26" s="441">
        <f t="shared" ref="AN26:AN72" si="33">DEGREES(ATAN((AJ26+($G$46/2))/$C$36))</f>
        <v>5.5623519315690606</v>
      </c>
      <c r="AO26" s="442" t="e">
        <f t="shared" ref="AO26:AO72" ca="1" si="34">IF(AN26&gt;$AQ$23,"no scattering",AN26+DEGREES(ASIN(($F$4/$F$5)*SIN(RADIANS(AN26)))))</f>
        <v>#NUM!</v>
      </c>
      <c r="AP26" s="440" t="e">
        <f t="shared" ref="AP26:AP72" ca="1" si="35">(($E$4*$E$5*$N$16*0.000000000000001)^2)*((1/(4*$K$20))^2)*(1/((SIN(RADIANS(AO26)/2))^4))/1E-31</f>
        <v>#NUM!</v>
      </c>
      <c r="AQ26" s="440" t="e">
        <f t="shared" ref="AQ26:AQ72" ca="1" si="36">AP26/((((SIN(RADIANS(AN26)))^2)/((SIN(RADIANS(AO26))^2)))*COS(RADIANS(AO26)-RADIANS(AN26)))</f>
        <v>#NUM!</v>
      </c>
      <c r="AR26" s="452" t="e">
        <f t="shared" ref="AR26:AR72" ca="1" si="37">$K$19-((2*$K$19*$F$4*$F$5*(1-COS(RADIANS(AO26))))/($F$4+$F$5)^2)</f>
        <v>#NUM!</v>
      </c>
      <c r="AS26" s="442" t="e">
        <f t="shared" ref="AS26:AS72" ca="1" si="38">DEGREES(0.5*(PI()-RADIANS(AO26)))</f>
        <v>#NUM!</v>
      </c>
      <c r="AT26" s="383" t="e">
        <f t="shared" ref="AT26:AT72" ca="1" si="39">DEGREES(2*RADIANS(AS26))</f>
        <v>#NUM!</v>
      </c>
      <c r="AU26" s="444" t="e">
        <f t="shared" ref="AU26:AU72" ca="1" si="40">$K$19-AR26</f>
        <v>#NUM!</v>
      </c>
      <c r="AV26" s="445">
        <f>360-DEGREES(2*ASIN(((TAN(17*PI()/180)*(((AL26+AJ26)/2)-$AJ$25))+TAN(18*PI()/180)*(((AL26+AJ26)/2)-$AJ$25))/(AJ26+AL26)))</f>
        <v>357.87728245863906</v>
      </c>
      <c r="AW26" s="446">
        <f t="shared" ref="AW26:AW72" si="41">(RADIANS(AV26))*(COS(RADIANS(AK26))-COS(RADIANS(AM26)))</f>
        <v>1.954155734808242E-3</v>
      </c>
      <c r="AX26" s="447" t="e">
        <f t="shared" ref="AX26:AX72" ca="1" si="42">$K$16*($K$17*10000)*(AQ26*1E-28*0.001)*AW26*($K$18/100)</f>
        <v>#NUM!</v>
      </c>
      <c r="AY26" s="440">
        <f t="shared" ref="AY26:AY72" si="43">((PI()*(AL26/10)^2)-(PI()*(AJ26/10)^2))*(AV26/360)</f>
        <v>0.28541232229063074</v>
      </c>
      <c r="AZ26" s="446" t="e">
        <f t="shared" ref="AZ26:AZ72" ca="1" si="44">AX26/AY26</f>
        <v>#NUM!</v>
      </c>
      <c r="BA26" s="448" t="e">
        <f t="shared" ca="1" si="16"/>
        <v>#NUM!</v>
      </c>
      <c r="BB26" s="449" t="e">
        <f t="shared" ref="BB26:BB72" ca="1" si="45">BA26/24</f>
        <v>#NUM!</v>
      </c>
      <c r="BC26" s="449" t="e">
        <f t="shared" ref="BC26:BC72" ca="1" si="46">AX26*($C$9*60*60)</f>
        <v>#NUM!</v>
      </c>
      <c r="BD26" s="428"/>
      <c r="BH26" s="142">
        <f t="shared" si="2"/>
        <v>21</v>
      </c>
      <c r="BI26" s="142">
        <f t="shared" si="0"/>
        <v>0.36651914291880922</v>
      </c>
      <c r="BJ26" s="142">
        <f t="shared" si="1"/>
        <v>906.70879050748988</v>
      </c>
      <c r="BM26" s="142">
        <f t="shared" ca="1" si="6"/>
        <v>786526.98508295906</v>
      </c>
      <c r="BN26" s="142">
        <f t="shared" ca="1" si="3"/>
        <v>7865.2698508295907</v>
      </c>
      <c r="BO26" s="142">
        <f t="shared" ca="1" si="4"/>
        <v>7.8652698508295914E-21</v>
      </c>
      <c r="BP26" s="367">
        <f t="shared" ca="1" si="5"/>
        <v>218.41414536033992</v>
      </c>
    </row>
    <row r="27" spans="1:79" x14ac:dyDescent="0.2">
      <c r="A27" s="427"/>
      <c r="B27" s="48"/>
      <c r="C27" s="48"/>
      <c r="D27" s="48"/>
      <c r="E27" s="48"/>
      <c r="F27" s="48"/>
      <c r="G27" s="48"/>
      <c r="H27" s="48"/>
      <c r="I27" s="48"/>
      <c r="J27" s="48"/>
      <c r="K27" s="21">
        <f t="shared" si="17"/>
        <v>2</v>
      </c>
      <c r="L27" s="324">
        <f t="shared" si="7"/>
        <v>11.981999999999999</v>
      </c>
      <c r="M27" s="440">
        <f t="shared" si="8"/>
        <v>25.607468318534792</v>
      </c>
      <c r="N27" s="440">
        <f t="shared" si="9"/>
        <v>12.372999999999999</v>
      </c>
      <c r="O27" s="440">
        <f t="shared" si="10"/>
        <v>26.331728304196563</v>
      </c>
      <c r="P27" s="441">
        <f t="shared" ref="P27:P72" si="47">DEGREES(ATAN((L27+($C$46/2))/$C$35))</f>
        <v>25.970713156622036</v>
      </c>
      <c r="Q27" s="442" t="e">
        <f t="shared" ca="1" si="18"/>
        <v>#NUM!</v>
      </c>
      <c r="R27" s="440" t="e">
        <f t="shared" ca="1" si="19"/>
        <v>#NUM!</v>
      </c>
      <c r="S27" s="440" t="e">
        <f t="shared" ca="1" si="20"/>
        <v>#NUM!</v>
      </c>
      <c r="T27" s="441" t="e">
        <f t="shared" ca="1" si="21"/>
        <v>#NUM!</v>
      </c>
      <c r="U27" s="443" t="e">
        <f t="shared" ca="1" si="22"/>
        <v>#NUM!</v>
      </c>
      <c r="V27" s="383" t="e">
        <f t="shared" ca="1" si="23"/>
        <v>#NUM!</v>
      </c>
      <c r="W27" s="444" t="e">
        <f t="shared" ca="1" si="24"/>
        <v>#NUM!</v>
      </c>
      <c r="X27" s="445">
        <f t="shared" si="25"/>
        <v>356.50552945681392</v>
      </c>
      <c r="Y27" s="446">
        <f t="shared" si="11"/>
        <v>3.4441477596206256E-2</v>
      </c>
      <c r="Z27" s="447" t="e">
        <f t="shared" ca="1" si="26"/>
        <v>#NUM!</v>
      </c>
      <c r="AA27" s="440">
        <f t="shared" si="12"/>
        <v>0.29626376212089339</v>
      </c>
      <c r="AB27" s="446" t="e">
        <f t="shared" ca="1" si="13"/>
        <v>#NUM!</v>
      </c>
      <c r="AC27" s="448" t="e">
        <f t="shared" ca="1" si="14"/>
        <v>#NUM!</v>
      </c>
      <c r="AD27" s="449" t="e">
        <f t="shared" ca="1" si="27"/>
        <v>#NUM!</v>
      </c>
      <c r="AE27" s="449" t="e">
        <f t="shared" ca="1" si="28"/>
        <v>#NUM!</v>
      </c>
      <c r="AF27" s="450"/>
      <c r="AG27" s="451"/>
      <c r="AH27" s="48"/>
      <c r="AI27" s="21">
        <f t="shared" si="29"/>
        <v>2</v>
      </c>
      <c r="AJ27" s="324">
        <f t="shared" si="15"/>
        <v>11.981999999999999</v>
      </c>
      <c r="AK27" s="440">
        <f t="shared" si="30"/>
        <v>5.7020837369998594</v>
      </c>
      <c r="AL27" s="440">
        <f t="shared" si="31"/>
        <v>12.372999999999999</v>
      </c>
      <c r="AM27" s="440">
        <f t="shared" si="32"/>
        <v>5.8868694017221284</v>
      </c>
      <c r="AN27" s="441">
        <f t="shared" si="33"/>
        <v>5.7944916886174429</v>
      </c>
      <c r="AO27" s="442" t="e">
        <f t="shared" ca="1" si="34"/>
        <v>#NUM!</v>
      </c>
      <c r="AP27" s="440" t="e">
        <f t="shared" ca="1" si="35"/>
        <v>#NUM!</v>
      </c>
      <c r="AQ27" s="440" t="e">
        <f t="shared" ca="1" si="36"/>
        <v>#NUM!</v>
      </c>
      <c r="AR27" s="452" t="e">
        <f t="shared" ca="1" si="37"/>
        <v>#NUM!</v>
      </c>
      <c r="AS27" s="442" t="e">
        <f t="shared" ca="1" si="38"/>
        <v>#NUM!</v>
      </c>
      <c r="AT27" s="383" t="e">
        <f t="shared" ca="1" si="39"/>
        <v>#NUM!</v>
      </c>
      <c r="AU27" s="444" t="e">
        <f t="shared" ca="1" si="40"/>
        <v>#NUM!</v>
      </c>
      <c r="AV27" s="445">
        <f t="shared" ref="AV27:AV60" si="48">360-DEGREES(2*ASIN(((TAN(17*PI()/180)*(((AL27+AJ27)/2)-$AJ$25))+TAN(18*PI()/180)*(((AL27+AJ27)/2)-$AJ$25))/(AJ27+AL27)))</f>
        <v>356.50552945681392</v>
      </c>
      <c r="AW27" s="446">
        <f t="shared" si="41"/>
        <v>2.026003099387805E-3</v>
      </c>
      <c r="AX27" s="447" t="e">
        <f t="shared" ca="1" si="42"/>
        <v>#NUM!</v>
      </c>
      <c r="AY27" s="440">
        <f t="shared" si="43"/>
        <v>0.29626376212089339</v>
      </c>
      <c r="AZ27" s="446" t="e">
        <f t="shared" ca="1" si="44"/>
        <v>#NUM!</v>
      </c>
      <c r="BA27" s="448" t="e">
        <f t="shared" ca="1" si="16"/>
        <v>#NUM!</v>
      </c>
      <c r="BB27" s="449" t="e">
        <f t="shared" ca="1" si="45"/>
        <v>#NUM!</v>
      </c>
      <c r="BC27" s="449" t="e">
        <f t="shared" ca="1" si="46"/>
        <v>#NUM!</v>
      </c>
      <c r="BD27" s="428"/>
      <c r="BH27" s="142">
        <f t="shared" si="2"/>
        <v>22</v>
      </c>
      <c r="BI27" s="142">
        <f t="shared" si="0"/>
        <v>0.38397243543875248</v>
      </c>
      <c r="BJ27" s="142">
        <f t="shared" si="1"/>
        <v>754.40510781852993</v>
      </c>
      <c r="BM27" s="142">
        <f t="shared" ca="1" si="6"/>
        <v>654410.74487828242</v>
      </c>
      <c r="BN27" s="142">
        <f t="shared" ca="1" si="3"/>
        <v>6544.1074487828246</v>
      </c>
      <c r="BO27" s="142">
        <f t="shared" ca="1" si="4"/>
        <v>6.5441074487828254E-21</v>
      </c>
      <c r="BP27" s="367">
        <f t="shared" ca="1" si="5"/>
        <v>181.72620427274683</v>
      </c>
    </row>
    <row r="28" spans="1:79" x14ac:dyDescent="0.2">
      <c r="A28" s="427"/>
      <c r="B28" s="48"/>
      <c r="C28" s="48"/>
      <c r="D28" s="48"/>
      <c r="E28" s="48"/>
      <c r="F28" s="48"/>
      <c r="G28" s="48"/>
      <c r="H28" s="48"/>
      <c r="I28" s="48"/>
      <c r="J28" s="48"/>
      <c r="K28" s="21">
        <f t="shared" si="17"/>
        <v>3</v>
      </c>
      <c r="L28" s="324">
        <f t="shared" si="7"/>
        <v>12.472999999999999</v>
      </c>
      <c r="M28" s="440">
        <f t="shared" si="8"/>
        <v>26.515526241135071</v>
      </c>
      <c r="N28" s="440">
        <f t="shared" si="9"/>
        <v>12.864000000000001</v>
      </c>
      <c r="O28" s="440">
        <f t="shared" si="10"/>
        <v>27.228538435454659</v>
      </c>
      <c r="P28" s="441">
        <f t="shared" si="47"/>
        <v>26.873156390692152</v>
      </c>
      <c r="Q28" s="442" t="e">
        <f t="shared" ca="1" si="18"/>
        <v>#NUM!</v>
      </c>
      <c r="R28" s="440" t="e">
        <f t="shared" ca="1" si="19"/>
        <v>#NUM!</v>
      </c>
      <c r="S28" s="440" t="e">
        <f t="shared" ca="1" si="20"/>
        <v>#NUM!</v>
      </c>
      <c r="T28" s="441" t="e">
        <f t="shared" ca="1" si="21"/>
        <v>#NUM!</v>
      </c>
      <c r="U28" s="443" t="e">
        <f t="shared" ca="1" si="22"/>
        <v>#NUM!</v>
      </c>
      <c r="V28" s="383" t="e">
        <f t="shared" ca="1" si="23"/>
        <v>#NUM!</v>
      </c>
      <c r="W28" s="444" t="e">
        <f t="shared" ca="1" si="24"/>
        <v>#NUM!</v>
      </c>
      <c r="X28" s="445">
        <f t="shared" si="25"/>
        <v>355.23966817922178</v>
      </c>
      <c r="Y28" s="446">
        <f t="shared" si="11"/>
        <v>3.4874512928142178E-2</v>
      </c>
      <c r="Z28" s="447" t="e">
        <f t="shared" ca="1" si="26"/>
        <v>#NUM!</v>
      </c>
      <c r="AA28" s="440">
        <f t="shared" si="12"/>
        <v>0.30711482169514098</v>
      </c>
      <c r="AB28" s="446" t="e">
        <f t="shared" ca="1" si="13"/>
        <v>#NUM!</v>
      </c>
      <c r="AC28" s="448" t="e">
        <f t="shared" ca="1" si="14"/>
        <v>#NUM!</v>
      </c>
      <c r="AD28" s="449" t="e">
        <f t="shared" ca="1" si="27"/>
        <v>#NUM!</v>
      </c>
      <c r="AE28" s="449" t="e">
        <f t="shared" ca="1" si="28"/>
        <v>#NUM!</v>
      </c>
      <c r="AF28" s="450"/>
      <c r="AG28" s="451"/>
      <c r="AH28" s="48"/>
      <c r="AI28" s="21">
        <f t="shared" si="29"/>
        <v>3</v>
      </c>
      <c r="AJ28" s="324">
        <f t="shared" si="15"/>
        <v>12.472999999999999</v>
      </c>
      <c r="AK28" s="440">
        <f t="shared" si="30"/>
        <v>5.9341095888398989</v>
      </c>
      <c r="AL28" s="440">
        <f t="shared" si="31"/>
        <v>12.864000000000001</v>
      </c>
      <c r="AM28" s="440">
        <f t="shared" si="32"/>
        <v>6.1187404330981368</v>
      </c>
      <c r="AN28" s="441">
        <f t="shared" si="33"/>
        <v>6.0264407134924003</v>
      </c>
      <c r="AO28" s="442" t="e">
        <f t="shared" ca="1" si="34"/>
        <v>#NUM!</v>
      </c>
      <c r="AP28" s="440" t="e">
        <f t="shared" ca="1" si="35"/>
        <v>#NUM!</v>
      </c>
      <c r="AQ28" s="440" t="e">
        <f t="shared" ca="1" si="36"/>
        <v>#NUM!</v>
      </c>
      <c r="AR28" s="452" t="e">
        <f t="shared" ca="1" si="37"/>
        <v>#NUM!</v>
      </c>
      <c r="AS28" s="442" t="e">
        <f t="shared" ca="1" si="38"/>
        <v>#NUM!</v>
      </c>
      <c r="AT28" s="383" t="e">
        <f t="shared" ca="1" si="39"/>
        <v>#NUM!</v>
      </c>
      <c r="AU28" s="444" t="e">
        <f t="shared" ca="1" si="40"/>
        <v>#NUM!</v>
      </c>
      <c r="AV28" s="445">
        <f t="shared" si="48"/>
        <v>355.23966817922178</v>
      </c>
      <c r="AW28" s="446">
        <f t="shared" si="41"/>
        <v>2.0975693016834942E-3</v>
      </c>
      <c r="AX28" s="447" t="e">
        <f t="shared" ca="1" si="42"/>
        <v>#NUM!</v>
      </c>
      <c r="AY28" s="440">
        <f t="shared" si="43"/>
        <v>0.30711482169514098</v>
      </c>
      <c r="AZ28" s="446" t="e">
        <f t="shared" ca="1" si="44"/>
        <v>#NUM!</v>
      </c>
      <c r="BA28" s="448" t="e">
        <f t="shared" ca="1" si="16"/>
        <v>#NUM!</v>
      </c>
      <c r="BB28" s="449" t="e">
        <f t="shared" ca="1" si="45"/>
        <v>#NUM!</v>
      </c>
      <c r="BC28" s="449" t="e">
        <f t="shared" ca="1" si="46"/>
        <v>#NUM!</v>
      </c>
      <c r="BD28" s="428"/>
      <c r="BH28" s="142">
        <f t="shared" si="2"/>
        <v>23</v>
      </c>
      <c r="BI28" s="142">
        <f t="shared" si="0"/>
        <v>0.4014257279586958</v>
      </c>
      <c r="BJ28" s="142">
        <f t="shared" si="1"/>
        <v>632.96363948551061</v>
      </c>
      <c r="BM28" s="142">
        <f t="shared" ca="1" si="6"/>
        <v>549066.01573039813</v>
      </c>
      <c r="BN28" s="142">
        <f t="shared" ca="1" si="3"/>
        <v>5490.6601573039816</v>
      </c>
      <c r="BO28" s="142">
        <f t="shared" ca="1" si="4"/>
        <v>5.4906601573039821E-21</v>
      </c>
      <c r="BP28" s="367">
        <f t="shared" ca="1" si="5"/>
        <v>152.47256209462782</v>
      </c>
    </row>
    <row r="29" spans="1:79" x14ac:dyDescent="0.2">
      <c r="A29" s="427"/>
      <c r="B29" s="48"/>
      <c r="C29" s="48"/>
      <c r="D29" s="48"/>
      <c r="E29" s="48"/>
      <c r="F29" s="48"/>
      <c r="G29" s="48"/>
      <c r="H29" s="48"/>
      <c r="I29" s="48"/>
      <c r="J29" s="48"/>
      <c r="K29" s="21">
        <f t="shared" si="17"/>
        <v>4</v>
      </c>
      <c r="L29" s="324">
        <f t="shared" si="7"/>
        <v>12.964</v>
      </c>
      <c r="M29" s="440">
        <f t="shared" si="8"/>
        <v>27.409448513496276</v>
      </c>
      <c r="N29" s="440">
        <f t="shared" si="9"/>
        <v>13.355</v>
      </c>
      <c r="O29" s="440">
        <f t="shared" si="10"/>
        <v>28.111132804850708</v>
      </c>
      <c r="P29" s="441">
        <f t="shared" si="47"/>
        <v>27.761421470954566</v>
      </c>
      <c r="Q29" s="442" t="e">
        <f t="shared" ca="1" si="18"/>
        <v>#NUM!</v>
      </c>
      <c r="R29" s="440" t="e">
        <f t="shared" ca="1" si="19"/>
        <v>#NUM!</v>
      </c>
      <c r="S29" s="440" t="e">
        <f t="shared" ca="1" si="20"/>
        <v>#NUM!</v>
      </c>
      <c r="T29" s="441" t="e">
        <f t="shared" ca="1" si="21"/>
        <v>#NUM!</v>
      </c>
      <c r="U29" s="443" t="e">
        <f t="shared" ca="1" si="22"/>
        <v>#NUM!</v>
      </c>
      <c r="V29" s="383" t="e">
        <f t="shared" ca="1" si="23"/>
        <v>#NUM!</v>
      </c>
      <c r="W29" s="444" t="e">
        <f t="shared" ca="1" si="24"/>
        <v>#NUM!</v>
      </c>
      <c r="X29" s="445">
        <f t="shared" si="25"/>
        <v>354.06775452239089</v>
      </c>
      <c r="Y29" s="446">
        <f t="shared" si="11"/>
        <v>3.5249656741178269E-2</v>
      </c>
      <c r="Z29" s="447" t="e">
        <f t="shared" ca="1" si="26"/>
        <v>#NUM!</v>
      </c>
      <c r="AA29" s="440">
        <f t="shared" si="12"/>
        <v>0.31796541912799264</v>
      </c>
      <c r="AB29" s="446" t="e">
        <f t="shared" ca="1" si="13"/>
        <v>#NUM!</v>
      </c>
      <c r="AC29" s="448" t="e">
        <f t="shared" ca="1" si="14"/>
        <v>#NUM!</v>
      </c>
      <c r="AD29" s="449" t="e">
        <f t="shared" ca="1" si="27"/>
        <v>#NUM!</v>
      </c>
      <c r="AE29" s="449" t="e">
        <f t="shared" ca="1" si="28"/>
        <v>#NUM!</v>
      </c>
      <c r="AF29" s="450"/>
      <c r="AG29" s="451"/>
      <c r="AH29" s="48"/>
      <c r="AI29" s="21">
        <f t="shared" si="29"/>
        <v>4</v>
      </c>
      <c r="AJ29" s="324">
        <f t="shared" si="15"/>
        <v>12.964</v>
      </c>
      <c r="AK29" s="440">
        <f t="shared" si="30"/>
        <v>6.1659402756668111</v>
      </c>
      <c r="AL29" s="440">
        <f t="shared" si="31"/>
        <v>13.355</v>
      </c>
      <c r="AM29" s="440">
        <f t="shared" si="32"/>
        <v>6.3504104551915139</v>
      </c>
      <c r="AN29" s="441">
        <f t="shared" si="33"/>
        <v>6.2581916481685091</v>
      </c>
      <c r="AO29" s="442" t="e">
        <f t="shared" ca="1" si="34"/>
        <v>#NUM!</v>
      </c>
      <c r="AP29" s="440" t="e">
        <f t="shared" ca="1" si="35"/>
        <v>#NUM!</v>
      </c>
      <c r="AQ29" s="440" t="e">
        <f t="shared" ca="1" si="36"/>
        <v>#NUM!</v>
      </c>
      <c r="AR29" s="452" t="e">
        <f t="shared" ca="1" si="37"/>
        <v>#NUM!</v>
      </c>
      <c r="AS29" s="442" t="e">
        <f t="shared" ca="1" si="38"/>
        <v>#NUM!</v>
      </c>
      <c r="AT29" s="383" t="e">
        <f t="shared" ca="1" si="39"/>
        <v>#NUM!</v>
      </c>
      <c r="AU29" s="444" t="e">
        <f t="shared" ca="1" si="40"/>
        <v>#NUM!</v>
      </c>
      <c r="AV29" s="445">
        <f t="shared" si="48"/>
        <v>354.06775452239089</v>
      </c>
      <c r="AW29" s="446">
        <f t="shared" si="41"/>
        <v>2.1688439523067375E-3</v>
      </c>
      <c r="AX29" s="447" t="e">
        <f t="shared" ca="1" si="42"/>
        <v>#NUM!</v>
      </c>
      <c r="AY29" s="440">
        <f t="shared" si="43"/>
        <v>0.31796541912799264</v>
      </c>
      <c r="AZ29" s="446" t="e">
        <f t="shared" ca="1" si="44"/>
        <v>#NUM!</v>
      </c>
      <c r="BA29" s="448" t="e">
        <f t="shared" ca="1" si="16"/>
        <v>#NUM!</v>
      </c>
      <c r="BB29" s="449" t="e">
        <f t="shared" ca="1" si="45"/>
        <v>#NUM!</v>
      </c>
      <c r="BC29" s="449" t="e">
        <f t="shared" ca="1" si="46"/>
        <v>#NUM!</v>
      </c>
      <c r="BD29" s="453"/>
      <c r="BE29" s="19"/>
      <c r="BF29" s="19"/>
      <c r="BG29" s="19"/>
      <c r="BH29" s="142">
        <f t="shared" si="2"/>
        <v>24</v>
      </c>
      <c r="BI29" s="142">
        <f t="shared" si="0"/>
        <v>0.41887902047863912</v>
      </c>
      <c r="BJ29" s="142">
        <f t="shared" si="1"/>
        <v>535.16087960718687</v>
      </c>
      <c r="BK29" s="19"/>
      <c r="BL29" s="19"/>
      <c r="BM29" s="142">
        <f t="shared" ca="1" si="6"/>
        <v>464226.74796854536</v>
      </c>
      <c r="BN29" s="142">
        <f t="shared" ca="1" si="3"/>
        <v>4642.2674796854535</v>
      </c>
      <c r="BO29" s="142">
        <f t="shared" ca="1" si="4"/>
        <v>4.6422674796854542E-21</v>
      </c>
      <c r="BP29" s="367">
        <f t="shared" ca="1" si="5"/>
        <v>128.9131718732641</v>
      </c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</row>
    <row r="30" spans="1:79" x14ac:dyDescent="0.2">
      <c r="A30" s="427"/>
      <c r="B30" s="48"/>
      <c r="C30" s="48"/>
      <c r="D30" s="48"/>
      <c r="E30" s="48"/>
      <c r="F30" s="48"/>
      <c r="G30" s="48"/>
      <c r="H30" s="48"/>
      <c r="I30" s="48"/>
      <c r="J30" s="48"/>
      <c r="K30" s="21">
        <f t="shared" si="17"/>
        <v>5</v>
      </c>
      <c r="L30" s="324">
        <f t="shared" si="7"/>
        <v>13.455</v>
      </c>
      <c r="M30" s="440">
        <f t="shared" si="8"/>
        <v>28.28913764705684</v>
      </c>
      <c r="N30" s="440">
        <f t="shared" si="9"/>
        <v>13.846</v>
      </c>
      <c r="O30" s="440">
        <f t="shared" si="10"/>
        <v>28.979437874680677</v>
      </c>
      <c r="P30" s="441">
        <f t="shared" si="47"/>
        <v>28.635423012170008</v>
      </c>
      <c r="Q30" s="442" t="e">
        <f t="shared" ca="1" si="18"/>
        <v>#NUM!</v>
      </c>
      <c r="R30" s="440" t="e">
        <f t="shared" ca="1" si="19"/>
        <v>#NUM!</v>
      </c>
      <c r="S30" s="440" t="e">
        <f t="shared" ca="1" si="20"/>
        <v>#NUM!</v>
      </c>
      <c r="T30" s="441" t="e">
        <f t="shared" ca="1" si="21"/>
        <v>#NUM!</v>
      </c>
      <c r="U30" s="443" t="e">
        <f t="shared" ca="1" si="22"/>
        <v>#NUM!</v>
      </c>
      <c r="V30" s="383" t="e">
        <f t="shared" ca="1" si="23"/>
        <v>#NUM!</v>
      </c>
      <c r="W30" s="444" t="e">
        <f t="shared" ca="1" si="24"/>
        <v>#NUM!</v>
      </c>
      <c r="X30" s="445">
        <f t="shared" si="25"/>
        <v>352.97959361603642</v>
      </c>
      <c r="Y30" s="446">
        <f t="shared" si="11"/>
        <v>3.5569037204895869E-2</v>
      </c>
      <c r="Z30" s="447" t="e">
        <f t="shared" ca="1" si="26"/>
        <v>#NUM!</v>
      </c>
      <c r="AA30" s="440">
        <f t="shared" si="12"/>
        <v>0.3288155011746054</v>
      </c>
      <c r="AB30" s="446" t="e">
        <f t="shared" ca="1" si="13"/>
        <v>#NUM!</v>
      </c>
      <c r="AC30" s="448" t="e">
        <f t="shared" ca="1" si="14"/>
        <v>#NUM!</v>
      </c>
      <c r="AD30" s="449" t="e">
        <f t="shared" ca="1" si="27"/>
        <v>#NUM!</v>
      </c>
      <c r="AE30" s="449" t="e">
        <f t="shared" ca="1" si="28"/>
        <v>#NUM!</v>
      </c>
      <c r="AF30" s="450"/>
      <c r="AG30" s="451"/>
      <c r="AH30" s="48"/>
      <c r="AI30" s="21">
        <f t="shared" si="29"/>
        <v>5</v>
      </c>
      <c r="AJ30" s="324">
        <f t="shared" si="15"/>
        <v>13.455</v>
      </c>
      <c r="AK30" s="440">
        <f t="shared" si="30"/>
        <v>6.3975684624595051</v>
      </c>
      <c r="AL30" s="440">
        <f t="shared" si="31"/>
        <v>13.846</v>
      </c>
      <c r="AM30" s="440">
        <f t="shared" si="32"/>
        <v>6.5818721641568523</v>
      </c>
      <c r="AN30" s="441">
        <f t="shared" si="33"/>
        <v>6.4897371731081037</v>
      </c>
      <c r="AO30" s="442" t="e">
        <f t="shared" ca="1" si="34"/>
        <v>#NUM!</v>
      </c>
      <c r="AP30" s="440" t="e">
        <f t="shared" ca="1" si="35"/>
        <v>#NUM!</v>
      </c>
      <c r="AQ30" s="440" t="e">
        <f t="shared" ca="1" si="36"/>
        <v>#NUM!</v>
      </c>
      <c r="AR30" s="452" t="e">
        <f t="shared" ca="1" si="37"/>
        <v>#NUM!</v>
      </c>
      <c r="AS30" s="442" t="e">
        <f t="shared" ca="1" si="38"/>
        <v>#NUM!</v>
      </c>
      <c r="AT30" s="383" t="e">
        <f t="shared" ca="1" si="39"/>
        <v>#NUM!</v>
      </c>
      <c r="AU30" s="444" t="e">
        <f t="shared" ca="1" si="40"/>
        <v>#NUM!</v>
      </c>
      <c r="AV30" s="445">
        <f t="shared" si="48"/>
        <v>352.97959361603642</v>
      </c>
      <c r="AW30" s="446">
        <f t="shared" si="41"/>
        <v>2.2398169745824646E-3</v>
      </c>
      <c r="AX30" s="447" t="e">
        <f t="shared" ca="1" si="42"/>
        <v>#NUM!</v>
      </c>
      <c r="AY30" s="440">
        <f t="shared" si="43"/>
        <v>0.3288155011746054</v>
      </c>
      <c r="AZ30" s="446" t="e">
        <f t="shared" ca="1" si="44"/>
        <v>#NUM!</v>
      </c>
      <c r="BA30" s="448" t="e">
        <f t="shared" ca="1" si="16"/>
        <v>#NUM!</v>
      </c>
      <c r="BB30" s="449" t="e">
        <f t="shared" ca="1" si="45"/>
        <v>#NUM!</v>
      </c>
      <c r="BC30" s="449" t="e">
        <f t="shared" ca="1" si="46"/>
        <v>#NUM!</v>
      </c>
      <c r="BD30" s="453"/>
      <c r="BE30" s="19"/>
      <c r="BF30" s="19"/>
      <c r="BG30" s="18"/>
      <c r="BH30" s="142">
        <f t="shared" si="2"/>
        <v>25</v>
      </c>
      <c r="BI30" s="142">
        <f t="shared" si="0"/>
        <v>0.43633231299858238</v>
      </c>
      <c r="BJ30" s="142">
        <f t="shared" si="1"/>
        <v>455.67268676553488</v>
      </c>
      <c r="BK30" s="19"/>
      <c r="BL30" s="19"/>
      <c r="BM30" s="142">
        <f t="shared" ca="1" si="6"/>
        <v>395274.50076418684</v>
      </c>
      <c r="BN30" s="142">
        <f t="shared" ca="1" si="3"/>
        <v>3952.7450076418686</v>
      </c>
      <c r="BO30" s="142">
        <f t="shared" ca="1" si="4"/>
        <v>3.9527450076418694E-21</v>
      </c>
      <c r="BP30" s="367">
        <f t="shared" ca="1" si="5"/>
        <v>109.76551841770421</v>
      </c>
      <c r="BQ30" s="19"/>
      <c r="BR30" s="19"/>
      <c r="BS30" s="19"/>
      <c r="BT30" s="19"/>
      <c r="BU30" s="19"/>
      <c r="BV30" s="19"/>
      <c r="BW30" s="19"/>
      <c r="BX30" s="19"/>
      <c r="BY30" s="18"/>
      <c r="BZ30" s="19"/>
      <c r="CA30" s="19"/>
    </row>
    <row r="31" spans="1:79" x14ac:dyDescent="0.2">
      <c r="A31" s="427"/>
      <c r="B31" s="48"/>
      <c r="C31" s="48"/>
      <c r="D31" s="48"/>
      <c r="E31" s="48"/>
      <c r="F31" s="48"/>
      <c r="G31" s="48"/>
      <c r="H31" s="48"/>
      <c r="I31" s="48"/>
      <c r="J31" s="48"/>
      <c r="K31" s="21">
        <f t="shared" si="17"/>
        <v>6</v>
      </c>
      <c r="L31" s="324">
        <f t="shared" si="7"/>
        <v>13.946</v>
      </c>
      <c r="M31" s="440">
        <f t="shared" si="8"/>
        <v>29.154526064309945</v>
      </c>
      <c r="N31" s="440">
        <f t="shared" si="9"/>
        <v>14.337</v>
      </c>
      <c r="O31" s="440">
        <f t="shared" si="10"/>
        <v>29.833408714767195</v>
      </c>
      <c r="P31" s="441">
        <f t="shared" si="47"/>
        <v>29.495104891901196</v>
      </c>
      <c r="Q31" s="442" t="e">
        <f t="shared" ca="1" si="18"/>
        <v>#NUM!</v>
      </c>
      <c r="R31" s="440" t="e">
        <f t="shared" ca="1" si="19"/>
        <v>#NUM!</v>
      </c>
      <c r="S31" s="440" t="e">
        <f t="shared" ca="1" si="20"/>
        <v>#NUM!</v>
      </c>
      <c r="T31" s="441" t="e">
        <f t="shared" ca="1" si="21"/>
        <v>#NUM!</v>
      </c>
      <c r="U31" s="443" t="e">
        <f t="shared" ca="1" si="22"/>
        <v>#NUM!</v>
      </c>
      <c r="V31" s="383" t="e">
        <f t="shared" ca="1" si="23"/>
        <v>#NUM!</v>
      </c>
      <c r="W31" s="444" t="e">
        <f t="shared" ca="1" si="24"/>
        <v>#NUM!</v>
      </c>
      <c r="X31" s="445">
        <f t="shared" si="25"/>
        <v>351.96642805676299</v>
      </c>
      <c r="Y31" s="446">
        <f t="shared" si="11"/>
        <v>3.5834895142529986E-2</v>
      </c>
      <c r="Z31" s="447" t="e">
        <f t="shared" ca="1" si="26"/>
        <v>#NUM!</v>
      </c>
      <c r="AA31" s="440">
        <f t="shared" si="12"/>
        <v>0.33966503541857535</v>
      </c>
      <c r="AB31" s="446" t="e">
        <f t="shared" ca="1" si="13"/>
        <v>#NUM!</v>
      </c>
      <c r="AC31" s="448" t="e">
        <f t="shared" ca="1" si="14"/>
        <v>#NUM!</v>
      </c>
      <c r="AD31" s="449" t="e">
        <f t="shared" ca="1" si="27"/>
        <v>#NUM!</v>
      </c>
      <c r="AE31" s="449" t="e">
        <f t="shared" ca="1" si="28"/>
        <v>#NUM!</v>
      </c>
      <c r="AF31" s="450"/>
      <c r="AG31" s="451"/>
      <c r="AH31" s="48"/>
      <c r="AI31" s="21">
        <f t="shared" si="29"/>
        <v>6</v>
      </c>
      <c r="AJ31" s="324">
        <f t="shared" si="15"/>
        <v>13.946</v>
      </c>
      <c r="AK31" s="440">
        <f t="shared" si="30"/>
        <v>6.6289868534796588</v>
      </c>
      <c r="AL31" s="440">
        <f t="shared" si="31"/>
        <v>14.337</v>
      </c>
      <c r="AM31" s="440">
        <f t="shared" si="32"/>
        <v>6.8131182964729824</v>
      </c>
      <c r="AN31" s="441">
        <f t="shared" si="33"/>
        <v>6.7210700085785202</v>
      </c>
      <c r="AO31" s="442" t="e">
        <f t="shared" ca="1" si="34"/>
        <v>#NUM!</v>
      </c>
      <c r="AP31" s="440" t="e">
        <f t="shared" ca="1" si="35"/>
        <v>#NUM!</v>
      </c>
      <c r="AQ31" s="440" t="e">
        <f t="shared" ca="1" si="36"/>
        <v>#NUM!</v>
      </c>
      <c r="AR31" s="452" t="e">
        <f t="shared" ca="1" si="37"/>
        <v>#NUM!</v>
      </c>
      <c r="AS31" s="442" t="e">
        <f t="shared" ca="1" si="38"/>
        <v>#NUM!</v>
      </c>
      <c r="AT31" s="383" t="e">
        <f t="shared" ca="1" si="39"/>
        <v>#NUM!</v>
      </c>
      <c r="AU31" s="444" t="e">
        <f t="shared" ca="1" si="40"/>
        <v>#NUM!</v>
      </c>
      <c r="AV31" s="445">
        <f t="shared" si="48"/>
        <v>351.96642805676299</v>
      </c>
      <c r="AW31" s="446">
        <f t="shared" si="41"/>
        <v>2.3104785537596453E-3</v>
      </c>
      <c r="AX31" s="447" t="e">
        <f t="shared" ca="1" si="42"/>
        <v>#NUM!</v>
      </c>
      <c r="AY31" s="440">
        <f t="shared" si="43"/>
        <v>0.33966503541857535</v>
      </c>
      <c r="AZ31" s="446" t="e">
        <f t="shared" ca="1" si="44"/>
        <v>#NUM!</v>
      </c>
      <c r="BA31" s="448" t="e">
        <f t="shared" ca="1" si="16"/>
        <v>#NUM!</v>
      </c>
      <c r="BB31" s="449" t="e">
        <f t="shared" ca="1" si="45"/>
        <v>#NUM!</v>
      </c>
      <c r="BC31" s="449" t="e">
        <f t="shared" ca="1" si="46"/>
        <v>#NUM!</v>
      </c>
      <c r="BD31" s="251"/>
      <c r="BE31" s="209"/>
      <c r="BF31" s="454"/>
      <c r="BG31" s="209"/>
      <c r="BH31" s="142">
        <f t="shared" si="2"/>
        <v>26</v>
      </c>
      <c r="BI31" s="142">
        <f t="shared" si="0"/>
        <v>0.4537856055185257</v>
      </c>
      <c r="BJ31" s="142">
        <f t="shared" si="1"/>
        <v>390.52412485379369</v>
      </c>
      <c r="BK31" s="19"/>
      <c r="BL31" s="19"/>
      <c r="BM31" s="142">
        <f t="shared" ca="1" si="6"/>
        <v>338761.20507389982</v>
      </c>
      <c r="BN31" s="142">
        <f t="shared" ca="1" si="3"/>
        <v>3387.6120507389983</v>
      </c>
      <c r="BO31" s="142">
        <f t="shared" ca="1" si="4"/>
        <v>3.3876120507389987E-21</v>
      </c>
      <c r="BP31" s="367">
        <f t="shared" ca="1" si="5"/>
        <v>94.072092236797886</v>
      </c>
      <c r="BQ31" s="209"/>
      <c r="BR31" s="209"/>
      <c r="BS31" s="209"/>
      <c r="BT31" s="216"/>
      <c r="BU31" s="216"/>
      <c r="BV31" s="209"/>
      <c r="BW31" s="209"/>
      <c r="BX31" s="454"/>
      <c r="BY31" s="209"/>
      <c r="BZ31" s="209"/>
      <c r="CA31" s="19"/>
    </row>
    <row r="32" spans="1:79" x14ac:dyDescent="0.2">
      <c r="A32" s="427"/>
      <c r="B32" s="48"/>
      <c r="C32" s="48"/>
      <c r="D32" s="48"/>
      <c r="E32" s="48"/>
      <c r="F32" s="48"/>
      <c r="G32" s="48"/>
      <c r="H32" s="48"/>
      <c r="I32" s="48"/>
      <c r="J32" s="48"/>
      <c r="K32" s="21">
        <f t="shared" si="17"/>
        <v>7</v>
      </c>
      <c r="L32" s="324">
        <f t="shared" si="7"/>
        <v>14.436999999999999</v>
      </c>
      <c r="M32" s="440">
        <f t="shared" si="8"/>
        <v>30.005574457767192</v>
      </c>
      <c r="N32" s="440">
        <f t="shared" si="9"/>
        <v>14.827999999999999</v>
      </c>
      <c r="O32" s="440">
        <f t="shared" si="10"/>
        <v>30.673027333528577</v>
      </c>
      <c r="P32" s="441">
        <f t="shared" si="47"/>
        <v>30.340438594078382</v>
      </c>
      <c r="Q32" s="442" t="e">
        <f t="shared" ca="1" si="18"/>
        <v>#NUM!</v>
      </c>
      <c r="R32" s="440" t="e">
        <f t="shared" ca="1" si="19"/>
        <v>#NUM!</v>
      </c>
      <c r="S32" s="440" t="e">
        <f t="shared" ca="1" si="20"/>
        <v>#NUM!</v>
      </c>
      <c r="T32" s="441" t="e">
        <f t="shared" ca="1" si="21"/>
        <v>#NUM!</v>
      </c>
      <c r="U32" s="443" t="e">
        <f t="shared" ca="1" si="22"/>
        <v>#NUM!</v>
      </c>
      <c r="V32" s="383" t="e">
        <f t="shared" ca="1" si="23"/>
        <v>#NUM!</v>
      </c>
      <c r="W32" s="444" t="e">
        <f t="shared" ca="1" si="24"/>
        <v>#NUM!</v>
      </c>
      <c r="X32" s="445">
        <f t="shared" si="25"/>
        <v>351.02069105563334</v>
      </c>
      <c r="Y32" s="446">
        <f t="shared" si="11"/>
        <v>3.6049557717034539E-2</v>
      </c>
      <c r="Z32" s="447" t="e">
        <f t="shared" ca="1" si="26"/>
        <v>#NUM!</v>
      </c>
      <c r="AA32" s="440">
        <f t="shared" si="12"/>
        <v>0.35051400460189591</v>
      </c>
      <c r="AB32" s="446" t="e">
        <f t="shared" ca="1" si="13"/>
        <v>#NUM!</v>
      </c>
      <c r="AC32" s="448" t="e">
        <f t="shared" ca="1" si="14"/>
        <v>#NUM!</v>
      </c>
      <c r="AD32" s="449" t="e">
        <f t="shared" ca="1" si="27"/>
        <v>#NUM!</v>
      </c>
      <c r="AE32" s="449" t="e">
        <f t="shared" ca="1" si="28"/>
        <v>#NUM!</v>
      </c>
      <c r="AF32" s="450"/>
      <c r="AG32" s="451"/>
      <c r="AH32" s="48"/>
      <c r="AI32" s="21">
        <f t="shared" si="29"/>
        <v>7</v>
      </c>
      <c r="AJ32" s="324">
        <f t="shared" si="15"/>
        <v>14.436999999999999</v>
      </c>
      <c r="AK32" s="440">
        <f t="shared" si="30"/>
        <v>6.8601881935775966</v>
      </c>
      <c r="AL32" s="440">
        <f t="shared" si="31"/>
        <v>14.827999999999999</v>
      </c>
      <c r="AM32" s="440">
        <f t="shared" si="32"/>
        <v>7.0441416302335425</v>
      </c>
      <c r="AN32" s="441">
        <f t="shared" si="33"/>
        <v>6.9521829159503712</v>
      </c>
      <c r="AO32" s="442" t="e">
        <f t="shared" ca="1" si="34"/>
        <v>#NUM!</v>
      </c>
      <c r="AP32" s="440" t="e">
        <f t="shared" ca="1" si="35"/>
        <v>#NUM!</v>
      </c>
      <c r="AQ32" s="440" t="e">
        <f t="shared" ca="1" si="36"/>
        <v>#NUM!</v>
      </c>
      <c r="AR32" s="452" t="e">
        <f t="shared" ca="1" si="37"/>
        <v>#NUM!</v>
      </c>
      <c r="AS32" s="442" t="e">
        <f t="shared" ca="1" si="38"/>
        <v>#NUM!</v>
      </c>
      <c r="AT32" s="383" t="e">
        <f t="shared" ca="1" si="39"/>
        <v>#NUM!</v>
      </c>
      <c r="AU32" s="444" t="e">
        <f t="shared" ca="1" si="40"/>
        <v>#NUM!</v>
      </c>
      <c r="AV32" s="445">
        <f t="shared" si="48"/>
        <v>351.02069105563334</v>
      </c>
      <c r="AW32" s="446">
        <f t="shared" si="41"/>
        <v>2.3808191010113834E-3</v>
      </c>
      <c r="AX32" s="447" t="e">
        <f t="shared" ca="1" si="42"/>
        <v>#NUM!</v>
      </c>
      <c r="AY32" s="440">
        <f t="shared" si="43"/>
        <v>0.35051400460189591</v>
      </c>
      <c r="AZ32" s="446" t="e">
        <f t="shared" ca="1" si="44"/>
        <v>#NUM!</v>
      </c>
      <c r="BA32" s="448" t="e">
        <f t="shared" ca="1" si="16"/>
        <v>#NUM!</v>
      </c>
      <c r="BB32" s="449" t="e">
        <f t="shared" ca="1" si="45"/>
        <v>#NUM!</v>
      </c>
      <c r="BC32" s="449" t="e">
        <f t="shared" ca="1" si="46"/>
        <v>#NUM!</v>
      </c>
      <c r="BD32" s="455"/>
      <c r="BE32" s="195"/>
      <c r="BF32" s="454"/>
      <c r="BG32" s="260"/>
      <c r="BH32" s="142">
        <f t="shared" si="2"/>
        <v>27</v>
      </c>
      <c r="BI32" s="142">
        <f t="shared" si="0"/>
        <v>0.47123889803846897</v>
      </c>
      <c r="BJ32" s="142">
        <f t="shared" si="1"/>
        <v>336.71230388923789</v>
      </c>
      <c r="BK32" s="19"/>
      <c r="BL32" s="19"/>
      <c r="BM32" s="142">
        <f t="shared" ca="1" si="6"/>
        <v>292081.99588548241</v>
      </c>
      <c r="BN32" s="142">
        <f t="shared" ca="1" si="3"/>
        <v>2920.8199588548241</v>
      </c>
      <c r="BO32" s="142">
        <f t="shared" ca="1" si="4"/>
        <v>2.9208199588548243E-21</v>
      </c>
      <c r="BP32" s="367">
        <f t="shared" ca="1" si="5"/>
        <v>81.10953688351988</v>
      </c>
      <c r="BQ32" s="195"/>
      <c r="BR32" s="195"/>
      <c r="BS32" s="195"/>
      <c r="BT32" s="195"/>
      <c r="BU32" s="454"/>
      <c r="BV32" s="454"/>
      <c r="BW32" s="195"/>
      <c r="BX32" s="454"/>
      <c r="BY32" s="260"/>
      <c r="BZ32" s="195"/>
      <c r="CA32" s="19"/>
    </row>
    <row r="33" spans="1:79" x14ac:dyDescent="0.2">
      <c r="A33" s="427"/>
      <c r="B33" s="48"/>
      <c r="C33" s="48"/>
      <c r="D33" s="48"/>
      <c r="E33" s="48"/>
      <c r="F33" s="48"/>
      <c r="G33" s="48"/>
      <c r="H33" s="48"/>
      <c r="I33" s="48"/>
      <c r="J33" s="48"/>
      <c r="K33" s="21">
        <f t="shared" si="17"/>
        <v>8</v>
      </c>
      <c r="L33" s="324">
        <f t="shared" si="7"/>
        <v>14.928000000000001</v>
      </c>
      <c r="M33" s="440">
        <f t="shared" si="8"/>
        <v>30.84227011572316</v>
      </c>
      <c r="N33" s="440">
        <f t="shared" si="9"/>
        <v>15.318999999999999</v>
      </c>
      <c r="O33" s="440">
        <f t="shared" si="10"/>
        <v>31.498300989754402</v>
      </c>
      <c r="P33" s="441">
        <f t="shared" si="47"/>
        <v>31.171421526452534</v>
      </c>
      <c r="Q33" s="442" t="e">
        <f t="shared" ca="1" si="18"/>
        <v>#NUM!</v>
      </c>
      <c r="R33" s="440" t="e">
        <f t="shared" ca="1" si="19"/>
        <v>#NUM!</v>
      </c>
      <c r="S33" s="440" t="e">
        <f t="shared" ca="1" si="20"/>
        <v>#NUM!</v>
      </c>
      <c r="T33" s="441" t="e">
        <f t="shared" ca="1" si="21"/>
        <v>#NUM!</v>
      </c>
      <c r="U33" s="443" t="e">
        <f t="shared" ca="1" si="22"/>
        <v>#NUM!</v>
      </c>
      <c r="V33" s="383" t="e">
        <f t="shared" ca="1" si="23"/>
        <v>#NUM!</v>
      </c>
      <c r="W33" s="444" t="e">
        <f t="shared" ca="1" si="24"/>
        <v>#NUM!</v>
      </c>
      <c r="X33" s="445">
        <f t="shared" si="25"/>
        <v>350.1358091480505</v>
      </c>
      <c r="Y33" s="446">
        <f t="shared" si="11"/>
        <v>3.621541408895651E-2</v>
      </c>
      <c r="Z33" s="447" t="e">
        <f t="shared" ca="1" si="26"/>
        <v>#NUM!</v>
      </c>
      <c r="AA33" s="440">
        <f t="shared" si="12"/>
        <v>0.36136240247863188</v>
      </c>
      <c r="AB33" s="446" t="e">
        <f t="shared" ca="1" si="13"/>
        <v>#NUM!</v>
      </c>
      <c r="AC33" s="448" t="e">
        <f t="shared" ca="1" si="14"/>
        <v>#NUM!</v>
      </c>
      <c r="AD33" s="449" t="e">
        <f t="shared" ca="1" si="27"/>
        <v>#NUM!</v>
      </c>
      <c r="AE33" s="449" t="e">
        <f t="shared" ca="1" si="28"/>
        <v>#NUM!</v>
      </c>
      <c r="AF33" s="450"/>
      <c r="AG33" s="451"/>
      <c r="AH33" s="48"/>
      <c r="AI33" s="21">
        <f t="shared" si="29"/>
        <v>8</v>
      </c>
      <c r="AJ33" s="324">
        <f t="shared" si="15"/>
        <v>14.928000000000001</v>
      </c>
      <c r="AK33" s="440">
        <f t="shared" si="30"/>
        <v>7.0911652694789051</v>
      </c>
      <c r="AL33" s="440">
        <f t="shared" si="31"/>
        <v>15.318999999999999</v>
      </c>
      <c r="AM33" s="440">
        <f t="shared" si="32"/>
        <v>7.2749349864178416</v>
      </c>
      <c r="AN33" s="441">
        <f t="shared" si="33"/>
        <v>7.1830686989763226</v>
      </c>
      <c r="AO33" s="442" t="e">
        <f t="shared" ca="1" si="34"/>
        <v>#NUM!</v>
      </c>
      <c r="AP33" s="440" t="e">
        <f t="shared" ca="1" si="35"/>
        <v>#NUM!</v>
      </c>
      <c r="AQ33" s="440" t="e">
        <f t="shared" ca="1" si="36"/>
        <v>#NUM!</v>
      </c>
      <c r="AR33" s="452" t="e">
        <f t="shared" ca="1" si="37"/>
        <v>#NUM!</v>
      </c>
      <c r="AS33" s="442" t="e">
        <f t="shared" ca="1" si="38"/>
        <v>#NUM!</v>
      </c>
      <c r="AT33" s="383" t="e">
        <f t="shared" ca="1" si="39"/>
        <v>#NUM!</v>
      </c>
      <c r="AU33" s="444" t="e">
        <f t="shared" ca="1" si="40"/>
        <v>#NUM!</v>
      </c>
      <c r="AV33" s="445">
        <f t="shared" si="48"/>
        <v>350.1358091480505</v>
      </c>
      <c r="AW33" s="446">
        <f t="shared" si="41"/>
        <v>2.4508292279211471E-3</v>
      </c>
      <c r="AX33" s="447" t="e">
        <f t="shared" ca="1" si="42"/>
        <v>#NUM!</v>
      </c>
      <c r="AY33" s="440">
        <f t="shared" si="43"/>
        <v>0.36136240247863188</v>
      </c>
      <c r="AZ33" s="446" t="e">
        <f t="shared" ca="1" si="44"/>
        <v>#NUM!</v>
      </c>
      <c r="BA33" s="448" t="e">
        <f t="shared" ca="1" si="16"/>
        <v>#NUM!</v>
      </c>
      <c r="BB33" s="449" t="e">
        <f t="shared" ca="1" si="45"/>
        <v>#NUM!</v>
      </c>
      <c r="BC33" s="449" t="e">
        <f t="shared" ca="1" si="46"/>
        <v>#NUM!</v>
      </c>
      <c r="BD33" s="455"/>
      <c r="BE33" s="195"/>
      <c r="BF33" s="454"/>
      <c r="BG33" s="260"/>
      <c r="BH33" s="142">
        <f t="shared" si="2"/>
        <v>28</v>
      </c>
      <c r="BI33" s="142">
        <f t="shared" si="0"/>
        <v>0.48869219055841229</v>
      </c>
      <c r="BJ33" s="142">
        <f t="shared" si="1"/>
        <v>291.94382437982597</v>
      </c>
      <c r="BK33" s="19"/>
      <c r="BL33" s="19"/>
      <c r="BM33" s="142">
        <f t="shared" ca="1" si="6"/>
        <v>253247.45762587443</v>
      </c>
      <c r="BN33" s="142">
        <f t="shared" ca="1" si="3"/>
        <v>2532.4745762587445</v>
      </c>
      <c r="BO33" s="142">
        <f t="shared" ca="1" si="4"/>
        <v>2.5324745762587448E-21</v>
      </c>
      <c r="BP33" s="367">
        <f t="shared" ca="1" si="5"/>
        <v>70.325402778393084</v>
      </c>
      <c r="BQ33" s="195"/>
      <c r="BR33" s="195"/>
      <c r="BS33" s="195"/>
      <c r="BT33" s="195"/>
      <c r="BU33" s="454"/>
      <c r="BV33" s="454"/>
      <c r="BW33" s="195"/>
      <c r="BX33" s="454"/>
      <c r="BY33" s="260"/>
      <c r="BZ33" s="195"/>
      <c r="CA33" s="19"/>
    </row>
    <row r="34" spans="1:79" x14ac:dyDescent="0.2">
      <c r="A34" s="427"/>
      <c r="B34" s="48" t="s">
        <v>287</v>
      </c>
      <c r="C34" s="48"/>
      <c r="D34" s="48"/>
      <c r="E34" s="48"/>
      <c r="F34" s="48"/>
      <c r="G34" s="48"/>
      <c r="H34" s="48"/>
      <c r="I34" s="48"/>
      <c r="J34" s="48"/>
      <c r="K34" s="21">
        <f t="shared" si="17"/>
        <v>9</v>
      </c>
      <c r="L34" s="324">
        <f t="shared" si="7"/>
        <v>15.419</v>
      </c>
      <c r="M34" s="440">
        <f t="shared" si="8"/>
        <v>31.664625232109771</v>
      </c>
      <c r="N34" s="440">
        <f t="shared" si="9"/>
        <v>15.809999999999999</v>
      </c>
      <c r="O34" s="440">
        <f t="shared" si="10"/>
        <v>32.309260501011174</v>
      </c>
      <c r="P34" s="441">
        <f t="shared" si="47"/>
        <v>31.988075328545946</v>
      </c>
      <c r="Q34" s="442" t="e">
        <f t="shared" ca="1" si="18"/>
        <v>#NUM!</v>
      </c>
      <c r="R34" s="440" t="e">
        <f t="shared" ca="1" si="19"/>
        <v>#NUM!</v>
      </c>
      <c r="S34" s="440" t="e">
        <f t="shared" ca="1" si="20"/>
        <v>#NUM!</v>
      </c>
      <c r="T34" s="441" t="e">
        <f t="shared" ca="1" si="21"/>
        <v>#NUM!</v>
      </c>
      <c r="U34" s="443" t="e">
        <f t="shared" ca="1" si="22"/>
        <v>#NUM!</v>
      </c>
      <c r="V34" s="383" t="e">
        <f t="shared" ca="1" si="23"/>
        <v>#NUM!</v>
      </c>
      <c r="W34" s="444" t="e">
        <f t="shared" ca="1" si="24"/>
        <v>#NUM!</v>
      </c>
      <c r="X34" s="445">
        <f t="shared" si="25"/>
        <v>349.30604315429747</v>
      </c>
      <c r="Y34" s="446">
        <f t="shared" si="11"/>
        <v>3.6334893095697332E-2</v>
      </c>
      <c r="Z34" s="447" t="e">
        <f t="shared" ca="1" si="26"/>
        <v>#NUM!</v>
      </c>
      <c r="AA34" s="440">
        <f t="shared" si="12"/>
        <v>0.37221023076379889</v>
      </c>
      <c r="AB34" s="446" t="e">
        <f t="shared" ca="1" si="13"/>
        <v>#NUM!</v>
      </c>
      <c r="AC34" s="448" t="e">
        <f t="shared" ca="1" si="14"/>
        <v>#NUM!</v>
      </c>
      <c r="AD34" s="449" t="e">
        <f t="shared" ca="1" si="27"/>
        <v>#NUM!</v>
      </c>
      <c r="AE34" s="449" t="e">
        <f t="shared" ca="1" si="28"/>
        <v>#NUM!</v>
      </c>
      <c r="AF34" s="450"/>
      <c r="AG34" s="451"/>
      <c r="AH34" s="48"/>
      <c r="AI34" s="21">
        <f t="shared" si="29"/>
        <v>9</v>
      </c>
      <c r="AJ34" s="324">
        <f t="shared" si="15"/>
        <v>15.419</v>
      </c>
      <c r="AK34" s="440">
        <f t="shared" si="30"/>
        <v>7.3219109110512042</v>
      </c>
      <c r="AL34" s="440">
        <f t="shared" si="31"/>
        <v>15.809999999999999</v>
      </c>
      <c r="AM34" s="440">
        <f t="shared" si="32"/>
        <v>7.5054912301414864</v>
      </c>
      <c r="AN34" s="441">
        <f t="shared" si="33"/>
        <v>7.4137202050498345</v>
      </c>
      <c r="AO34" s="442" t="e">
        <f t="shared" ca="1" si="34"/>
        <v>#NUM!</v>
      </c>
      <c r="AP34" s="440" t="e">
        <f t="shared" ca="1" si="35"/>
        <v>#NUM!</v>
      </c>
      <c r="AQ34" s="440" t="e">
        <f t="shared" ca="1" si="36"/>
        <v>#NUM!</v>
      </c>
      <c r="AR34" s="452" t="e">
        <f t="shared" ca="1" si="37"/>
        <v>#NUM!</v>
      </c>
      <c r="AS34" s="442" t="e">
        <f t="shared" ca="1" si="38"/>
        <v>#NUM!</v>
      </c>
      <c r="AT34" s="383" t="e">
        <f t="shared" ca="1" si="39"/>
        <v>#NUM!</v>
      </c>
      <c r="AU34" s="444" t="e">
        <f t="shared" ca="1" si="40"/>
        <v>#NUM!</v>
      </c>
      <c r="AV34" s="445">
        <f t="shared" si="48"/>
        <v>349.30604315429747</v>
      </c>
      <c r="AW34" s="446">
        <f t="shared" si="41"/>
        <v>2.5204997284805331E-3</v>
      </c>
      <c r="AX34" s="447" t="e">
        <f t="shared" ca="1" si="42"/>
        <v>#NUM!</v>
      </c>
      <c r="AY34" s="440">
        <f t="shared" si="43"/>
        <v>0.37221023076379889</v>
      </c>
      <c r="AZ34" s="446" t="e">
        <f t="shared" ca="1" si="44"/>
        <v>#NUM!</v>
      </c>
      <c r="BA34" s="448" t="e">
        <f t="shared" ca="1" si="16"/>
        <v>#NUM!</v>
      </c>
      <c r="BB34" s="449" t="e">
        <f t="shared" ca="1" si="45"/>
        <v>#NUM!</v>
      </c>
      <c r="BC34" s="449" t="e">
        <f t="shared" ca="1" si="46"/>
        <v>#NUM!</v>
      </c>
      <c r="BD34" s="455"/>
      <c r="BE34" s="195"/>
      <c r="BF34" s="454"/>
      <c r="BG34" s="260"/>
      <c r="BH34" s="142">
        <f t="shared" si="2"/>
        <v>29</v>
      </c>
      <c r="BI34" s="142">
        <f t="shared" si="0"/>
        <v>0.50614548307835561</v>
      </c>
      <c r="BJ34" s="142">
        <f t="shared" si="1"/>
        <v>254.44940020990313</v>
      </c>
      <c r="BK34" s="19"/>
      <c r="BL34" s="19"/>
      <c r="BM34" s="142">
        <f t="shared" ca="1" si="6"/>
        <v>220722.81828352824</v>
      </c>
      <c r="BN34" s="142">
        <f t="shared" ca="1" si="3"/>
        <v>2207.2281828352825</v>
      </c>
      <c r="BO34" s="142">
        <f t="shared" ca="1" si="4"/>
        <v>2.2072281828352826E-21</v>
      </c>
      <c r="BP34" s="367">
        <f t="shared" ca="1" si="5"/>
        <v>61.293492316525644</v>
      </c>
      <c r="BQ34" s="195"/>
      <c r="BR34" s="195"/>
      <c r="BS34" s="195"/>
      <c r="BT34" s="195"/>
      <c r="BU34" s="454"/>
      <c r="BV34" s="454"/>
      <c r="BW34" s="195"/>
      <c r="BX34" s="454"/>
      <c r="BY34" s="260"/>
      <c r="BZ34" s="195"/>
      <c r="CA34" s="19"/>
    </row>
    <row r="35" spans="1:79" x14ac:dyDescent="0.2">
      <c r="A35" s="427"/>
      <c r="B35" s="50" t="s">
        <v>241</v>
      </c>
      <c r="C35" s="23">
        <v>25</v>
      </c>
      <c r="D35" s="48" t="s">
        <v>1623</v>
      </c>
      <c r="E35" s="48"/>
      <c r="F35" s="48"/>
      <c r="G35" s="48"/>
      <c r="H35" s="48"/>
      <c r="I35" s="48"/>
      <c r="J35" s="48"/>
      <c r="K35" s="21">
        <f t="shared" si="17"/>
        <v>10</v>
      </c>
      <c r="L35" s="324">
        <f t="shared" si="7"/>
        <v>15.91</v>
      </c>
      <c r="M35" s="440">
        <f t="shared" si="8"/>
        <v>32.472675216010906</v>
      </c>
      <c r="N35" s="440">
        <f t="shared" si="9"/>
        <v>16.301000000000002</v>
      </c>
      <c r="O35" s="440">
        <f t="shared" si="10"/>
        <v>33.105958562863101</v>
      </c>
      <c r="P35" s="441">
        <f t="shared" si="47"/>
        <v>32.79044418497849</v>
      </c>
      <c r="Q35" s="442" t="e">
        <f t="shared" ca="1" si="18"/>
        <v>#NUM!</v>
      </c>
      <c r="R35" s="440" t="e">
        <f t="shared" ca="1" si="19"/>
        <v>#NUM!</v>
      </c>
      <c r="S35" s="440" t="e">
        <f t="shared" ca="1" si="20"/>
        <v>#NUM!</v>
      </c>
      <c r="T35" s="441" t="e">
        <f t="shared" ca="1" si="21"/>
        <v>#NUM!</v>
      </c>
      <c r="U35" s="443" t="e">
        <f t="shared" ca="1" si="22"/>
        <v>#NUM!</v>
      </c>
      <c r="V35" s="383" t="e">
        <f t="shared" ca="1" si="23"/>
        <v>#NUM!</v>
      </c>
      <c r="W35" s="444" t="e">
        <f t="shared" ca="1" si="24"/>
        <v>#NUM!</v>
      </c>
      <c r="X35" s="445">
        <f t="shared" si="25"/>
        <v>348.52635895422327</v>
      </c>
      <c r="Y35" s="446">
        <f t="shared" si="11"/>
        <v>3.6410442974398244E-2</v>
      </c>
      <c r="Z35" s="447" t="e">
        <f t="shared" ca="1" si="26"/>
        <v>#NUM!</v>
      </c>
      <c r="AA35" s="440">
        <f t="shared" si="12"/>
        <v>0.3830574968766321</v>
      </c>
      <c r="AB35" s="446" t="e">
        <f t="shared" ca="1" si="13"/>
        <v>#NUM!</v>
      </c>
      <c r="AC35" s="448" t="e">
        <f t="shared" ca="1" si="14"/>
        <v>#NUM!</v>
      </c>
      <c r="AD35" s="449" t="e">
        <f t="shared" ca="1" si="27"/>
        <v>#NUM!</v>
      </c>
      <c r="AE35" s="449" t="e">
        <f t="shared" ca="1" si="28"/>
        <v>#NUM!</v>
      </c>
      <c r="AF35" s="450"/>
      <c r="AG35" s="451"/>
      <c r="AH35" s="48"/>
      <c r="AI35" s="21">
        <f t="shared" si="29"/>
        <v>10</v>
      </c>
      <c r="AJ35" s="324">
        <f t="shared" si="15"/>
        <v>15.91</v>
      </c>
      <c r="AK35" s="440">
        <f t="shared" si="30"/>
        <v>7.5524179925505948</v>
      </c>
      <c r="AL35" s="440">
        <f t="shared" si="31"/>
        <v>16.301000000000002</v>
      </c>
      <c r="AM35" s="440">
        <f t="shared" si="32"/>
        <v>7.7358032718862786</v>
      </c>
      <c r="AN35" s="441">
        <f t="shared" si="33"/>
        <v>7.6441303264433715</v>
      </c>
      <c r="AO35" s="442" t="e">
        <f t="shared" ca="1" si="34"/>
        <v>#NUM!</v>
      </c>
      <c r="AP35" s="440" t="e">
        <f t="shared" ca="1" si="35"/>
        <v>#NUM!</v>
      </c>
      <c r="AQ35" s="440" t="e">
        <f t="shared" ca="1" si="36"/>
        <v>#NUM!</v>
      </c>
      <c r="AR35" s="452" t="e">
        <f t="shared" ca="1" si="37"/>
        <v>#NUM!</v>
      </c>
      <c r="AS35" s="442" t="e">
        <f t="shared" ca="1" si="38"/>
        <v>#NUM!</v>
      </c>
      <c r="AT35" s="383" t="e">
        <f t="shared" ca="1" si="39"/>
        <v>#NUM!</v>
      </c>
      <c r="AU35" s="444" t="e">
        <f t="shared" ca="1" si="40"/>
        <v>#NUM!</v>
      </c>
      <c r="AV35" s="445">
        <f t="shared" si="48"/>
        <v>348.52635895422327</v>
      </c>
      <c r="AW35" s="446">
        <f t="shared" si="41"/>
        <v>2.5898215665067473E-3</v>
      </c>
      <c r="AX35" s="447" t="e">
        <f t="shared" ca="1" si="42"/>
        <v>#NUM!</v>
      </c>
      <c r="AY35" s="440">
        <f t="shared" si="43"/>
        <v>0.3830574968766321</v>
      </c>
      <c r="AZ35" s="446" t="e">
        <f t="shared" ca="1" si="44"/>
        <v>#NUM!</v>
      </c>
      <c r="BA35" s="448" t="e">
        <f t="shared" ca="1" si="16"/>
        <v>#NUM!</v>
      </c>
      <c r="BB35" s="449" t="e">
        <f t="shared" ca="1" si="45"/>
        <v>#NUM!</v>
      </c>
      <c r="BC35" s="449" t="e">
        <f t="shared" ca="1" si="46"/>
        <v>#NUM!</v>
      </c>
      <c r="BD35" s="455"/>
      <c r="BE35" s="195"/>
      <c r="BF35" s="454"/>
      <c r="BG35" s="260"/>
      <c r="BH35" s="142">
        <f t="shared" si="2"/>
        <v>30</v>
      </c>
      <c r="BI35" s="142">
        <f t="shared" si="0"/>
        <v>0.52359877559829882</v>
      </c>
      <c r="BJ35" s="142">
        <f t="shared" si="1"/>
        <v>222.85125168440823</v>
      </c>
      <c r="BK35" s="19"/>
      <c r="BL35" s="19"/>
      <c r="BM35" s="142">
        <f t="shared" ca="1" si="6"/>
        <v>193312.91914705819</v>
      </c>
      <c r="BN35" s="142">
        <f t="shared" ca="1" si="3"/>
        <v>1933.1291914705819</v>
      </c>
      <c r="BO35" s="142">
        <f t="shared" ca="1" si="4"/>
        <v>1.9331291914705819E-21</v>
      </c>
      <c r="BP35" s="367">
        <f t="shared" ca="1" si="5"/>
        <v>53.681916607303435</v>
      </c>
      <c r="BQ35" s="195"/>
      <c r="BR35" s="195"/>
      <c r="BS35" s="195"/>
      <c r="BT35" s="195"/>
      <c r="BU35" s="454"/>
      <c r="BV35" s="454"/>
      <c r="BW35" s="195"/>
      <c r="BX35" s="454"/>
      <c r="BY35" s="260"/>
      <c r="BZ35" s="195"/>
      <c r="CA35" s="19"/>
    </row>
    <row r="36" spans="1:79" x14ac:dyDescent="0.2">
      <c r="A36" s="427"/>
      <c r="B36" s="50" t="s">
        <v>521</v>
      </c>
      <c r="C36" s="23">
        <v>120</v>
      </c>
      <c r="D36" s="48" t="s">
        <v>1623</v>
      </c>
      <c r="E36" s="48"/>
      <c r="F36" s="48"/>
      <c r="G36" s="48"/>
      <c r="H36" s="48"/>
      <c r="I36" s="48"/>
      <c r="J36" s="48"/>
      <c r="K36" s="21">
        <f t="shared" si="17"/>
        <v>11</v>
      </c>
      <c r="L36" s="324">
        <f t="shared" si="7"/>
        <v>16.401</v>
      </c>
      <c r="M36" s="440">
        <f t="shared" si="8"/>
        <v>33.266477014668304</v>
      </c>
      <c r="N36" s="440">
        <f t="shared" si="9"/>
        <v>16.792000000000002</v>
      </c>
      <c r="O36" s="440">
        <f t="shared" si="10"/>
        <v>33.888468091363023</v>
      </c>
      <c r="P36" s="441">
        <f t="shared" si="47"/>
        <v>33.578593157310131</v>
      </c>
      <c r="Q36" s="442" t="e">
        <f t="shared" ca="1" si="18"/>
        <v>#NUM!</v>
      </c>
      <c r="R36" s="440" t="e">
        <f t="shared" ca="1" si="19"/>
        <v>#NUM!</v>
      </c>
      <c r="S36" s="440" t="e">
        <f t="shared" ca="1" si="20"/>
        <v>#NUM!</v>
      </c>
      <c r="T36" s="441" t="e">
        <f t="shared" ca="1" si="21"/>
        <v>#NUM!</v>
      </c>
      <c r="U36" s="443" t="e">
        <f t="shared" ca="1" si="22"/>
        <v>#NUM!</v>
      </c>
      <c r="V36" s="383" t="e">
        <f t="shared" ca="1" si="23"/>
        <v>#NUM!</v>
      </c>
      <c r="W36" s="444" t="e">
        <f t="shared" ca="1" si="24"/>
        <v>#NUM!</v>
      </c>
      <c r="X36" s="445">
        <f t="shared" si="25"/>
        <v>347.7923217134155</v>
      </c>
      <c r="Y36" s="446">
        <f t="shared" si="11"/>
        <v>3.6444513122414007E-2</v>
      </c>
      <c r="Z36" s="447" t="e">
        <f t="shared" ca="1" si="26"/>
        <v>#NUM!</v>
      </c>
      <c r="AA36" s="440">
        <f t="shared" si="12"/>
        <v>0.3939042122649774</v>
      </c>
      <c r="AB36" s="446" t="e">
        <f t="shared" ca="1" si="13"/>
        <v>#NUM!</v>
      </c>
      <c r="AC36" s="448" t="e">
        <f t="shared" ca="1" si="14"/>
        <v>#NUM!</v>
      </c>
      <c r="AD36" s="449" t="e">
        <f t="shared" ca="1" si="27"/>
        <v>#NUM!</v>
      </c>
      <c r="AE36" s="449" t="e">
        <f t="shared" ca="1" si="28"/>
        <v>#NUM!</v>
      </c>
      <c r="AF36" s="450"/>
      <c r="AG36" s="451"/>
      <c r="AH36" s="48"/>
      <c r="AI36" s="21">
        <f t="shared" si="29"/>
        <v>11</v>
      </c>
      <c r="AJ36" s="324">
        <f t="shared" si="15"/>
        <v>16.401</v>
      </c>
      <c r="AK36" s="440">
        <f t="shared" si="30"/>
        <v>7.7826794338472833</v>
      </c>
      <c r="AL36" s="440">
        <f t="shared" si="31"/>
        <v>16.792000000000002</v>
      </c>
      <c r="AM36" s="440">
        <f t="shared" si="32"/>
        <v>7.9658640687088971</v>
      </c>
      <c r="AN36" s="441">
        <f t="shared" si="33"/>
        <v>7.8742920015255926</v>
      </c>
      <c r="AO36" s="442" t="e">
        <f t="shared" ca="1" si="34"/>
        <v>#NUM!</v>
      </c>
      <c r="AP36" s="440" t="e">
        <f t="shared" ca="1" si="35"/>
        <v>#NUM!</v>
      </c>
      <c r="AQ36" s="440" t="e">
        <f t="shared" ca="1" si="36"/>
        <v>#NUM!</v>
      </c>
      <c r="AR36" s="452" t="e">
        <f t="shared" ca="1" si="37"/>
        <v>#NUM!</v>
      </c>
      <c r="AS36" s="442" t="e">
        <f t="shared" ca="1" si="38"/>
        <v>#NUM!</v>
      </c>
      <c r="AT36" s="383" t="e">
        <f t="shared" ca="1" si="39"/>
        <v>#NUM!</v>
      </c>
      <c r="AU36" s="444" t="e">
        <f t="shared" ca="1" si="40"/>
        <v>#NUM!</v>
      </c>
      <c r="AV36" s="445">
        <f t="shared" si="48"/>
        <v>347.7923217134155</v>
      </c>
      <c r="AW36" s="446">
        <f t="shared" si="41"/>
        <v>2.658785867001902E-3</v>
      </c>
      <c r="AX36" s="447" t="e">
        <f t="shared" ca="1" si="42"/>
        <v>#NUM!</v>
      </c>
      <c r="AY36" s="440">
        <f t="shared" si="43"/>
        <v>0.3939042122649774</v>
      </c>
      <c r="AZ36" s="446" t="e">
        <f t="shared" ca="1" si="44"/>
        <v>#NUM!</v>
      </c>
      <c r="BA36" s="448" t="e">
        <f t="shared" ca="1" si="16"/>
        <v>#NUM!</v>
      </c>
      <c r="BB36" s="449" t="e">
        <f t="shared" ca="1" si="45"/>
        <v>#NUM!</v>
      </c>
      <c r="BC36" s="449" t="e">
        <f t="shared" ca="1" si="46"/>
        <v>#NUM!</v>
      </c>
      <c r="BD36" s="455"/>
      <c r="BE36" s="195"/>
      <c r="BF36" s="454"/>
      <c r="BG36" s="260"/>
      <c r="BH36" s="142">
        <f t="shared" si="2"/>
        <v>31</v>
      </c>
      <c r="BI36" s="142">
        <f t="shared" si="0"/>
        <v>0.54105206811824214</v>
      </c>
      <c r="BJ36" s="142">
        <f t="shared" si="1"/>
        <v>196.06709034533679</v>
      </c>
      <c r="BK36" s="19"/>
      <c r="BL36" s="19"/>
      <c r="BM36" s="142">
        <f t="shared" ca="1" si="6"/>
        <v>170078.92617539593</v>
      </c>
      <c r="BN36" s="142">
        <f t="shared" ca="1" si="3"/>
        <v>1700.7892617539592</v>
      </c>
      <c r="BO36" s="142">
        <f t="shared" ca="1" si="4"/>
        <v>1.7007892617539593E-21</v>
      </c>
      <c r="BP36" s="367">
        <f t="shared" ca="1" si="5"/>
        <v>47.229966687646822</v>
      </c>
      <c r="BQ36" s="195"/>
      <c r="BR36" s="195"/>
      <c r="BS36" s="195"/>
      <c r="BT36" s="195"/>
      <c r="BU36" s="454"/>
      <c r="BV36" s="454"/>
      <c r="BW36" s="195"/>
      <c r="BX36" s="454"/>
      <c r="BY36" s="260"/>
      <c r="BZ36" s="195"/>
      <c r="CA36" s="19"/>
    </row>
    <row r="37" spans="1:79" x14ac:dyDescent="0.2">
      <c r="A37" s="427"/>
      <c r="B37" s="48"/>
      <c r="C37" s="48"/>
      <c r="D37" s="48"/>
      <c r="E37" s="48"/>
      <c r="F37" s="48"/>
      <c r="G37" s="48"/>
      <c r="H37" s="48"/>
      <c r="I37" s="48"/>
      <c r="J37" s="48"/>
      <c r="K37" s="21">
        <f t="shared" si="17"/>
        <v>12</v>
      </c>
      <c r="L37" s="324">
        <f t="shared" si="7"/>
        <v>16.891999999999999</v>
      </c>
      <c r="M37" s="440">
        <f t="shared" si="8"/>
        <v>34.04610746208526</v>
      </c>
      <c r="N37" s="440">
        <f t="shared" si="9"/>
        <v>17.283000000000001</v>
      </c>
      <c r="O37" s="440">
        <f t="shared" si="10"/>
        <v>34.656880599578692</v>
      </c>
      <c r="P37" s="441">
        <f t="shared" si="47"/>
        <v>34.352606545831293</v>
      </c>
      <c r="Q37" s="442" t="e">
        <f t="shared" ca="1" si="18"/>
        <v>#NUM!</v>
      </c>
      <c r="R37" s="440" t="e">
        <f t="shared" ca="1" si="19"/>
        <v>#NUM!</v>
      </c>
      <c r="S37" s="440" t="e">
        <f t="shared" ca="1" si="20"/>
        <v>#NUM!</v>
      </c>
      <c r="T37" s="441" t="e">
        <f t="shared" ca="1" si="21"/>
        <v>#NUM!</v>
      </c>
      <c r="U37" s="443" t="e">
        <f t="shared" ca="1" si="22"/>
        <v>#NUM!</v>
      </c>
      <c r="V37" s="383" t="e">
        <f t="shared" ca="1" si="23"/>
        <v>#NUM!</v>
      </c>
      <c r="W37" s="444" t="e">
        <f t="shared" ca="1" si="24"/>
        <v>#NUM!</v>
      </c>
      <c r="X37" s="445">
        <f t="shared" si="25"/>
        <v>347.10000871264765</v>
      </c>
      <c r="Y37" s="446">
        <f t="shared" si="11"/>
        <v>3.6439537862589737E-2</v>
      </c>
      <c r="Z37" s="447" t="e">
        <f t="shared" ca="1" si="26"/>
        <v>#NUM!</v>
      </c>
      <c r="AA37" s="440">
        <f t="shared" si="12"/>
        <v>0.40475039115779149</v>
      </c>
      <c r="AB37" s="446" t="e">
        <f t="shared" ca="1" si="13"/>
        <v>#NUM!</v>
      </c>
      <c r="AC37" s="448" t="e">
        <f t="shared" ca="1" si="14"/>
        <v>#NUM!</v>
      </c>
      <c r="AD37" s="449" t="e">
        <f t="shared" ca="1" si="27"/>
        <v>#NUM!</v>
      </c>
      <c r="AE37" s="449" t="e">
        <f t="shared" ca="1" si="28"/>
        <v>#NUM!</v>
      </c>
      <c r="AF37" s="450"/>
      <c r="AG37" s="451"/>
      <c r="AH37" s="48"/>
      <c r="AI37" s="21">
        <f t="shared" si="29"/>
        <v>12</v>
      </c>
      <c r="AJ37" s="324">
        <f t="shared" si="15"/>
        <v>16.891999999999999</v>
      </c>
      <c r="AK37" s="440">
        <f t="shared" si="30"/>
        <v>8.0126882016298815</v>
      </c>
      <c r="AL37" s="440">
        <f t="shared" si="31"/>
        <v>17.283000000000001</v>
      </c>
      <c r="AM37" s="440">
        <f t="shared" si="32"/>
        <v>8.1956666254279238</v>
      </c>
      <c r="AN37" s="441">
        <f t="shared" si="33"/>
        <v>8.1041982159570516</v>
      </c>
      <c r="AO37" s="442" t="e">
        <f t="shared" ca="1" si="34"/>
        <v>#NUM!</v>
      </c>
      <c r="AP37" s="440" t="e">
        <f t="shared" ca="1" si="35"/>
        <v>#NUM!</v>
      </c>
      <c r="AQ37" s="440" t="e">
        <f t="shared" ca="1" si="36"/>
        <v>#NUM!</v>
      </c>
      <c r="AR37" s="452" t="e">
        <f t="shared" ca="1" si="37"/>
        <v>#NUM!</v>
      </c>
      <c r="AS37" s="442" t="e">
        <f t="shared" ca="1" si="38"/>
        <v>#NUM!</v>
      </c>
      <c r="AT37" s="383" t="e">
        <f t="shared" ca="1" si="39"/>
        <v>#NUM!</v>
      </c>
      <c r="AU37" s="444" t="e">
        <f t="shared" ca="1" si="40"/>
        <v>#NUM!</v>
      </c>
      <c r="AV37" s="445">
        <f t="shared" si="48"/>
        <v>347.10000871264765</v>
      </c>
      <c r="AW37" s="446">
        <f t="shared" si="41"/>
        <v>2.7273839103795798E-3</v>
      </c>
      <c r="AX37" s="447" t="e">
        <f t="shared" ca="1" si="42"/>
        <v>#NUM!</v>
      </c>
      <c r="AY37" s="440">
        <f t="shared" si="43"/>
        <v>0.40475039115779149</v>
      </c>
      <c r="AZ37" s="446" t="e">
        <f t="shared" ca="1" si="44"/>
        <v>#NUM!</v>
      </c>
      <c r="BA37" s="448" t="e">
        <f t="shared" ca="1" si="16"/>
        <v>#NUM!</v>
      </c>
      <c r="BB37" s="449" t="e">
        <f t="shared" ca="1" si="45"/>
        <v>#NUM!</v>
      </c>
      <c r="BC37" s="449" t="e">
        <f t="shared" ca="1" si="46"/>
        <v>#NUM!</v>
      </c>
      <c r="BD37" s="455"/>
      <c r="BE37" s="195"/>
      <c r="BF37" s="454"/>
      <c r="BG37" s="260"/>
      <c r="BH37" s="142">
        <f t="shared" si="2"/>
        <v>32</v>
      </c>
      <c r="BI37" s="142">
        <f t="shared" si="0"/>
        <v>0.55850536063818546</v>
      </c>
      <c r="BJ37" s="142">
        <f t="shared" si="1"/>
        <v>173.2398103634134</v>
      </c>
      <c r="BK37" s="19"/>
      <c r="BL37" s="19"/>
      <c r="BM37" s="142">
        <f t="shared" ca="1" si="6"/>
        <v>150277.34060592361</v>
      </c>
      <c r="BN37" s="142">
        <f t="shared" ca="1" si="3"/>
        <v>1502.7734060592361</v>
      </c>
      <c r="BO37" s="142">
        <f t="shared" ca="1" si="4"/>
        <v>1.5027734060592363E-21</v>
      </c>
      <c r="BP37" s="367">
        <f t="shared" ca="1" si="5"/>
        <v>41.731177108952629</v>
      </c>
      <c r="BQ37" s="195"/>
      <c r="BR37" s="195"/>
      <c r="BS37" s="195"/>
      <c r="BT37" s="195"/>
      <c r="BU37" s="454"/>
      <c r="BV37" s="454"/>
      <c r="BW37" s="195"/>
      <c r="BX37" s="454"/>
      <c r="BY37" s="260"/>
      <c r="BZ37" s="195"/>
      <c r="CA37" s="19"/>
    </row>
    <row r="38" spans="1:79" x14ac:dyDescent="0.2">
      <c r="A38" s="456" t="s">
        <v>289</v>
      </c>
      <c r="B38" s="48"/>
      <c r="C38" s="48"/>
      <c r="D38" s="48"/>
      <c r="E38" s="48"/>
      <c r="F38" s="48"/>
      <c r="G38" s="48"/>
      <c r="H38" s="48"/>
      <c r="I38" s="48"/>
      <c r="J38" s="48"/>
      <c r="K38" s="21">
        <f t="shared" si="17"/>
        <v>13</v>
      </c>
      <c r="L38" s="324">
        <f t="shared" si="7"/>
        <v>17.382999999999999</v>
      </c>
      <c r="M38" s="440">
        <f t="shared" si="8"/>
        <v>34.811661663656658</v>
      </c>
      <c r="N38" s="440">
        <f t="shared" si="9"/>
        <v>17.774000000000001</v>
      </c>
      <c r="O38" s="440">
        <f t="shared" si="10"/>
        <v>35.411304617295386</v>
      </c>
      <c r="P38" s="441">
        <f t="shared" si="47"/>
        <v>35.112586291079374</v>
      </c>
      <c r="Q38" s="442" t="e">
        <f t="shared" ca="1" si="18"/>
        <v>#NUM!</v>
      </c>
      <c r="R38" s="440" t="e">
        <f t="shared" ca="1" si="19"/>
        <v>#NUM!</v>
      </c>
      <c r="S38" s="440" t="e">
        <f t="shared" ca="1" si="20"/>
        <v>#NUM!</v>
      </c>
      <c r="T38" s="441" t="e">
        <f t="shared" ca="1" si="21"/>
        <v>#NUM!</v>
      </c>
      <c r="U38" s="443" t="e">
        <f t="shared" ca="1" si="22"/>
        <v>#NUM!</v>
      </c>
      <c r="V38" s="383" t="e">
        <f t="shared" ca="1" si="23"/>
        <v>#NUM!</v>
      </c>
      <c r="W38" s="444" t="e">
        <f t="shared" ca="1" si="24"/>
        <v>#NUM!</v>
      </c>
      <c r="X38" s="445">
        <f t="shared" si="25"/>
        <v>346.445937051013</v>
      </c>
      <c r="Y38" s="446">
        <f t="shared" si="11"/>
        <v>3.6397922156630874E-2</v>
      </c>
      <c r="Z38" s="447" t="e">
        <f t="shared" ca="1" si="26"/>
        <v>#NUM!</v>
      </c>
      <c r="AA38" s="440">
        <f t="shared" si="12"/>
        <v>0.415596049635164</v>
      </c>
      <c r="AB38" s="446" t="e">
        <f t="shared" ca="1" si="13"/>
        <v>#NUM!</v>
      </c>
      <c r="AC38" s="448" t="e">
        <f t="shared" ca="1" si="14"/>
        <v>#NUM!</v>
      </c>
      <c r="AD38" s="449" t="e">
        <f t="shared" ca="1" si="27"/>
        <v>#NUM!</v>
      </c>
      <c r="AE38" s="449" t="e">
        <f t="shared" ca="1" si="28"/>
        <v>#NUM!</v>
      </c>
      <c r="AF38" s="450"/>
      <c r="AG38" s="451"/>
      <c r="AH38" s="48"/>
      <c r="AI38" s="21">
        <f t="shared" si="29"/>
        <v>13</v>
      </c>
      <c r="AJ38" s="324">
        <f t="shared" si="15"/>
        <v>17.382999999999999</v>
      </c>
      <c r="AK38" s="440">
        <f t="shared" si="30"/>
        <v>8.2424373105879543</v>
      </c>
      <c r="AL38" s="440">
        <f t="shared" si="31"/>
        <v>17.774000000000001</v>
      </c>
      <c r="AM38" s="440">
        <f t="shared" si="32"/>
        <v>8.4252039957887312</v>
      </c>
      <c r="AN38" s="441">
        <f t="shared" si="33"/>
        <v>8.3338420038639427</v>
      </c>
      <c r="AO38" s="442" t="e">
        <f t="shared" ca="1" si="34"/>
        <v>#NUM!</v>
      </c>
      <c r="AP38" s="440" t="e">
        <f t="shared" ca="1" si="35"/>
        <v>#NUM!</v>
      </c>
      <c r="AQ38" s="440" t="e">
        <f t="shared" ca="1" si="36"/>
        <v>#NUM!</v>
      </c>
      <c r="AR38" s="452" t="e">
        <f t="shared" ca="1" si="37"/>
        <v>#NUM!</v>
      </c>
      <c r="AS38" s="442" t="e">
        <f t="shared" ca="1" si="38"/>
        <v>#NUM!</v>
      </c>
      <c r="AT38" s="383" t="e">
        <f t="shared" ca="1" si="39"/>
        <v>#NUM!</v>
      </c>
      <c r="AU38" s="444" t="e">
        <f t="shared" ca="1" si="40"/>
        <v>#NUM!</v>
      </c>
      <c r="AV38" s="445">
        <f t="shared" si="48"/>
        <v>346.445937051013</v>
      </c>
      <c r="AW38" s="446">
        <f t="shared" si="41"/>
        <v>2.7956071288035072E-3</v>
      </c>
      <c r="AX38" s="447" t="e">
        <f t="shared" ca="1" si="42"/>
        <v>#NUM!</v>
      </c>
      <c r="AY38" s="440">
        <f t="shared" si="43"/>
        <v>0.415596049635164</v>
      </c>
      <c r="AZ38" s="446" t="e">
        <f t="shared" ca="1" si="44"/>
        <v>#NUM!</v>
      </c>
      <c r="BA38" s="448" t="e">
        <f t="shared" ca="1" si="16"/>
        <v>#NUM!</v>
      </c>
      <c r="BB38" s="449" t="e">
        <f t="shared" ca="1" si="45"/>
        <v>#NUM!</v>
      </c>
      <c r="BC38" s="449" t="e">
        <f t="shared" ca="1" si="46"/>
        <v>#NUM!</v>
      </c>
      <c r="BD38" s="455"/>
      <c r="BE38" s="195"/>
      <c r="BF38" s="454"/>
      <c r="BG38" s="260"/>
      <c r="BH38" s="142">
        <f t="shared" si="2"/>
        <v>33</v>
      </c>
      <c r="BI38" s="142">
        <f t="shared" si="0"/>
        <v>0.57595865315812877</v>
      </c>
      <c r="BJ38" s="142">
        <f t="shared" si="1"/>
        <v>153.6854600510008</v>
      </c>
      <c r="BK38" s="19"/>
      <c r="BL38" s="19"/>
      <c r="BM38" s="142">
        <f t="shared" ca="1" si="6"/>
        <v>133314.8667030627</v>
      </c>
      <c r="BN38" s="142">
        <f t="shared" ca="1" si="3"/>
        <v>1333.1486670306269</v>
      </c>
      <c r="BO38" s="142">
        <f t="shared" ca="1" si="4"/>
        <v>1.333148667030627E-21</v>
      </c>
      <c r="BP38" s="367">
        <f t="shared" ca="1" si="5"/>
        <v>37.020792963264782</v>
      </c>
      <c r="BQ38" s="195"/>
      <c r="BR38" s="195"/>
      <c r="BS38" s="195"/>
      <c r="BT38" s="195"/>
      <c r="BU38" s="454"/>
      <c r="BV38" s="454"/>
      <c r="BW38" s="195"/>
      <c r="BX38" s="454"/>
      <c r="BY38" s="260"/>
      <c r="BZ38" s="195"/>
      <c r="CA38" s="19"/>
    </row>
    <row r="39" spans="1:79" x14ac:dyDescent="0.2">
      <c r="A39" s="427"/>
      <c r="B39" s="48"/>
      <c r="C39" s="48"/>
      <c r="D39" s="48"/>
      <c r="E39" s="48"/>
      <c r="F39" s="48"/>
      <c r="G39" s="48"/>
      <c r="H39" s="48"/>
      <c r="I39" s="48"/>
      <c r="J39" s="48"/>
      <c r="K39" s="21">
        <f t="shared" si="17"/>
        <v>14</v>
      </c>
      <c r="L39" s="324">
        <f t="shared" si="7"/>
        <v>17.873999999999999</v>
      </c>
      <c r="M39" s="440">
        <f t="shared" si="8"/>
        <v>35.563251425645248</v>
      </c>
      <c r="N39" s="440">
        <f t="shared" si="9"/>
        <v>18.265000000000001</v>
      </c>
      <c r="O39" s="440">
        <f t="shared" si="10"/>
        <v>36.151864161497272</v>
      </c>
      <c r="P39" s="441">
        <f t="shared" si="47"/>
        <v>35.858650423285184</v>
      </c>
      <c r="Q39" s="442" t="e">
        <f t="shared" ca="1" si="18"/>
        <v>#NUM!</v>
      </c>
      <c r="R39" s="440" t="e">
        <f t="shared" ca="1" si="19"/>
        <v>#NUM!</v>
      </c>
      <c r="S39" s="440" t="e">
        <f t="shared" ca="1" si="20"/>
        <v>#NUM!</v>
      </c>
      <c r="T39" s="441" t="e">
        <f t="shared" ca="1" si="21"/>
        <v>#NUM!</v>
      </c>
      <c r="U39" s="443" t="e">
        <f t="shared" ca="1" si="22"/>
        <v>#NUM!</v>
      </c>
      <c r="V39" s="383" t="e">
        <f t="shared" ca="1" si="23"/>
        <v>#NUM!</v>
      </c>
      <c r="W39" s="444" t="e">
        <f t="shared" ca="1" si="24"/>
        <v>#NUM!</v>
      </c>
      <c r="X39" s="445">
        <f t="shared" si="25"/>
        <v>345.82700332817041</v>
      </c>
      <c r="Y39" s="446">
        <f t="shared" si="11"/>
        <v>3.6322029189512627E-2</v>
      </c>
      <c r="Z39" s="447" t="e">
        <f t="shared" ca="1" si="26"/>
        <v>#NUM!</v>
      </c>
      <c r="AA39" s="440">
        <f t="shared" si="12"/>
        <v>0.42644120493512572</v>
      </c>
      <c r="AB39" s="446" t="e">
        <f t="shared" ca="1" si="13"/>
        <v>#NUM!</v>
      </c>
      <c r="AC39" s="448" t="e">
        <f t="shared" ca="1" si="14"/>
        <v>#NUM!</v>
      </c>
      <c r="AD39" s="449" t="e">
        <f t="shared" ca="1" si="27"/>
        <v>#NUM!</v>
      </c>
      <c r="AE39" s="449" t="e">
        <f t="shared" ca="1" si="28"/>
        <v>#NUM!</v>
      </c>
      <c r="AF39" s="450"/>
      <c r="AG39" s="451"/>
      <c r="AH39" s="48"/>
      <c r="AI39" s="21">
        <f t="shared" si="29"/>
        <v>14</v>
      </c>
      <c r="AJ39" s="324">
        <f t="shared" si="15"/>
        <v>17.873999999999999</v>
      </c>
      <c r="AK39" s="440">
        <f t="shared" si="30"/>
        <v>8.4719198245723604</v>
      </c>
      <c r="AL39" s="440">
        <f t="shared" si="31"/>
        <v>18.265000000000001</v>
      </c>
      <c r="AM39" s="440">
        <f t="shared" si="32"/>
        <v>8.6544692836058346</v>
      </c>
      <c r="AN39" s="441">
        <f t="shared" si="33"/>
        <v>8.5632164489894915</v>
      </c>
      <c r="AO39" s="442" t="e">
        <f t="shared" ca="1" si="34"/>
        <v>#NUM!</v>
      </c>
      <c r="AP39" s="440" t="e">
        <f t="shared" ca="1" si="35"/>
        <v>#NUM!</v>
      </c>
      <c r="AQ39" s="440" t="e">
        <f t="shared" ca="1" si="36"/>
        <v>#NUM!</v>
      </c>
      <c r="AR39" s="452" t="e">
        <f t="shared" ca="1" si="37"/>
        <v>#NUM!</v>
      </c>
      <c r="AS39" s="442" t="e">
        <f t="shared" ca="1" si="38"/>
        <v>#NUM!</v>
      </c>
      <c r="AT39" s="383" t="e">
        <f t="shared" ca="1" si="39"/>
        <v>#NUM!</v>
      </c>
      <c r="AU39" s="444" t="e">
        <f t="shared" ca="1" si="40"/>
        <v>#NUM!</v>
      </c>
      <c r="AV39" s="445">
        <f t="shared" si="48"/>
        <v>345.82700332817041</v>
      </c>
      <c r="AW39" s="446">
        <f t="shared" si="41"/>
        <v>2.8634471040639132E-3</v>
      </c>
      <c r="AX39" s="447" t="e">
        <f t="shared" ca="1" si="42"/>
        <v>#NUM!</v>
      </c>
      <c r="AY39" s="440">
        <f t="shared" si="43"/>
        <v>0.42644120493512572</v>
      </c>
      <c r="AZ39" s="446" t="e">
        <f t="shared" ca="1" si="44"/>
        <v>#NUM!</v>
      </c>
      <c r="BA39" s="448" t="e">
        <f t="shared" ca="1" si="16"/>
        <v>#NUM!</v>
      </c>
      <c r="BB39" s="449" t="e">
        <f t="shared" ca="1" si="45"/>
        <v>#NUM!</v>
      </c>
      <c r="BC39" s="449" t="e">
        <f t="shared" ca="1" si="46"/>
        <v>#NUM!</v>
      </c>
      <c r="BD39" s="455"/>
      <c r="BE39" s="195"/>
      <c r="BF39" s="454"/>
      <c r="BG39" s="260"/>
      <c r="BH39" s="142">
        <f t="shared" si="2"/>
        <v>34</v>
      </c>
      <c r="BI39" s="142">
        <f t="shared" si="0"/>
        <v>0.59341194567807209</v>
      </c>
      <c r="BJ39" s="142">
        <f t="shared" si="1"/>
        <v>136.85436065314295</v>
      </c>
      <c r="BK39" s="19"/>
      <c r="BL39" s="19"/>
      <c r="BM39" s="142">
        <f t="shared" ca="1" si="6"/>
        <v>118714.68414872867</v>
      </c>
      <c r="BN39" s="142">
        <f t="shared" ca="1" si="3"/>
        <v>1187.1468414872868</v>
      </c>
      <c r="BO39" s="142">
        <f t="shared" ca="1" si="4"/>
        <v>1.1871468414872868E-21</v>
      </c>
      <c r="BP39" s="367">
        <f t="shared" ca="1" si="5"/>
        <v>32.966403914714263</v>
      </c>
      <c r="BQ39" s="195"/>
      <c r="BR39" s="195"/>
      <c r="BS39" s="195"/>
      <c r="BT39" s="195"/>
      <c r="BU39" s="454"/>
      <c r="BV39" s="454"/>
      <c r="BW39" s="195"/>
      <c r="BX39" s="454"/>
      <c r="BY39" s="260"/>
      <c r="BZ39" s="195"/>
      <c r="CA39" s="19"/>
    </row>
    <row r="40" spans="1:79" x14ac:dyDescent="0.2">
      <c r="A40" s="427"/>
      <c r="B40" s="50" t="s">
        <v>106</v>
      </c>
      <c r="C40" s="50"/>
      <c r="D40" s="48"/>
      <c r="E40" s="48"/>
      <c r="F40" s="50" t="s">
        <v>107</v>
      </c>
      <c r="G40" s="50"/>
      <c r="H40" s="18"/>
      <c r="I40" s="50"/>
      <c r="J40" s="48"/>
      <c r="K40" s="21">
        <f t="shared" si="17"/>
        <v>15</v>
      </c>
      <c r="L40" s="324">
        <f t="shared" si="7"/>
        <v>18.365000000000002</v>
      </c>
      <c r="M40" s="440">
        <f t="shared" si="8"/>
        <v>36.301003736805434</v>
      </c>
      <c r="N40" s="440">
        <f t="shared" si="9"/>
        <v>18.756</v>
      </c>
      <c r="O40" s="440">
        <f t="shared" si="10"/>
        <v>36.878697263792056</v>
      </c>
      <c r="P40" s="441">
        <f t="shared" si="47"/>
        <v>36.590931566473536</v>
      </c>
      <c r="Q40" s="442" t="e">
        <f t="shared" ca="1" si="18"/>
        <v>#NUM!</v>
      </c>
      <c r="R40" s="440" t="e">
        <f t="shared" ca="1" si="19"/>
        <v>#NUM!</v>
      </c>
      <c r="S40" s="440" t="e">
        <f t="shared" ca="1" si="20"/>
        <v>#NUM!</v>
      </c>
      <c r="T40" s="441" t="e">
        <f t="shared" ca="1" si="21"/>
        <v>#NUM!</v>
      </c>
      <c r="U40" s="443" t="e">
        <f t="shared" ca="1" si="22"/>
        <v>#NUM!</v>
      </c>
      <c r="V40" s="383" t="e">
        <f t="shared" ca="1" si="23"/>
        <v>#NUM!</v>
      </c>
      <c r="W40" s="444" t="e">
        <f t="shared" ca="1" si="24"/>
        <v>#NUM!</v>
      </c>
      <c r="X40" s="445">
        <f t="shared" si="25"/>
        <v>345.24043304059433</v>
      </c>
      <c r="Y40" s="446">
        <f t="shared" si="11"/>
        <v>3.6214169731364154E-2</v>
      </c>
      <c r="Z40" s="447" t="e">
        <f t="shared" ca="1" si="26"/>
        <v>#NUM!</v>
      </c>
      <c r="AA40" s="440">
        <f t="shared" si="12"/>
        <v>0.43728587493793297</v>
      </c>
      <c r="AB40" s="446" t="e">
        <f t="shared" ca="1" si="13"/>
        <v>#NUM!</v>
      </c>
      <c r="AC40" s="448" t="e">
        <f t="shared" ca="1" si="14"/>
        <v>#NUM!</v>
      </c>
      <c r="AD40" s="449" t="e">
        <f t="shared" ca="1" si="27"/>
        <v>#NUM!</v>
      </c>
      <c r="AE40" s="449" t="e">
        <f t="shared" ca="1" si="28"/>
        <v>#NUM!</v>
      </c>
      <c r="AF40" s="450"/>
      <c r="AG40" s="451"/>
      <c r="AH40" s="48"/>
      <c r="AI40" s="21">
        <f t="shared" si="29"/>
        <v>15</v>
      </c>
      <c r="AJ40" s="324">
        <f t="shared" si="15"/>
        <v>18.365000000000002</v>
      </c>
      <c r="AK40" s="440">
        <f t="shared" si="30"/>
        <v>8.7011288577329555</v>
      </c>
      <c r="AL40" s="440">
        <f t="shared" si="31"/>
        <v>18.756</v>
      </c>
      <c r="AM40" s="440">
        <f t="shared" si="32"/>
        <v>8.8834556438822982</v>
      </c>
      <c r="AN40" s="441">
        <f t="shared" si="33"/>
        <v>8.7923146858225358</v>
      </c>
      <c r="AO40" s="442" t="e">
        <f t="shared" ca="1" si="34"/>
        <v>#NUM!</v>
      </c>
      <c r="AP40" s="440" t="e">
        <f t="shared" ca="1" si="35"/>
        <v>#NUM!</v>
      </c>
      <c r="AQ40" s="440" t="e">
        <f t="shared" ca="1" si="36"/>
        <v>#NUM!</v>
      </c>
      <c r="AR40" s="452" t="e">
        <f t="shared" ca="1" si="37"/>
        <v>#NUM!</v>
      </c>
      <c r="AS40" s="442" t="e">
        <f t="shared" ca="1" si="38"/>
        <v>#NUM!</v>
      </c>
      <c r="AT40" s="383" t="e">
        <f t="shared" ca="1" si="39"/>
        <v>#NUM!</v>
      </c>
      <c r="AU40" s="444" t="e">
        <f t="shared" ca="1" si="40"/>
        <v>#NUM!</v>
      </c>
      <c r="AV40" s="445">
        <f t="shared" si="48"/>
        <v>345.24043304059433</v>
      </c>
      <c r="AW40" s="446">
        <f t="shared" si="41"/>
        <v>2.9308955665844887E-3</v>
      </c>
      <c r="AX40" s="447" t="e">
        <f t="shared" ca="1" si="42"/>
        <v>#NUM!</v>
      </c>
      <c r="AY40" s="440">
        <f t="shared" si="43"/>
        <v>0.43728587493793297</v>
      </c>
      <c r="AZ40" s="446" t="e">
        <f t="shared" ca="1" si="44"/>
        <v>#NUM!</v>
      </c>
      <c r="BA40" s="448" t="e">
        <f t="shared" ca="1" si="16"/>
        <v>#NUM!</v>
      </c>
      <c r="BB40" s="449" t="e">
        <f t="shared" ca="1" si="45"/>
        <v>#NUM!</v>
      </c>
      <c r="BC40" s="449" t="e">
        <f t="shared" ca="1" si="46"/>
        <v>#NUM!</v>
      </c>
      <c r="BD40" s="455"/>
      <c r="BE40" s="195"/>
      <c r="BF40" s="454"/>
      <c r="BG40" s="260"/>
      <c r="BH40" s="142">
        <f t="shared" si="2"/>
        <v>35</v>
      </c>
      <c r="BI40" s="142">
        <f t="shared" si="0"/>
        <v>0.6108652381980153</v>
      </c>
      <c r="BJ40" s="142">
        <f t="shared" si="1"/>
        <v>122.30178159215082</v>
      </c>
      <c r="BK40" s="19"/>
      <c r="BL40" s="19"/>
      <c r="BM40" s="142">
        <f t="shared" ca="1" si="6"/>
        <v>106091.01020417901</v>
      </c>
      <c r="BN40" s="142">
        <f t="shared" ca="1" si="3"/>
        <v>1060.9101020417902</v>
      </c>
      <c r="BO40" s="142">
        <f t="shared" ca="1" si="4"/>
        <v>1.0609101020417903E-21</v>
      </c>
      <c r="BP40" s="367">
        <f t="shared" ca="1" si="5"/>
        <v>29.460880254117171</v>
      </c>
      <c r="BQ40" s="195"/>
      <c r="BR40" s="195"/>
      <c r="BS40" s="195"/>
      <c r="BT40" s="195"/>
      <c r="BU40" s="454"/>
      <c r="BV40" s="454"/>
      <c r="BW40" s="195"/>
      <c r="BX40" s="454"/>
      <c r="BY40" s="260"/>
      <c r="BZ40" s="195"/>
      <c r="CA40" s="19"/>
    </row>
    <row r="41" spans="1:79" x14ac:dyDescent="0.2">
      <c r="A41" s="427"/>
      <c r="B41" s="48" t="s">
        <v>290</v>
      </c>
      <c r="C41" s="23">
        <v>48</v>
      </c>
      <c r="D41" s="48"/>
      <c r="E41" s="19"/>
      <c r="F41" s="48" t="s">
        <v>290</v>
      </c>
      <c r="G41" s="23">
        <v>48</v>
      </c>
      <c r="H41" s="19"/>
      <c r="I41" s="48"/>
      <c r="J41" s="48"/>
      <c r="K41" s="21">
        <f t="shared" si="17"/>
        <v>16</v>
      </c>
      <c r="L41" s="324">
        <f t="shared" si="7"/>
        <v>18.856000000000002</v>
      </c>
      <c r="M41" s="440">
        <f t="shared" si="8"/>
        <v>37.025059308039339</v>
      </c>
      <c r="N41" s="440">
        <f t="shared" si="9"/>
        <v>19.247</v>
      </c>
      <c r="O41" s="440">
        <f t="shared" si="10"/>
        <v>37.591954559616241</v>
      </c>
      <c r="P41" s="441">
        <f t="shared" si="47"/>
        <v>37.30957550256997</v>
      </c>
      <c r="Q41" s="442" t="e">
        <f t="shared" ca="1" si="18"/>
        <v>#NUM!</v>
      </c>
      <c r="R41" s="440" t="e">
        <f t="shared" ca="1" si="19"/>
        <v>#NUM!</v>
      </c>
      <c r="S41" s="440" t="e">
        <f t="shared" ca="1" si="20"/>
        <v>#NUM!</v>
      </c>
      <c r="T41" s="441" t="e">
        <f t="shared" ca="1" si="21"/>
        <v>#NUM!</v>
      </c>
      <c r="U41" s="443" t="e">
        <f t="shared" ca="1" si="22"/>
        <v>#NUM!</v>
      </c>
      <c r="V41" s="383" t="e">
        <f t="shared" ca="1" si="23"/>
        <v>#NUM!</v>
      </c>
      <c r="W41" s="444" t="e">
        <f t="shared" ca="1" si="24"/>
        <v>#NUM!</v>
      </c>
      <c r="X41" s="445">
        <f t="shared" si="25"/>
        <v>344.68373790558502</v>
      </c>
      <c r="Y41" s="446">
        <f t="shared" si="11"/>
        <v>3.6076593170652135E-2</v>
      </c>
      <c r="Z41" s="447" t="e">
        <f t="shared" ca="1" si="26"/>
        <v>#NUM!</v>
      </c>
      <c r="AA41" s="440">
        <f t="shared" si="12"/>
        <v>0.44813007778394198</v>
      </c>
      <c r="AB41" s="446" t="e">
        <f t="shared" ca="1" si="13"/>
        <v>#NUM!</v>
      </c>
      <c r="AC41" s="448" t="e">
        <f t="shared" ca="1" si="14"/>
        <v>#NUM!</v>
      </c>
      <c r="AD41" s="449" t="e">
        <f t="shared" ca="1" si="27"/>
        <v>#NUM!</v>
      </c>
      <c r="AE41" s="449" t="e">
        <f t="shared" ca="1" si="28"/>
        <v>#NUM!</v>
      </c>
      <c r="AF41" s="450"/>
      <c r="AG41" s="451"/>
      <c r="AH41" s="48"/>
      <c r="AI41" s="21">
        <f t="shared" si="29"/>
        <v>16</v>
      </c>
      <c r="AJ41" s="324">
        <f t="shared" si="15"/>
        <v>18.856000000000002</v>
      </c>
      <c r="AK41" s="440">
        <f t="shared" si="30"/>
        <v>8.9300575756332865</v>
      </c>
      <c r="AL41" s="440">
        <f t="shared" si="31"/>
        <v>19.247</v>
      </c>
      <c r="AM41" s="440">
        <f t="shared" si="32"/>
        <v>9.1121562839057955</v>
      </c>
      <c r="AN41" s="441">
        <f t="shared" si="33"/>
        <v>9.021129900702924</v>
      </c>
      <c r="AO41" s="442" t="e">
        <f t="shared" ca="1" si="34"/>
        <v>#NUM!</v>
      </c>
      <c r="AP41" s="440" t="e">
        <f t="shared" ca="1" si="35"/>
        <v>#NUM!</v>
      </c>
      <c r="AQ41" s="440" t="e">
        <f t="shared" ca="1" si="36"/>
        <v>#NUM!</v>
      </c>
      <c r="AR41" s="452" t="e">
        <f t="shared" ca="1" si="37"/>
        <v>#NUM!</v>
      </c>
      <c r="AS41" s="442" t="e">
        <f t="shared" ca="1" si="38"/>
        <v>#NUM!</v>
      </c>
      <c r="AT41" s="383" t="e">
        <f t="shared" ca="1" si="39"/>
        <v>#NUM!</v>
      </c>
      <c r="AU41" s="444" t="e">
        <f t="shared" ca="1" si="40"/>
        <v>#NUM!</v>
      </c>
      <c r="AV41" s="445">
        <f t="shared" si="48"/>
        <v>344.68373790558502</v>
      </c>
      <c r="AW41" s="446">
        <f t="shared" si="41"/>
        <v>2.9979443952537362E-3</v>
      </c>
      <c r="AX41" s="447" t="e">
        <f t="shared" ca="1" si="42"/>
        <v>#NUM!</v>
      </c>
      <c r="AY41" s="440">
        <f t="shared" si="43"/>
        <v>0.44813007778394198</v>
      </c>
      <c r="AZ41" s="446" t="e">
        <f t="shared" ca="1" si="44"/>
        <v>#NUM!</v>
      </c>
      <c r="BA41" s="448" t="e">
        <f t="shared" ca="1" si="16"/>
        <v>#NUM!</v>
      </c>
      <c r="BB41" s="449" t="e">
        <f t="shared" ca="1" si="45"/>
        <v>#NUM!</v>
      </c>
      <c r="BC41" s="449" t="e">
        <f t="shared" ca="1" si="46"/>
        <v>#NUM!</v>
      </c>
      <c r="BD41" s="455"/>
      <c r="BE41" s="195"/>
      <c r="BF41" s="454"/>
      <c r="BG41" s="260"/>
      <c r="BH41" s="142">
        <f t="shared" si="2"/>
        <v>36</v>
      </c>
      <c r="BI41" s="142">
        <f t="shared" si="0"/>
        <v>0.62831853071795862</v>
      </c>
      <c r="BJ41" s="142">
        <f t="shared" si="1"/>
        <v>109.665631459995</v>
      </c>
      <c r="BK41" s="19"/>
      <c r="BL41" s="19"/>
      <c r="BM41" s="142">
        <f t="shared" ca="1" si="6"/>
        <v>95129.747701212196</v>
      </c>
      <c r="BN41" s="142">
        <f t="shared" ca="1" si="3"/>
        <v>951.29747701212193</v>
      </c>
      <c r="BO41" s="142">
        <f t="shared" ca="1" si="4"/>
        <v>9.51297477012122E-22</v>
      </c>
      <c r="BP41" s="367">
        <f t="shared" ca="1" si="5"/>
        <v>26.416998954350554</v>
      </c>
      <c r="BQ41" s="195"/>
      <c r="BR41" s="195"/>
      <c r="BS41" s="195"/>
      <c r="BT41" s="195"/>
      <c r="BU41" s="454"/>
      <c r="BV41" s="454"/>
      <c r="BW41" s="195"/>
      <c r="BX41" s="454"/>
      <c r="BY41" s="260"/>
      <c r="BZ41" s="195"/>
      <c r="CA41" s="19"/>
    </row>
    <row r="42" spans="1:79" x14ac:dyDescent="0.2">
      <c r="A42" s="427"/>
      <c r="B42" s="48" t="s">
        <v>113</v>
      </c>
      <c r="C42" s="23">
        <v>35</v>
      </c>
      <c r="D42" s="48" t="s">
        <v>1623</v>
      </c>
      <c r="E42" s="19"/>
      <c r="F42" s="48" t="s">
        <v>113</v>
      </c>
      <c r="G42" s="23">
        <v>35</v>
      </c>
      <c r="H42" s="48" t="s">
        <v>1623</v>
      </c>
      <c r="I42" s="48"/>
      <c r="J42" s="48"/>
      <c r="K42" s="21">
        <f t="shared" si="17"/>
        <v>17</v>
      </c>
      <c r="L42" s="324">
        <f t="shared" si="7"/>
        <v>19.347000000000001</v>
      </c>
      <c r="M42" s="440">
        <f t="shared" si="8"/>
        <v>37.735571174666504</v>
      </c>
      <c r="N42" s="440">
        <f t="shared" si="9"/>
        <v>19.738</v>
      </c>
      <c r="O42" s="440">
        <f t="shared" si="10"/>
        <v>38.291797942848007</v>
      </c>
      <c r="P42" s="441">
        <f t="shared" si="47"/>
        <v>38.014739799608456</v>
      </c>
      <c r="Q42" s="442" t="e">
        <f t="shared" ca="1" si="18"/>
        <v>#NUM!</v>
      </c>
      <c r="R42" s="440" t="e">
        <f t="shared" ca="1" si="19"/>
        <v>#NUM!</v>
      </c>
      <c r="S42" s="440" t="e">
        <f t="shared" ca="1" si="20"/>
        <v>#NUM!</v>
      </c>
      <c r="T42" s="441" t="e">
        <f t="shared" ca="1" si="21"/>
        <v>#NUM!</v>
      </c>
      <c r="U42" s="443" t="e">
        <f t="shared" ca="1" si="22"/>
        <v>#NUM!</v>
      </c>
      <c r="V42" s="383" t="e">
        <f t="shared" ca="1" si="23"/>
        <v>#NUM!</v>
      </c>
      <c r="W42" s="444" t="e">
        <f t="shared" ca="1" si="24"/>
        <v>#NUM!</v>
      </c>
      <c r="X42" s="445">
        <f t="shared" si="25"/>
        <v>344.15467969422843</v>
      </c>
      <c r="Y42" s="446">
        <f t="shared" si="11"/>
        <v>3.591148010346315E-2</v>
      </c>
      <c r="Z42" s="447" t="e">
        <f t="shared" ca="1" si="26"/>
        <v>#NUM!</v>
      </c>
      <c r="AA42" s="440">
        <f t="shared" si="12"/>
        <v>0.4589738315922573</v>
      </c>
      <c r="AB42" s="446" t="e">
        <f t="shared" ca="1" si="13"/>
        <v>#NUM!</v>
      </c>
      <c r="AC42" s="448" t="e">
        <f t="shared" ca="1" si="14"/>
        <v>#NUM!</v>
      </c>
      <c r="AD42" s="449" t="e">
        <f t="shared" ca="1" si="27"/>
        <v>#NUM!</v>
      </c>
      <c r="AE42" s="449" t="e">
        <f t="shared" ca="1" si="28"/>
        <v>#NUM!</v>
      </c>
      <c r="AF42" s="450"/>
      <c r="AG42" s="451"/>
      <c r="AH42" s="48"/>
      <c r="AI42" s="21">
        <f t="shared" si="29"/>
        <v>17</v>
      </c>
      <c r="AJ42" s="324">
        <f t="shared" si="15"/>
        <v>19.347000000000001</v>
      </c>
      <c r="AK42" s="440">
        <f t="shared" si="30"/>
        <v>9.1586991963418427</v>
      </c>
      <c r="AL42" s="440">
        <f t="shared" si="31"/>
        <v>19.738</v>
      </c>
      <c r="AM42" s="440">
        <f t="shared" si="32"/>
        <v>9.3405644643209733</v>
      </c>
      <c r="AN42" s="441">
        <f t="shared" si="33"/>
        <v>9.2496553329033606</v>
      </c>
      <c r="AO42" s="442" t="e">
        <f t="shared" ca="1" si="34"/>
        <v>#NUM!</v>
      </c>
      <c r="AP42" s="440" t="e">
        <f t="shared" ca="1" si="35"/>
        <v>#NUM!</v>
      </c>
      <c r="AQ42" s="440" t="e">
        <f t="shared" ca="1" si="36"/>
        <v>#NUM!</v>
      </c>
      <c r="AR42" s="452" t="e">
        <f t="shared" ca="1" si="37"/>
        <v>#NUM!</v>
      </c>
      <c r="AS42" s="442" t="e">
        <f t="shared" ca="1" si="38"/>
        <v>#NUM!</v>
      </c>
      <c r="AT42" s="383" t="e">
        <f t="shared" ca="1" si="39"/>
        <v>#NUM!</v>
      </c>
      <c r="AU42" s="444" t="e">
        <f t="shared" ca="1" si="40"/>
        <v>#NUM!</v>
      </c>
      <c r="AV42" s="445">
        <f t="shared" si="48"/>
        <v>344.15467969422843</v>
      </c>
      <c r="AW42" s="446">
        <f t="shared" si="41"/>
        <v>3.0645856178522853E-3</v>
      </c>
      <c r="AX42" s="447" t="e">
        <f t="shared" ca="1" si="42"/>
        <v>#NUM!</v>
      </c>
      <c r="AY42" s="440">
        <f t="shared" si="43"/>
        <v>0.4589738315922573</v>
      </c>
      <c r="AZ42" s="446" t="e">
        <f t="shared" ca="1" si="44"/>
        <v>#NUM!</v>
      </c>
      <c r="BA42" s="448" t="e">
        <f t="shared" ca="1" si="16"/>
        <v>#NUM!</v>
      </c>
      <c r="BB42" s="449" t="e">
        <f t="shared" ca="1" si="45"/>
        <v>#NUM!</v>
      </c>
      <c r="BC42" s="449" t="e">
        <f t="shared" ca="1" si="46"/>
        <v>#NUM!</v>
      </c>
      <c r="BD42" s="455"/>
      <c r="BE42" s="195"/>
      <c r="BF42" s="454"/>
      <c r="BG42" s="260"/>
      <c r="BH42" s="142">
        <f t="shared" si="2"/>
        <v>37</v>
      </c>
      <c r="BI42" s="142">
        <f t="shared" si="0"/>
        <v>0.64577182323790194</v>
      </c>
      <c r="BJ42" s="142">
        <f t="shared" si="1"/>
        <v>98.649347845374237</v>
      </c>
      <c r="BK42" s="19"/>
      <c r="BL42" s="19"/>
      <c r="BM42" s="142">
        <f t="shared" ca="1" si="6"/>
        <v>85573.642776524255</v>
      </c>
      <c r="BN42" s="142">
        <f t="shared" ca="1" si="3"/>
        <v>855.73642776524252</v>
      </c>
      <c r="BO42" s="142">
        <f t="shared" ca="1" si="4"/>
        <v>8.5573642776524271E-22</v>
      </c>
      <c r="BP42" s="367">
        <f t="shared" ca="1" si="5"/>
        <v>23.763322056183725</v>
      </c>
      <c r="BQ42" s="195"/>
      <c r="BR42" s="195"/>
      <c r="BS42" s="195"/>
      <c r="BT42" s="195"/>
      <c r="BU42" s="454"/>
      <c r="BV42" s="454"/>
      <c r="BW42" s="195"/>
      <c r="BX42" s="454"/>
      <c r="BY42" s="260"/>
      <c r="BZ42" s="195"/>
      <c r="CA42" s="19"/>
    </row>
    <row r="43" spans="1:79" x14ac:dyDescent="0.2">
      <c r="A43" s="427"/>
      <c r="B43" s="48" t="s">
        <v>114</v>
      </c>
      <c r="C43" s="23">
        <v>11</v>
      </c>
      <c r="D43" s="48" t="s">
        <v>1623</v>
      </c>
      <c r="E43" s="19"/>
      <c r="F43" s="48" t="s">
        <v>114</v>
      </c>
      <c r="G43" s="23">
        <v>11</v>
      </c>
      <c r="H43" s="48" t="s">
        <v>1623</v>
      </c>
      <c r="I43" s="48"/>
      <c r="J43" s="48"/>
      <c r="K43" s="21">
        <f t="shared" si="17"/>
        <v>18</v>
      </c>
      <c r="L43" s="324">
        <f t="shared" si="7"/>
        <v>19.838000000000001</v>
      </c>
      <c r="M43" s="440">
        <f t="shared" si="8"/>
        <v>38.432703364702199</v>
      </c>
      <c r="N43" s="440">
        <f t="shared" si="9"/>
        <v>20.228999999999999</v>
      </c>
      <c r="O43" s="440">
        <f t="shared" si="10"/>
        <v>38.978399288363441</v>
      </c>
      <c r="P43" s="441">
        <f t="shared" si="47"/>
        <v>38.706592506995719</v>
      </c>
      <c r="Q43" s="442" t="e">
        <f t="shared" ca="1" si="18"/>
        <v>#NUM!</v>
      </c>
      <c r="R43" s="440" t="e">
        <f t="shared" ca="1" si="19"/>
        <v>#NUM!</v>
      </c>
      <c r="S43" s="440" t="e">
        <f t="shared" ca="1" si="20"/>
        <v>#NUM!</v>
      </c>
      <c r="T43" s="441" t="e">
        <f t="shared" ca="1" si="21"/>
        <v>#NUM!</v>
      </c>
      <c r="U43" s="443" t="e">
        <f t="shared" ca="1" si="22"/>
        <v>#NUM!</v>
      </c>
      <c r="V43" s="383" t="e">
        <f t="shared" ca="1" si="23"/>
        <v>#NUM!</v>
      </c>
      <c r="W43" s="444" t="e">
        <f t="shared" ca="1" si="24"/>
        <v>#NUM!</v>
      </c>
      <c r="X43" s="445">
        <f t="shared" si="25"/>
        <v>343.65123943868161</v>
      </c>
      <c r="Y43" s="446">
        <f t="shared" si="11"/>
        <v>3.5720936358061665E-2</v>
      </c>
      <c r="Z43" s="447" t="e">
        <f t="shared" ca="1" si="26"/>
        <v>#NUM!</v>
      </c>
      <c r="AA43" s="440">
        <f t="shared" si="12"/>
        <v>0.46981715425577392</v>
      </c>
      <c r="AB43" s="446" t="e">
        <f t="shared" ca="1" si="13"/>
        <v>#NUM!</v>
      </c>
      <c r="AC43" s="448" t="e">
        <f t="shared" ca="1" si="14"/>
        <v>#NUM!</v>
      </c>
      <c r="AD43" s="449" t="e">
        <f t="shared" ca="1" si="27"/>
        <v>#NUM!</v>
      </c>
      <c r="AE43" s="449" t="e">
        <f t="shared" ca="1" si="28"/>
        <v>#NUM!</v>
      </c>
      <c r="AF43" s="450"/>
      <c r="AG43" s="451"/>
      <c r="AH43" s="48"/>
      <c r="AI43" s="21">
        <f t="shared" si="29"/>
        <v>18</v>
      </c>
      <c r="AJ43" s="324">
        <f t="shared" si="15"/>
        <v>19.838000000000001</v>
      </c>
      <c r="AK43" s="440">
        <f t="shared" si="30"/>
        <v>9.3870469914995525</v>
      </c>
      <c r="AL43" s="440">
        <f t="shared" si="31"/>
        <v>20.228999999999999</v>
      </c>
      <c r="AM43" s="440">
        <f t="shared" si="32"/>
        <v>9.5686735001777397</v>
      </c>
      <c r="AN43" s="441">
        <f t="shared" si="33"/>
        <v>9.4778842756873303</v>
      </c>
      <c r="AO43" s="442" t="e">
        <f t="shared" ca="1" si="34"/>
        <v>#NUM!</v>
      </c>
      <c r="AP43" s="440" t="e">
        <f t="shared" ca="1" si="35"/>
        <v>#NUM!</v>
      </c>
      <c r="AQ43" s="440" t="e">
        <f t="shared" ca="1" si="36"/>
        <v>#NUM!</v>
      </c>
      <c r="AR43" s="452" t="e">
        <f t="shared" ca="1" si="37"/>
        <v>#NUM!</v>
      </c>
      <c r="AS43" s="442" t="e">
        <f t="shared" ca="1" si="38"/>
        <v>#NUM!</v>
      </c>
      <c r="AT43" s="383" t="e">
        <f t="shared" ca="1" si="39"/>
        <v>#NUM!</v>
      </c>
      <c r="AU43" s="444" t="e">
        <f t="shared" ca="1" si="40"/>
        <v>#NUM!</v>
      </c>
      <c r="AV43" s="445">
        <f t="shared" si="48"/>
        <v>343.65123943868161</v>
      </c>
      <c r="AW43" s="446">
        <f t="shared" si="41"/>
        <v>3.130811411899356E-3</v>
      </c>
      <c r="AX43" s="447" t="e">
        <f t="shared" ca="1" si="42"/>
        <v>#NUM!</v>
      </c>
      <c r="AY43" s="440">
        <f t="shared" si="43"/>
        <v>0.46981715425577392</v>
      </c>
      <c r="AZ43" s="446" t="e">
        <f t="shared" ca="1" si="44"/>
        <v>#NUM!</v>
      </c>
      <c r="BA43" s="448" t="e">
        <f t="shared" ca="1" si="16"/>
        <v>#NUM!</v>
      </c>
      <c r="BB43" s="449" t="e">
        <f t="shared" ca="1" si="45"/>
        <v>#NUM!</v>
      </c>
      <c r="BC43" s="449" t="e">
        <f t="shared" ca="1" si="46"/>
        <v>#NUM!</v>
      </c>
      <c r="BD43" s="455"/>
      <c r="BE43" s="195"/>
      <c r="BF43" s="454"/>
      <c r="BG43" s="260"/>
      <c r="BH43" s="142">
        <f t="shared" si="2"/>
        <v>38</v>
      </c>
      <c r="BI43" s="142">
        <f t="shared" si="0"/>
        <v>0.66322511575784526</v>
      </c>
      <c r="BJ43" s="142">
        <f t="shared" si="1"/>
        <v>89.008673624019494</v>
      </c>
      <c r="BK43" s="19"/>
      <c r="BL43" s="19"/>
      <c r="BM43" s="142">
        <f t="shared" ca="1" si="6"/>
        <v>77210.81392907798</v>
      </c>
      <c r="BN43" s="142">
        <f t="shared" ca="1" si="3"/>
        <v>772.10813929077983</v>
      </c>
      <c r="BO43" s="142">
        <f t="shared" ca="1" si="4"/>
        <v>7.7210813929077988E-22</v>
      </c>
      <c r="BP43" s="367">
        <f t="shared" ca="1" si="5"/>
        <v>21.441011251657272</v>
      </c>
      <c r="BQ43" s="195"/>
      <c r="BR43" s="195"/>
      <c r="BS43" s="195"/>
      <c r="BT43" s="195"/>
      <c r="BU43" s="454"/>
      <c r="BV43" s="454"/>
      <c r="BW43" s="195"/>
      <c r="BX43" s="454"/>
      <c r="BY43" s="260"/>
      <c r="BZ43" s="195"/>
      <c r="CA43" s="19"/>
    </row>
    <row r="44" spans="1:79" x14ac:dyDescent="0.2">
      <c r="A44" s="427"/>
      <c r="B44" s="19" t="s">
        <v>115</v>
      </c>
      <c r="C44" s="23">
        <v>0.49099999999999999</v>
      </c>
      <c r="D44" s="19" t="s">
        <v>1623</v>
      </c>
      <c r="E44" s="19"/>
      <c r="F44" s="19" t="s">
        <v>115</v>
      </c>
      <c r="G44" s="23">
        <v>0.49099999999999999</v>
      </c>
      <c r="H44" s="48" t="s">
        <v>1623</v>
      </c>
      <c r="I44" s="48"/>
      <c r="J44" s="48"/>
      <c r="K44" s="21">
        <f t="shared" si="17"/>
        <v>19</v>
      </c>
      <c r="L44" s="324">
        <f t="shared" si="7"/>
        <v>20.329000000000001</v>
      </c>
      <c r="M44" s="440">
        <f t="shared" si="8"/>
        <v>39.11662963547279</v>
      </c>
      <c r="N44" s="440">
        <f t="shared" si="9"/>
        <v>20.72</v>
      </c>
      <c r="O44" s="440">
        <f t="shared" si="10"/>
        <v>39.65193924410071</v>
      </c>
      <c r="P44" s="441">
        <f t="shared" si="47"/>
        <v>39.385310919769559</v>
      </c>
      <c r="Q44" s="442" t="e">
        <f t="shared" ca="1" si="18"/>
        <v>#NUM!</v>
      </c>
      <c r="R44" s="440" t="e">
        <f t="shared" ca="1" si="19"/>
        <v>#NUM!</v>
      </c>
      <c r="S44" s="440" t="e">
        <f t="shared" ca="1" si="20"/>
        <v>#NUM!</v>
      </c>
      <c r="T44" s="441" t="e">
        <f t="shared" ca="1" si="21"/>
        <v>#NUM!</v>
      </c>
      <c r="U44" s="443" t="e">
        <f t="shared" ca="1" si="22"/>
        <v>#NUM!</v>
      </c>
      <c r="V44" s="383" t="e">
        <f t="shared" ca="1" si="23"/>
        <v>#NUM!</v>
      </c>
      <c r="W44" s="444" t="e">
        <f t="shared" ca="1" si="24"/>
        <v>#NUM!</v>
      </c>
      <c r="X44" s="445">
        <f t="shared" si="25"/>
        <v>343.17159110062778</v>
      </c>
      <c r="Y44" s="446">
        <f t="shared" si="11"/>
        <v>3.5506988331217702E-2</v>
      </c>
      <c r="Z44" s="447" t="e">
        <f t="shared" ca="1" si="26"/>
        <v>#NUM!</v>
      </c>
      <c r="AA44" s="440">
        <f t="shared" si="12"/>
        <v>0.4806600632940512</v>
      </c>
      <c r="AB44" s="446" t="e">
        <f t="shared" ca="1" si="13"/>
        <v>#NUM!</v>
      </c>
      <c r="AC44" s="448" t="e">
        <f t="shared" ca="1" si="14"/>
        <v>#NUM!</v>
      </c>
      <c r="AD44" s="449" t="e">
        <f t="shared" ca="1" si="27"/>
        <v>#NUM!</v>
      </c>
      <c r="AE44" s="449" t="e">
        <f t="shared" ca="1" si="28"/>
        <v>#NUM!</v>
      </c>
      <c r="AF44" s="450"/>
      <c r="AG44" s="451"/>
      <c r="AH44" s="48"/>
      <c r="AI44" s="21">
        <f t="shared" si="29"/>
        <v>19</v>
      </c>
      <c r="AJ44" s="324">
        <f t="shared" si="15"/>
        <v>20.329000000000001</v>
      </c>
      <c r="AK44" s="440">
        <f t="shared" si="30"/>
        <v>9.6150942873631315</v>
      </c>
      <c r="AL44" s="440">
        <f t="shared" si="31"/>
        <v>20.72</v>
      </c>
      <c r="AM44" s="440">
        <f t="shared" si="32"/>
        <v>9.7964767619551942</v>
      </c>
      <c r="AN44" s="441">
        <f t="shared" si="33"/>
        <v>9.7058100773427487</v>
      </c>
      <c r="AO44" s="442" t="e">
        <f t="shared" ca="1" si="34"/>
        <v>#NUM!</v>
      </c>
      <c r="AP44" s="440" t="e">
        <f t="shared" ca="1" si="35"/>
        <v>#NUM!</v>
      </c>
      <c r="AQ44" s="440" t="e">
        <f t="shared" ca="1" si="36"/>
        <v>#NUM!</v>
      </c>
      <c r="AR44" s="452" t="e">
        <f t="shared" ca="1" si="37"/>
        <v>#NUM!</v>
      </c>
      <c r="AS44" s="442" t="e">
        <f t="shared" ca="1" si="38"/>
        <v>#NUM!</v>
      </c>
      <c r="AT44" s="383" t="e">
        <f t="shared" ca="1" si="39"/>
        <v>#NUM!</v>
      </c>
      <c r="AU44" s="444" t="e">
        <f t="shared" ca="1" si="40"/>
        <v>#NUM!</v>
      </c>
      <c r="AV44" s="445">
        <f t="shared" si="48"/>
        <v>343.17159110062778</v>
      </c>
      <c r="AW44" s="446">
        <f t="shared" si="41"/>
        <v>3.1966141057969575E-3</v>
      </c>
      <c r="AX44" s="447" t="e">
        <f t="shared" ca="1" si="42"/>
        <v>#NUM!</v>
      </c>
      <c r="AY44" s="440">
        <f t="shared" si="43"/>
        <v>0.4806600632940512</v>
      </c>
      <c r="AZ44" s="446" t="e">
        <f t="shared" ca="1" si="44"/>
        <v>#NUM!</v>
      </c>
      <c r="BA44" s="448" t="e">
        <f t="shared" ca="1" si="16"/>
        <v>#NUM!</v>
      </c>
      <c r="BB44" s="449" t="e">
        <f t="shared" ca="1" si="45"/>
        <v>#NUM!</v>
      </c>
      <c r="BC44" s="449" t="e">
        <f t="shared" ca="1" si="46"/>
        <v>#NUM!</v>
      </c>
      <c r="BD44" s="455"/>
      <c r="BE44" s="195"/>
      <c r="BF44" s="454"/>
      <c r="BG44" s="260"/>
      <c r="BH44" s="142">
        <f t="shared" si="2"/>
        <v>39</v>
      </c>
      <c r="BI44" s="142">
        <f t="shared" si="0"/>
        <v>0.68067840827778847</v>
      </c>
      <c r="BJ44" s="142">
        <f t="shared" si="1"/>
        <v>80.541362805318258</v>
      </c>
      <c r="BK44" s="19"/>
      <c r="BL44" s="19"/>
      <c r="BM44" s="142">
        <f t="shared" ca="1" si="6"/>
        <v>69865.822329001079</v>
      </c>
      <c r="BN44" s="142">
        <f t="shared" ca="1" si="3"/>
        <v>698.65822329001082</v>
      </c>
      <c r="BO44" s="142">
        <f t="shared" ca="1" si="4"/>
        <v>6.9865822329001087E-22</v>
      </c>
      <c r="BP44" s="367">
        <f t="shared" ca="1" si="5"/>
        <v>19.401348158800435</v>
      </c>
      <c r="BQ44" s="195"/>
      <c r="BR44" s="195"/>
      <c r="BS44" s="195"/>
      <c r="BT44" s="195"/>
      <c r="BU44" s="454"/>
      <c r="BV44" s="454"/>
      <c r="BW44" s="195"/>
      <c r="BX44" s="454"/>
      <c r="BY44" s="260"/>
      <c r="BZ44" s="195"/>
      <c r="CA44" s="19"/>
    </row>
    <row r="45" spans="1:79" x14ac:dyDescent="0.2">
      <c r="A45" s="427"/>
      <c r="B45" s="19" t="s">
        <v>109</v>
      </c>
      <c r="C45" s="457">
        <v>0.1</v>
      </c>
      <c r="D45" s="48" t="s">
        <v>1623</v>
      </c>
      <c r="E45" s="260"/>
      <c r="F45" s="19" t="s">
        <v>109</v>
      </c>
      <c r="G45" s="261">
        <v>0.1</v>
      </c>
      <c r="H45" s="48" t="s">
        <v>1623</v>
      </c>
      <c r="I45" s="48"/>
      <c r="J45" s="48"/>
      <c r="K45" s="21">
        <f t="shared" si="17"/>
        <v>20</v>
      </c>
      <c r="L45" s="324">
        <f t="shared" si="7"/>
        <v>20.82</v>
      </c>
      <c r="M45" s="440">
        <f t="shared" si="8"/>
        <v>39.787532279948792</v>
      </c>
      <c r="N45" s="440">
        <f t="shared" si="9"/>
        <v>21.210999999999999</v>
      </c>
      <c r="O45" s="440">
        <f t="shared" si="10"/>
        <v>40.312606093340371</v>
      </c>
      <c r="P45" s="441">
        <f t="shared" si="47"/>
        <v>40.051080412886506</v>
      </c>
      <c r="Q45" s="442" t="e">
        <f t="shared" ca="1" si="18"/>
        <v>#NUM!</v>
      </c>
      <c r="R45" s="440" t="e">
        <f t="shared" ca="1" si="19"/>
        <v>#NUM!</v>
      </c>
      <c r="S45" s="440" t="e">
        <f t="shared" ca="1" si="20"/>
        <v>#NUM!</v>
      </c>
      <c r="T45" s="441" t="e">
        <f t="shared" ca="1" si="21"/>
        <v>#NUM!</v>
      </c>
      <c r="U45" s="443" t="e">
        <f t="shared" ca="1" si="22"/>
        <v>#NUM!</v>
      </c>
      <c r="V45" s="383" t="e">
        <f t="shared" ca="1" si="23"/>
        <v>#NUM!</v>
      </c>
      <c r="W45" s="444" t="e">
        <f t="shared" ca="1" si="24"/>
        <v>#NUM!</v>
      </c>
      <c r="X45" s="445">
        <f t="shared" si="25"/>
        <v>342.71407896155631</v>
      </c>
      <c r="Y45" s="446">
        <f t="shared" si="11"/>
        <v>3.5271579512612852E-2</v>
      </c>
      <c r="Z45" s="447" t="e">
        <f t="shared" ca="1" si="26"/>
        <v>#NUM!</v>
      </c>
      <c r="AA45" s="440">
        <f t="shared" si="12"/>
        <v>0.49150257575008155</v>
      </c>
      <c r="AB45" s="446" t="e">
        <f t="shared" ca="1" si="13"/>
        <v>#NUM!</v>
      </c>
      <c r="AC45" s="448" t="e">
        <f t="shared" ca="1" si="14"/>
        <v>#NUM!</v>
      </c>
      <c r="AD45" s="449" t="e">
        <f t="shared" ca="1" si="27"/>
        <v>#NUM!</v>
      </c>
      <c r="AE45" s="449" t="e">
        <f t="shared" ca="1" si="28"/>
        <v>#NUM!</v>
      </c>
      <c r="AF45" s="450"/>
      <c r="AG45" s="451"/>
      <c r="AH45" s="48"/>
      <c r="AI45" s="21">
        <f t="shared" si="29"/>
        <v>20</v>
      </c>
      <c r="AJ45" s="324">
        <f t="shared" si="15"/>
        <v>20.82</v>
      </c>
      <c r="AK45" s="440">
        <f t="shared" si="30"/>
        <v>9.8428344658240068</v>
      </c>
      <c r="AL45" s="440">
        <f t="shared" si="31"/>
        <v>21.210999999999999</v>
      </c>
      <c r="AM45" s="440">
        <f t="shared" si="32"/>
        <v>10.023967676560837</v>
      </c>
      <c r="AN45" s="441">
        <f t="shared" si="33"/>
        <v>9.9334261421910579</v>
      </c>
      <c r="AO45" s="442" t="e">
        <f t="shared" ca="1" si="34"/>
        <v>#NUM!</v>
      </c>
      <c r="AP45" s="440" t="e">
        <f t="shared" ca="1" si="35"/>
        <v>#NUM!</v>
      </c>
      <c r="AQ45" s="440" t="e">
        <f t="shared" ca="1" si="36"/>
        <v>#NUM!</v>
      </c>
      <c r="AR45" s="452" t="e">
        <f t="shared" ca="1" si="37"/>
        <v>#NUM!</v>
      </c>
      <c r="AS45" s="442" t="e">
        <f t="shared" ca="1" si="38"/>
        <v>#NUM!</v>
      </c>
      <c r="AT45" s="383" t="e">
        <f t="shared" ca="1" si="39"/>
        <v>#NUM!</v>
      </c>
      <c r="AU45" s="444" t="e">
        <f t="shared" ca="1" si="40"/>
        <v>#NUM!</v>
      </c>
      <c r="AV45" s="445">
        <f t="shared" si="48"/>
        <v>342.71407896155631</v>
      </c>
      <c r="AW45" s="446">
        <f t="shared" si="41"/>
        <v>3.2619861801755348E-3</v>
      </c>
      <c r="AX45" s="447" t="e">
        <f t="shared" ca="1" si="42"/>
        <v>#NUM!</v>
      </c>
      <c r="AY45" s="440">
        <f t="shared" si="43"/>
        <v>0.49150257575008155</v>
      </c>
      <c r="AZ45" s="446" t="e">
        <f t="shared" ca="1" si="44"/>
        <v>#NUM!</v>
      </c>
      <c r="BA45" s="448" t="e">
        <f t="shared" ca="1" si="16"/>
        <v>#NUM!</v>
      </c>
      <c r="BB45" s="449" t="e">
        <f t="shared" ca="1" si="45"/>
        <v>#NUM!</v>
      </c>
      <c r="BC45" s="449" t="e">
        <f t="shared" ca="1" si="46"/>
        <v>#NUM!</v>
      </c>
      <c r="BD45" s="455"/>
      <c r="BE45" s="195"/>
      <c r="BF45" s="454"/>
      <c r="BG45" s="260"/>
      <c r="BH45" s="142">
        <f t="shared" si="2"/>
        <v>40</v>
      </c>
      <c r="BI45" s="142">
        <f t="shared" si="0"/>
        <v>0.69813170079773179</v>
      </c>
      <c r="BJ45" s="142">
        <f t="shared" si="1"/>
        <v>73.079111985020617</v>
      </c>
      <c r="BK45" s="19"/>
      <c r="BL45" s="19"/>
      <c r="BM45" s="142">
        <f t="shared" ca="1" si="6"/>
        <v>63392.672734480788</v>
      </c>
      <c r="BN45" s="142">
        <f t="shared" ca="1" si="3"/>
        <v>633.92672734480789</v>
      </c>
      <c r="BO45" s="142">
        <f t="shared" ca="1" si="4"/>
        <v>6.3392672734480793E-22</v>
      </c>
      <c r="BP45" s="367">
        <f t="shared" ca="1" si="5"/>
        <v>17.603790715392876</v>
      </c>
      <c r="BQ45" s="195"/>
      <c r="BR45" s="195"/>
      <c r="BS45" s="195"/>
      <c r="BT45" s="195"/>
      <c r="BU45" s="454"/>
      <c r="BV45" s="454"/>
      <c r="BW45" s="195"/>
      <c r="BX45" s="454"/>
      <c r="BY45" s="260"/>
      <c r="BZ45" s="195"/>
      <c r="CA45" s="19"/>
    </row>
    <row r="46" spans="1:79" x14ac:dyDescent="0.2">
      <c r="A46" s="427"/>
      <c r="B46" s="19" t="s">
        <v>110</v>
      </c>
      <c r="C46" s="38">
        <f>C$44-C$45</f>
        <v>0.39100000000000001</v>
      </c>
      <c r="D46" s="19" t="s">
        <v>1623</v>
      </c>
      <c r="E46" s="260"/>
      <c r="F46" s="19" t="s">
        <v>110</v>
      </c>
      <c r="G46" s="458">
        <f>$G$44-$G$45</f>
        <v>0.39100000000000001</v>
      </c>
      <c r="H46" s="48"/>
      <c r="I46" s="48"/>
      <c r="J46" s="48"/>
      <c r="K46" s="21">
        <f t="shared" si="17"/>
        <v>21</v>
      </c>
      <c r="L46" s="324">
        <f t="shared" si="7"/>
        <v>21.311</v>
      </c>
      <c r="M46" s="440">
        <f t="shared" si="8"/>
        <v>40.445601003343917</v>
      </c>
      <c r="N46" s="440">
        <f t="shared" si="9"/>
        <v>21.701999999999998</v>
      </c>
      <c r="O46" s="440">
        <f t="shared" si="10"/>
        <v>40.960594687167351</v>
      </c>
      <c r="P46" s="441">
        <f t="shared" si="47"/>
        <v>40.704093345787037</v>
      </c>
      <c r="Q46" s="442" t="e">
        <f t="shared" ca="1" si="18"/>
        <v>#NUM!</v>
      </c>
      <c r="R46" s="440" t="e">
        <f t="shared" ca="1" si="19"/>
        <v>#NUM!</v>
      </c>
      <c r="S46" s="440" t="e">
        <f t="shared" ca="1" si="20"/>
        <v>#NUM!</v>
      </c>
      <c r="T46" s="441" t="e">
        <f t="shared" ca="1" si="21"/>
        <v>#NUM!</v>
      </c>
      <c r="U46" s="443" t="e">
        <f t="shared" ca="1" si="22"/>
        <v>#NUM!</v>
      </c>
      <c r="V46" s="383" t="e">
        <f t="shared" ca="1" si="23"/>
        <v>#NUM!</v>
      </c>
      <c r="W46" s="444" t="e">
        <f t="shared" ca="1" si="24"/>
        <v>#NUM!</v>
      </c>
      <c r="X46" s="445">
        <f t="shared" si="25"/>
        <v>342.27719813284511</v>
      </c>
      <c r="Y46" s="446">
        <f t="shared" si="11"/>
        <v>3.5016568075667158E-2</v>
      </c>
      <c r="Z46" s="447" t="e">
        <f t="shared" ca="1" si="26"/>
        <v>#NUM!</v>
      </c>
      <c r="AA46" s="440">
        <f t="shared" si="12"/>
        <v>0.50234470812036358</v>
      </c>
      <c r="AB46" s="446" t="e">
        <f t="shared" ca="1" si="13"/>
        <v>#NUM!</v>
      </c>
      <c r="AC46" s="448" t="e">
        <f t="shared" ca="1" si="14"/>
        <v>#NUM!</v>
      </c>
      <c r="AD46" s="449" t="e">
        <f t="shared" ca="1" si="27"/>
        <v>#NUM!</v>
      </c>
      <c r="AE46" s="449" t="e">
        <f t="shared" ca="1" si="28"/>
        <v>#NUM!</v>
      </c>
      <c r="AF46" s="450"/>
      <c r="AG46" s="451"/>
      <c r="AH46" s="48"/>
      <c r="AI46" s="21">
        <f t="shared" si="29"/>
        <v>21</v>
      </c>
      <c r="AJ46" s="324">
        <f t="shared" si="15"/>
        <v>21.311</v>
      </c>
      <c r="AK46" s="440">
        <f t="shared" si="30"/>
        <v>10.070260965402451</v>
      </c>
      <c r="AL46" s="440">
        <f t="shared" si="31"/>
        <v>21.701999999999998</v>
      </c>
      <c r="AM46" s="440">
        <f t="shared" si="32"/>
        <v>10.2511397283048</v>
      </c>
      <c r="AN46" s="441">
        <f t="shared" si="33"/>
        <v>10.160725931571438</v>
      </c>
      <c r="AO46" s="442" t="e">
        <f t="shared" ca="1" si="34"/>
        <v>#NUM!</v>
      </c>
      <c r="AP46" s="440" t="e">
        <f t="shared" ca="1" si="35"/>
        <v>#NUM!</v>
      </c>
      <c r="AQ46" s="440" t="e">
        <f t="shared" ca="1" si="36"/>
        <v>#NUM!</v>
      </c>
      <c r="AR46" s="452" t="e">
        <f t="shared" ca="1" si="37"/>
        <v>#NUM!</v>
      </c>
      <c r="AS46" s="442" t="e">
        <f t="shared" ca="1" si="38"/>
        <v>#NUM!</v>
      </c>
      <c r="AT46" s="383" t="e">
        <f t="shared" ca="1" si="39"/>
        <v>#NUM!</v>
      </c>
      <c r="AU46" s="444" t="e">
        <f t="shared" ca="1" si="40"/>
        <v>#NUM!</v>
      </c>
      <c r="AV46" s="445">
        <f t="shared" si="48"/>
        <v>342.27719813284511</v>
      </c>
      <c r="AW46" s="446">
        <f t="shared" si="41"/>
        <v>3.3269202693561287E-3</v>
      </c>
      <c r="AX46" s="447" t="e">
        <f t="shared" ca="1" si="42"/>
        <v>#NUM!</v>
      </c>
      <c r="AY46" s="440">
        <f t="shared" si="43"/>
        <v>0.50234470812036358</v>
      </c>
      <c r="AZ46" s="446" t="e">
        <f t="shared" ca="1" si="44"/>
        <v>#NUM!</v>
      </c>
      <c r="BA46" s="448" t="e">
        <f t="shared" ca="1" si="16"/>
        <v>#NUM!</v>
      </c>
      <c r="BB46" s="449" t="e">
        <f t="shared" ca="1" si="45"/>
        <v>#NUM!</v>
      </c>
      <c r="BC46" s="449" t="e">
        <f t="shared" ca="1" si="46"/>
        <v>#NUM!</v>
      </c>
      <c r="BD46" s="455"/>
      <c r="BE46" s="195"/>
      <c r="BF46" s="454"/>
      <c r="BG46" s="260"/>
      <c r="BH46" s="142">
        <f t="shared" si="2"/>
        <v>41</v>
      </c>
      <c r="BI46" s="142">
        <f t="shared" si="0"/>
        <v>0.71558499331767511</v>
      </c>
      <c r="BJ46" s="142">
        <f t="shared" si="1"/>
        <v>66.481195174115911</v>
      </c>
      <c r="BK46" s="19"/>
      <c r="BL46" s="19"/>
      <c r="BM46" s="142">
        <f t="shared" ca="1" si="6"/>
        <v>57669.292006910589</v>
      </c>
      <c r="BN46" s="142">
        <f t="shared" ca="1" si="3"/>
        <v>576.69292006910587</v>
      </c>
      <c r="BO46" s="142">
        <f t="shared" ca="1" si="4"/>
        <v>5.7669292006910594E-22</v>
      </c>
      <c r="BP46" s="367">
        <f t="shared" ca="1" si="5"/>
        <v>16.014439893498015</v>
      </c>
      <c r="BQ46" s="195"/>
      <c r="BR46" s="195"/>
      <c r="BS46" s="195"/>
      <c r="BT46" s="195"/>
      <c r="BU46" s="454"/>
      <c r="BV46" s="454"/>
      <c r="BW46" s="195"/>
      <c r="BX46" s="454"/>
      <c r="BY46" s="260"/>
      <c r="BZ46" s="195"/>
      <c r="CA46" s="19"/>
    </row>
    <row r="47" spans="1:79" ht="14.25" x14ac:dyDescent="0.2">
      <c r="A47" s="427"/>
      <c r="B47" s="19" t="s">
        <v>293</v>
      </c>
      <c r="C47" s="459">
        <v>300000000</v>
      </c>
      <c r="D47" s="48" t="s">
        <v>294</v>
      </c>
      <c r="E47" s="460"/>
      <c r="F47" s="19" t="s">
        <v>293</v>
      </c>
      <c r="G47" s="459">
        <v>300000000</v>
      </c>
      <c r="H47" s="48" t="s">
        <v>294</v>
      </c>
      <c r="I47" s="48"/>
      <c r="J47" s="48"/>
      <c r="K47" s="21">
        <f t="shared" si="17"/>
        <v>22</v>
      </c>
      <c r="L47" s="324">
        <f t="shared" si="7"/>
        <v>21.802</v>
      </c>
      <c r="M47" s="440">
        <f t="shared" si="8"/>
        <v>41.091031869807125</v>
      </c>
      <c r="N47" s="440">
        <f t="shared" si="9"/>
        <v>22.192999999999998</v>
      </c>
      <c r="O47" s="440">
        <f t="shared" si="10"/>
        <v>41.596105446441769</v>
      </c>
      <c r="P47" s="441">
        <f t="shared" si="47"/>
        <v>41.344548036807424</v>
      </c>
      <c r="Q47" s="442" t="e">
        <f t="shared" ca="1" si="18"/>
        <v>#NUM!</v>
      </c>
      <c r="R47" s="440" t="e">
        <f t="shared" ca="1" si="19"/>
        <v>#NUM!</v>
      </c>
      <c r="S47" s="440" t="e">
        <f t="shared" ca="1" si="20"/>
        <v>#NUM!</v>
      </c>
      <c r="T47" s="441" t="e">
        <f t="shared" ca="1" si="21"/>
        <v>#NUM!</v>
      </c>
      <c r="U47" s="443" t="e">
        <f t="shared" ca="1" si="22"/>
        <v>#NUM!</v>
      </c>
      <c r="V47" s="383" t="e">
        <f t="shared" ca="1" si="23"/>
        <v>#NUM!</v>
      </c>
      <c r="W47" s="444" t="e">
        <f t="shared" ca="1" si="24"/>
        <v>#NUM!</v>
      </c>
      <c r="X47" s="445">
        <f t="shared" si="25"/>
        <v>341.85957769280543</v>
      </c>
      <c r="Y47" s="446">
        <f t="shared" si="11"/>
        <v>3.4743725416805434E-2</v>
      </c>
      <c r="Z47" s="447" t="e">
        <f t="shared" ca="1" si="26"/>
        <v>#NUM!</v>
      </c>
      <c r="AA47" s="440">
        <f t="shared" si="12"/>
        <v>0.51318647631016512</v>
      </c>
      <c r="AB47" s="446" t="e">
        <f t="shared" ca="1" si="13"/>
        <v>#NUM!</v>
      </c>
      <c r="AC47" s="448" t="e">
        <f t="shared" ca="1" si="14"/>
        <v>#NUM!</v>
      </c>
      <c r="AD47" s="449" t="e">
        <f t="shared" ca="1" si="27"/>
        <v>#NUM!</v>
      </c>
      <c r="AE47" s="449" t="e">
        <f t="shared" ca="1" si="28"/>
        <v>#NUM!</v>
      </c>
      <c r="AF47" s="450"/>
      <c r="AG47" s="451"/>
      <c r="AH47" s="48"/>
      <c r="AI47" s="21">
        <f t="shared" si="29"/>
        <v>22</v>
      </c>
      <c r="AJ47" s="324">
        <f t="shared" si="15"/>
        <v>21.802</v>
      </c>
      <c r="AK47" s="440">
        <f t="shared" si="30"/>
        <v>10.29736728221671</v>
      </c>
      <c r="AL47" s="440">
        <f t="shared" si="31"/>
        <v>22.192999999999998</v>
      </c>
      <c r="AM47" s="440">
        <f t="shared" si="32"/>
        <v>10.477986459848829</v>
      </c>
      <c r="AN47" s="441">
        <f t="shared" si="33"/>
        <v>10.387702964799873</v>
      </c>
      <c r="AO47" s="442" t="e">
        <f t="shared" ca="1" si="34"/>
        <v>#NUM!</v>
      </c>
      <c r="AP47" s="440" t="e">
        <f t="shared" ca="1" si="35"/>
        <v>#NUM!</v>
      </c>
      <c r="AQ47" s="440" t="e">
        <f t="shared" ca="1" si="36"/>
        <v>#NUM!</v>
      </c>
      <c r="AR47" s="452" t="e">
        <f t="shared" ca="1" si="37"/>
        <v>#NUM!</v>
      </c>
      <c r="AS47" s="442" t="e">
        <f t="shared" ca="1" si="38"/>
        <v>#NUM!</v>
      </c>
      <c r="AT47" s="383" t="e">
        <f t="shared" ca="1" si="39"/>
        <v>#NUM!</v>
      </c>
      <c r="AU47" s="444" t="e">
        <f t="shared" ca="1" si="40"/>
        <v>#NUM!</v>
      </c>
      <c r="AV47" s="445">
        <f t="shared" si="48"/>
        <v>341.85957769280543</v>
      </c>
      <c r="AW47" s="446">
        <f t="shared" si="41"/>
        <v>3.3914091628783091E-3</v>
      </c>
      <c r="AX47" s="447" t="e">
        <f t="shared" ca="1" si="42"/>
        <v>#NUM!</v>
      </c>
      <c r="AY47" s="440">
        <f t="shared" si="43"/>
        <v>0.51318647631016512</v>
      </c>
      <c r="AZ47" s="446" t="e">
        <f t="shared" ca="1" si="44"/>
        <v>#NUM!</v>
      </c>
      <c r="BA47" s="448" t="e">
        <f t="shared" ca="1" si="16"/>
        <v>#NUM!</v>
      </c>
      <c r="BB47" s="449" t="e">
        <f t="shared" ca="1" si="45"/>
        <v>#NUM!</v>
      </c>
      <c r="BC47" s="449" t="e">
        <f t="shared" ca="1" si="46"/>
        <v>#NUM!</v>
      </c>
      <c r="BD47" s="455"/>
      <c r="BE47" s="195"/>
      <c r="BF47" s="454"/>
      <c r="BG47" s="260"/>
      <c r="BH47" s="142">
        <f t="shared" si="2"/>
        <v>42</v>
      </c>
      <c r="BI47" s="142">
        <f t="shared" si="0"/>
        <v>0.73303828583761843</v>
      </c>
      <c r="BJ47" s="142">
        <f t="shared" si="1"/>
        <v>60.629411491976299</v>
      </c>
      <c r="BK47" s="19"/>
      <c r="BL47" s="19"/>
      <c r="BM47" s="142">
        <f t="shared" ca="1" si="6"/>
        <v>52593.146473685047</v>
      </c>
      <c r="BN47" s="142">
        <f t="shared" ca="1" si="3"/>
        <v>525.93146473685044</v>
      </c>
      <c r="BO47" s="142">
        <f t="shared" ca="1" si="4"/>
        <v>5.2593146473685054E-22</v>
      </c>
      <c r="BP47" s="367">
        <f t="shared" ca="1" si="5"/>
        <v>14.604822665619658</v>
      </c>
      <c r="BQ47" s="195"/>
      <c r="BR47" s="195"/>
      <c r="BS47" s="195"/>
      <c r="BT47" s="195"/>
      <c r="BU47" s="454"/>
      <c r="BV47" s="454"/>
      <c r="BW47" s="195"/>
      <c r="BX47" s="454"/>
      <c r="BY47" s="260"/>
      <c r="BZ47" s="195"/>
      <c r="CA47" s="19"/>
    </row>
    <row r="48" spans="1:79" ht="15.75" x14ac:dyDescent="0.3">
      <c r="A48" s="427"/>
      <c r="B48" s="48" t="s">
        <v>279</v>
      </c>
      <c r="C48" s="38">
        <f>DEGREES(ATAN(($C$43)/$C$35))</f>
        <v>23.749494492866763</v>
      </c>
      <c r="D48" s="48" t="s">
        <v>288</v>
      </c>
      <c r="E48" s="195"/>
      <c r="F48" s="48" t="s">
        <v>279</v>
      </c>
      <c r="G48" s="38">
        <f>DEGREES(ATAN(($G$43)/$C$36))</f>
        <v>5.2374760668125129</v>
      </c>
      <c r="H48" s="48" t="s">
        <v>288</v>
      </c>
      <c r="I48" s="48"/>
      <c r="J48" s="48"/>
      <c r="K48" s="21">
        <f t="shared" si="17"/>
        <v>23</v>
      </c>
      <c r="L48" s="324">
        <f t="shared" si="7"/>
        <v>22.292999999999999</v>
      </c>
      <c r="M48" s="440">
        <f t="shared" si="8"/>
        <v>41.724026318417415</v>
      </c>
      <c r="N48" s="440">
        <f t="shared" si="9"/>
        <v>22.683999999999997</v>
      </c>
      <c r="O48" s="440">
        <f t="shared" si="10"/>
        <v>42.219343432067369</v>
      </c>
      <c r="P48" s="441">
        <f t="shared" si="47"/>
        <v>41.972647806430075</v>
      </c>
      <c r="Q48" s="442" t="e">
        <f t="shared" ca="1" si="18"/>
        <v>#NUM!</v>
      </c>
      <c r="R48" s="440" t="e">
        <f t="shared" ca="1" si="19"/>
        <v>#NUM!</v>
      </c>
      <c r="S48" s="440" t="e">
        <f t="shared" ca="1" si="20"/>
        <v>#NUM!</v>
      </c>
      <c r="T48" s="441" t="e">
        <f t="shared" ca="1" si="21"/>
        <v>#NUM!</v>
      </c>
      <c r="U48" s="443" t="e">
        <f t="shared" ca="1" si="22"/>
        <v>#NUM!</v>
      </c>
      <c r="V48" s="383" t="e">
        <f t="shared" ca="1" si="23"/>
        <v>#NUM!</v>
      </c>
      <c r="W48" s="444" t="e">
        <f t="shared" ca="1" si="24"/>
        <v>#NUM!</v>
      </c>
      <c r="X48" s="445">
        <f t="shared" si="25"/>
        <v>341.45996604517131</v>
      </c>
      <c r="Y48" s="446">
        <f t="shared" si="11"/>
        <v>3.4454735530275289E-2</v>
      </c>
      <c r="Z48" s="447" t="e">
        <f t="shared" ca="1" si="26"/>
        <v>#NUM!</v>
      </c>
      <c r="AA48" s="440">
        <f t="shared" si="12"/>
        <v>0.52402789560782947</v>
      </c>
      <c r="AB48" s="446" t="e">
        <f t="shared" ca="1" si="13"/>
        <v>#NUM!</v>
      </c>
      <c r="AC48" s="448" t="e">
        <f t="shared" ca="1" si="14"/>
        <v>#NUM!</v>
      </c>
      <c r="AD48" s="449" t="e">
        <f t="shared" ca="1" si="27"/>
        <v>#NUM!</v>
      </c>
      <c r="AE48" s="449" t="e">
        <f t="shared" ca="1" si="28"/>
        <v>#NUM!</v>
      </c>
      <c r="AF48" s="450"/>
      <c r="AG48" s="451"/>
      <c r="AH48" s="48"/>
      <c r="AI48" s="21">
        <f t="shared" si="29"/>
        <v>23</v>
      </c>
      <c r="AJ48" s="324">
        <f t="shared" si="15"/>
        <v>22.292999999999999</v>
      </c>
      <c r="AK48" s="440">
        <f t="shared" si="30"/>
        <v>10.524146970926791</v>
      </c>
      <c r="AL48" s="440">
        <f t="shared" si="31"/>
        <v>22.683999999999997</v>
      </c>
      <c r="AM48" s="440">
        <f t="shared" si="32"/>
        <v>10.704501473129733</v>
      </c>
      <c r="AN48" s="441">
        <f t="shared" si="33"/>
        <v>10.614350820102796</v>
      </c>
      <c r="AO48" s="442" t="e">
        <f t="shared" ca="1" si="34"/>
        <v>#NUM!</v>
      </c>
      <c r="AP48" s="440" t="e">
        <f t="shared" ca="1" si="35"/>
        <v>#NUM!</v>
      </c>
      <c r="AQ48" s="440" t="e">
        <f t="shared" ca="1" si="36"/>
        <v>#NUM!</v>
      </c>
      <c r="AR48" s="452" t="e">
        <f t="shared" ca="1" si="37"/>
        <v>#NUM!</v>
      </c>
      <c r="AS48" s="442" t="e">
        <f t="shared" ca="1" si="38"/>
        <v>#NUM!</v>
      </c>
      <c r="AT48" s="383" t="e">
        <f t="shared" ca="1" si="39"/>
        <v>#NUM!</v>
      </c>
      <c r="AU48" s="444" t="e">
        <f t="shared" ca="1" si="40"/>
        <v>#NUM!</v>
      </c>
      <c r="AV48" s="445">
        <f t="shared" si="48"/>
        <v>341.45996604517131</v>
      </c>
      <c r="AW48" s="446">
        <f t="shared" si="41"/>
        <v>3.455445807058925E-3</v>
      </c>
      <c r="AX48" s="447" t="e">
        <f t="shared" ca="1" si="42"/>
        <v>#NUM!</v>
      </c>
      <c r="AY48" s="440">
        <f t="shared" si="43"/>
        <v>0.52402789560782947</v>
      </c>
      <c r="AZ48" s="446" t="e">
        <f t="shared" ca="1" si="44"/>
        <v>#NUM!</v>
      </c>
      <c r="BA48" s="448" t="e">
        <f t="shared" ca="1" si="16"/>
        <v>#NUM!</v>
      </c>
      <c r="BB48" s="449" t="e">
        <f t="shared" ca="1" si="45"/>
        <v>#NUM!</v>
      </c>
      <c r="BC48" s="449" t="e">
        <f t="shared" ca="1" si="46"/>
        <v>#NUM!</v>
      </c>
      <c r="BD48" s="455"/>
      <c r="BE48" s="195"/>
      <c r="BF48" s="454"/>
      <c r="BG48" s="260"/>
      <c r="BH48" s="142">
        <f t="shared" si="2"/>
        <v>43</v>
      </c>
      <c r="BI48" s="142">
        <f t="shared" si="0"/>
        <v>0.75049157835756175</v>
      </c>
      <c r="BJ48" s="142">
        <f t="shared" si="1"/>
        <v>55.424051498429797</v>
      </c>
      <c r="BK48" s="19"/>
      <c r="BL48" s="19"/>
      <c r="BM48" s="142">
        <f t="shared" ca="1" si="6"/>
        <v>48077.742912080605</v>
      </c>
      <c r="BN48" s="142">
        <f t="shared" ca="1" si="3"/>
        <v>480.77742912080606</v>
      </c>
      <c r="BO48" s="142">
        <f t="shared" ca="1" si="4"/>
        <v>4.8077742912080607E-22</v>
      </c>
      <c r="BP48" s="367">
        <f t="shared" ca="1" si="5"/>
        <v>13.350920347492774</v>
      </c>
      <c r="BQ48" s="195"/>
      <c r="BR48" s="195"/>
      <c r="BS48" s="195"/>
      <c r="BT48" s="195"/>
      <c r="BU48" s="454"/>
      <c r="BV48" s="454"/>
      <c r="BW48" s="195"/>
      <c r="BX48" s="454"/>
      <c r="BY48" s="260"/>
      <c r="BZ48" s="195"/>
      <c r="CA48" s="19"/>
    </row>
    <row r="49" spans="1:79" ht="15.75" x14ac:dyDescent="0.3">
      <c r="A49" s="427"/>
      <c r="B49" s="48" t="s">
        <v>280</v>
      </c>
      <c r="C49" s="38">
        <f>DEGREES(ATAN(($C$42)/$C$35))</f>
        <v>54.462322208025618</v>
      </c>
      <c r="D49" s="48" t="s">
        <v>288</v>
      </c>
      <c r="E49" s="195"/>
      <c r="F49" s="48" t="s">
        <v>280</v>
      </c>
      <c r="G49" s="38">
        <f>DEGREES(ATAN(($G$42)/$C$36))</f>
        <v>16.26020470831196</v>
      </c>
      <c r="H49" s="48" t="s">
        <v>288</v>
      </c>
      <c r="I49" s="48"/>
      <c r="J49" s="48"/>
      <c r="K49" s="21">
        <f t="shared" si="17"/>
        <v>24</v>
      </c>
      <c r="L49" s="324">
        <f t="shared" si="7"/>
        <v>22.783999999999999</v>
      </c>
      <c r="M49" s="440">
        <f t="shared" si="8"/>
        <v>42.344790247171744</v>
      </c>
      <c r="N49" s="440">
        <f t="shared" si="9"/>
        <v>23.174999999999997</v>
      </c>
      <c r="O49" s="440">
        <f t="shared" si="10"/>
        <v>42.830517481898539</v>
      </c>
      <c r="P49" s="441">
        <f t="shared" si="47"/>
        <v>42.588600087881026</v>
      </c>
      <c r="Q49" s="442" t="e">
        <f t="shared" ca="1" si="18"/>
        <v>#NUM!</v>
      </c>
      <c r="R49" s="440" t="e">
        <f t="shared" ca="1" si="19"/>
        <v>#NUM!</v>
      </c>
      <c r="S49" s="440" t="e">
        <f t="shared" ca="1" si="20"/>
        <v>#NUM!</v>
      </c>
      <c r="T49" s="441" t="e">
        <f t="shared" ca="1" si="21"/>
        <v>#NUM!</v>
      </c>
      <c r="U49" s="443" t="e">
        <f t="shared" ca="1" si="22"/>
        <v>#NUM!</v>
      </c>
      <c r="V49" s="383" t="e">
        <f t="shared" ca="1" si="23"/>
        <v>#NUM!</v>
      </c>
      <c r="W49" s="444" t="e">
        <f t="shared" ca="1" si="24"/>
        <v>#NUM!</v>
      </c>
      <c r="X49" s="445">
        <f t="shared" si="25"/>
        <v>341.0772181637559</v>
      </c>
      <c r="Y49" s="446">
        <f t="shared" si="11"/>
        <v>3.4151195111672819E-2</v>
      </c>
      <c r="Z49" s="447" t="e">
        <f t="shared" ca="1" si="26"/>
        <v>#NUM!</v>
      </c>
      <c r="AA49" s="440">
        <f t="shared" si="12"/>
        <v>0.53486898067329969</v>
      </c>
      <c r="AB49" s="446" t="e">
        <f t="shared" ca="1" si="13"/>
        <v>#NUM!</v>
      </c>
      <c r="AC49" s="448" t="e">
        <f t="shared" ca="1" si="14"/>
        <v>#NUM!</v>
      </c>
      <c r="AD49" s="449" t="e">
        <f t="shared" ca="1" si="27"/>
        <v>#NUM!</v>
      </c>
      <c r="AE49" s="449" t="e">
        <f t="shared" ca="1" si="28"/>
        <v>#NUM!</v>
      </c>
      <c r="AF49" s="450"/>
      <c r="AG49" s="451"/>
      <c r="AH49" s="48"/>
      <c r="AI49" s="21">
        <f t="shared" si="29"/>
        <v>24</v>
      </c>
      <c r="AJ49" s="324">
        <f t="shared" si="15"/>
        <v>22.783999999999999</v>
      </c>
      <c r="AK49" s="440">
        <f t="shared" si="30"/>
        <v>10.7505936456527</v>
      </c>
      <c r="AL49" s="440">
        <f t="shared" si="31"/>
        <v>23.174999999999997</v>
      </c>
      <c r="AM49" s="440">
        <f t="shared" si="32"/>
        <v>10.930678430257123</v>
      </c>
      <c r="AN49" s="441">
        <f t="shared" si="33"/>
        <v>10.840663135525087</v>
      </c>
      <c r="AO49" s="442" t="e">
        <f t="shared" ca="1" si="34"/>
        <v>#NUM!</v>
      </c>
      <c r="AP49" s="440" t="e">
        <f t="shared" ca="1" si="35"/>
        <v>#NUM!</v>
      </c>
      <c r="AQ49" s="440" t="e">
        <f t="shared" ca="1" si="36"/>
        <v>#NUM!</v>
      </c>
      <c r="AR49" s="452" t="e">
        <f t="shared" ca="1" si="37"/>
        <v>#NUM!</v>
      </c>
      <c r="AS49" s="442" t="e">
        <f t="shared" ca="1" si="38"/>
        <v>#NUM!</v>
      </c>
      <c r="AT49" s="383" t="e">
        <f t="shared" ca="1" si="39"/>
        <v>#NUM!</v>
      </c>
      <c r="AU49" s="444" t="e">
        <f t="shared" ca="1" si="40"/>
        <v>#NUM!</v>
      </c>
      <c r="AV49" s="445">
        <f t="shared" si="48"/>
        <v>341.0772181637559</v>
      </c>
      <c r="AW49" s="446">
        <f t="shared" si="41"/>
        <v>3.5190233065322376E-3</v>
      </c>
      <c r="AX49" s="447" t="e">
        <f t="shared" ca="1" si="42"/>
        <v>#NUM!</v>
      </c>
      <c r="AY49" s="440">
        <f t="shared" si="43"/>
        <v>0.53486898067329969</v>
      </c>
      <c r="AZ49" s="446" t="e">
        <f t="shared" ca="1" si="44"/>
        <v>#NUM!</v>
      </c>
      <c r="BA49" s="448" t="e">
        <f t="shared" ca="1" si="16"/>
        <v>#NUM!</v>
      </c>
      <c r="BB49" s="449" t="e">
        <f t="shared" ca="1" si="45"/>
        <v>#NUM!</v>
      </c>
      <c r="BC49" s="449" t="e">
        <f t="shared" ca="1" si="46"/>
        <v>#NUM!</v>
      </c>
      <c r="BD49" s="455"/>
      <c r="BE49" s="195"/>
      <c r="BF49" s="454"/>
      <c r="BG49" s="260"/>
      <c r="BH49" s="142">
        <f t="shared" si="2"/>
        <v>44</v>
      </c>
      <c r="BI49" s="142">
        <f t="shared" si="0"/>
        <v>0.76794487087750496</v>
      </c>
      <c r="BJ49" s="142">
        <f t="shared" si="1"/>
        <v>50.780658893228519</v>
      </c>
      <c r="BK49" s="19"/>
      <c r="BL49" s="19"/>
      <c r="BM49" s="142">
        <f t="shared" ca="1" si="6"/>
        <v>44049.819476727847</v>
      </c>
      <c r="BN49" s="142">
        <f t="shared" ca="1" si="3"/>
        <v>440.49819476727845</v>
      </c>
      <c r="BO49" s="142">
        <f t="shared" ca="1" si="4"/>
        <v>4.4049819476727851E-22</v>
      </c>
      <c r="BP49" s="367">
        <f t="shared" ca="1" si="5"/>
        <v>12.232388534351406</v>
      </c>
      <c r="BQ49" s="195"/>
      <c r="BR49" s="195"/>
      <c r="BS49" s="195"/>
      <c r="BT49" s="195"/>
      <c r="BU49" s="454"/>
      <c r="BV49" s="454"/>
      <c r="BW49" s="195"/>
      <c r="BX49" s="454"/>
      <c r="BY49" s="260"/>
      <c r="BZ49" s="195"/>
      <c r="CA49" s="19"/>
    </row>
    <row r="50" spans="1:79" x14ac:dyDescent="0.2">
      <c r="A50" s="427"/>
      <c r="B50" s="52" t="s">
        <v>28</v>
      </c>
      <c r="C50" s="294" t="e">
        <f>((SUM(Y25:Y72))/(4*PI()))*100</f>
        <v>#NUM!</v>
      </c>
      <c r="D50" s="19" t="s">
        <v>520</v>
      </c>
      <c r="E50" s="19"/>
      <c r="F50" s="52" t="s">
        <v>28</v>
      </c>
      <c r="G50" s="294" t="e">
        <f>((SUM(AW25:AW72))/(4*PI()))*100</f>
        <v>#NUM!</v>
      </c>
      <c r="H50" s="19" t="s">
        <v>520</v>
      </c>
      <c r="I50" s="48"/>
      <c r="J50" s="48"/>
      <c r="K50" s="21">
        <f t="shared" si="17"/>
        <v>25</v>
      </c>
      <c r="L50" s="324">
        <f t="shared" si="7"/>
        <v>23.274999999999999</v>
      </c>
      <c r="M50" s="440">
        <f t="shared" si="8"/>
        <v>42.953533163226737</v>
      </c>
      <c r="N50" s="440">
        <f t="shared" si="9"/>
        <v>23.666</v>
      </c>
      <c r="O50" s="440">
        <f t="shared" si="10"/>
        <v>43.429839412263242</v>
      </c>
      <c r="P50" s="441">
        <f t="shared" si="47"/>
        <v>43.192615603187477</v>
      </c>
      <c r="Q50" s="442" t="e">
        <f t="shared" ca="1" si="18"/>
        <v>#NUM!</v>
      </c>
      <c r="R50" s="440" t="e">
        <f t="shared" ca="1" si="19"/>
        <v>#NUM!</v>
      </c>
      <c r="S50" s="440" t="e">
        <f t="shared" ca="1" si="20"/>
        <v>#NUM!</v>
      </c>
      <c r="T50" s="441" t="e">
        <f t="shared" ca="1" si="21"/>
        <v>#NUM!</v>
      </c>
      <c r="U50" s="443" t="e">
        <f t="shared" ca="1" si="22"/>
        <v>#NUM!</v>
      </c>
      <c r="V50" s="383" t="e">
        <f t="shared" ca="1" si="23"/>
        <v>#NUM!</v>
      </c>
      <c r="W50" s="444" t="e">
        <f t="shared" ca="1" si="24"/>
        <v>#NUM!</v>
      </c>
      <c r="X50" s="445">
        <f t="shared" si="25"/>
        <v>340.71028444479589</v>
      </c>
      <c r="Y50" s="446">
        <f t="shared" si="11"/>
        <v>3.3834614290191474E-2</v>
      </c>
      <c r="Z50" s="447" t="e">
        <f t="shared" ca="1" si="26"/>
        <v>#NUM!</v>
      </c>
      <c r="AA50" s="440">
        <f t="shared" si="12"/>
        <v>0.54570974553739604</v>
      </c>
      <c r="AB50" s="446" t="e">
        <f t="shared" ca="1" si="13"/>
        <v>#NUM!</v>
      </c>
      <c r="AC50" s="448" t="e">
        <f t="shared" ca="1" si="14"/>
        <v>#NUM!</v>
      </c>
      <c r="AD50" s="449" t="e">
        <f t="shared" ca="1" si="27"/>
        <v>#NUM!</v>
      </c>
      <c r="AE50" s="449" t="e">
        <f t="shared" ca="1" si="28"/>
        <v>#NUM!</v>
      </c>
      <c r="AF50" s="450"/>
      <c r="AG50" s="451"/>
      <c r="AH50" s="48"/>
      <c r="AI50" s="21">
        <f t="shared" si="29"/>
        <v>25</v>
      </c>
      <c r="AJ50" s="324">
        <f t="shared" si="15"/>
        <v>23.274999999999999</v>
      </c>
      <c r="AK50" s="440">
        <f t="shared" si="30"/>
        <v>10.976700980866902</v>
      </c>
      <c r="AL50" s="440">
        <f t="shared" si="31"/>
        <v>23.666</v>
      </c>
      <c r="AM50" s="440">
        <f t="shared" si="32"/>
        <v>11.156511054385177</v>
      </c>
      <c r="AN50" s="441">
        <f t="shared" si="33"/>
        <v>11.066633609812211</v>
      </c>
      <c r="AO50" s="442" t="e">
        <f t="shared" ca="1" si="34"/>
        <v>#NUM!</v>
      </c>
      <c r="AP50" s="440" t="e">
        <f t="shared" ca="1" si="35"/>
        <v>#NUM!</v>
      </c>
      <c r="AQ50" s="440" t="e">
        <f t="shared" ca="1" si="36"/>
        <v>#NUM!</v>
      </c>
      <c r="AR50" s="452" t="e">
        <f t="shared" ca="1" si="37"/>
        <v>#NUM!</v>
      </c>
      <c r="AS50" s="442" t="e">
        <f t="shared" ca="1" si="38"/>
        <v>#NUM!</v>
      </c>
      <c r="AT50" s="383" t="e">
        <f t="shared" ca="1" si="39"/>
        <v>#NUM!</v>
      </c>
      <c r="AU50" s="444" t="e">
        <f t="shared" ca="1" si="40"/>
        <v>#NUM!</v>
      </c>
      <c r="AV50" s="445">
        <f t="shared" si="48"/>
        <v>340.71028444479589</v>
      </c>
      <c r="AW50" s="446">
        <f t="shared" si="41"/>
        <v>3.5821349257581614E-3</v>
      </c>
      <c r="AX50" s="447" t="e">
        <f t="shared" ca="1" si="42"/>
        <v>#NUM!</v>
      </c>
      <c r="AY50" s="440">
        <f t="shared" si="43"/>
        <v>0.54570974553739604</v>
      </c>
      <c r="AZ50" s="446" t="e">
        <f t="shared" ca="1" si="44"/>
        <v>#NUM!</v>
      </c>
      <c r="BA50" s="448" t="e">
        <f t="shared" ca="1" si="16"/>
        <v>#NUM!</v>
      </c>
      <c r="BB50" s="449" t="e">
        <f t="shared" ca="1" si="45"/>
        <v>#NUM!</v>
      </c>
      <c r="BC50" s="449" t="e">
        <f t="shared" ca="1" si="46"/>
        <v>#NUM!</v>
      </c>
      <c r="BD50" s="455"/>
      <c r="BE50" s="195"/>
      <c r="BF50" s="454"/>
      <c r="BG50" s="260"/>
      <c r="BH50" s="461">
        <f t="shared" si="2"/>
        <v>45</v>
      </c>
      <c r="BI50" s="461">
        <f t="shared" si="0"/>
        <v>0.78539816339744828</v>
      </c>
      <c r="BJ50" s="461">
        <f t="shared" si="1"/>
        <v>46.627416997969519</v>
      </c>
      <c r="BK50" s="462"/>
      <c r="BL50" s="462"/>
      <c r="BM50" s="461">
        <f t="shared" ca="1" si="6"/>
        <v>40447.078596306979</v>
      </c>
      <c r="BN50" s="461">
        <f t="shared" ca="1" si="3"/>
        <v>404.47078596306977</v>
      </c>
      <c r="BO50" s="461">
        <f t="shared" ca="1" si="4"/>
        <v>4.0447078596306983E-22</v>
      </c>
      <c r="BP50" s="367">
        <f t="shared" ca="1" si="5"/>
        <v>11.231927539019015</v>
      </c>
      <c r="BQ50" s="195"/>
      <c r="BR50" s="195"/>
      <c r="BS50" s="195"/>
      <c r="BT50" s="195"/>
      <c r="BU50" s="454"/>
      <c r="BV50" s="454"/>
      <c r="BW50" s="195"/>
      <c r="BX50" s="454"/>
      <c r="BY50" s="260"/>
      <c r="BZ50" s="195"/>
      <c r="CA50" s="19"/>
    </row>
    <row r="51" spans="1:79" x14ac:dyDescent="0.2">
      <c r="A51" s="427"/>
      <c r="B51" s="19"/>
      <c r="C51" s="19"/>
      <c r="D51" s="19"/>
      <c r="E51" s="19"/>
      <c r="F51" s="19"/>
      <c r="G51" s="19"/>
      <c r="H51" s="19"/>
      <c r="I51" s="48"/>
      <c r="J51" s="48"/>
      <c r="K51" s="21">
        <f t="shared" si="17"/>
        <v>26</v>
      </c>
      <c r="L51" s="324">
        <f t="shared" si="7"/>
        <v>23.765999999999998</v>
      </c>
      <c r="M51" s="440">
        <f t="shared" si="8"/>
        <v>43.550467397306221</v>
      </c>
      <c r="N51" s="440">
        <f t="shared" si="9"/>
        <v>24.157</v>
      </c>
      <c r="O51" s="440">
        <f t="shared" si="10"/>
        <v>44.017523281789707</v>
      </c>
      <c r="P51" s="441">
        <f t="shared" si="47"/>
        <v>43.784907602489689</v>
      </c>
      <c r="Q51" s="442" t="e">
        <f t="shared" ca="1" si="18"/>
        <v>#NUM!</v>
      </c>
      <c r="R51" s="440" t="e">
        <f t="shared" ca="1" si="19"/>
        <v>#NUM!</v>
      </c>
      <c r="S51" s="440" t="e">
        <f t="shared" ca="1" si="20"/>
        <v>#NUM!</v>
      </c>
      <c r="T51" s="441" t="e">
        <f t="shared" ca="1" si="21"/>
        <v>#NUM!</v>
      </c>
      <c r="U51" s="443" t="e">
        <f t="shared" ca="1" si="22"/>
        <v>#NUM!</v>
      </c>
      <c r="V51" s="383" t="e">
        <f t="shared" ca="1" si="23"/>
        <v>#NUM!</v>
      </c>
      <c r="W51" s="444" t="e">
        <f t="shared" ca="1" si="24"/>
        <v>#NUM!</v>
      </c>
      <c r="X51" s="445">
        <f t="shared" si="25"/>
        <v>340.35820093466936</v>
      </c>
      <c r="Y51" s="446">
        <f t="shared" si="11"/>
        <v>3.3506417896794295E-2</v>
      </c>
      <c r="Z51" s="447" t="e">
        <f t="shared" ca="1" si="26"/>
        <v>#NUM!</v>
      </c>
      <c r="AA51" s="440">
        <f t="shared" si="12"/>
        <v>0.55655020360881791</v>
      </c>
      <c r="AB51" s="446" t="e">
        <f t="shared" ca="1" si="13"/>
        <v>#NUM!</v>
      </c>
      <c r="AC51" s="448" t="e">
        <f t="shared" ca="1" si="14"/>
        <v>#NUM!</v>
      </c>
      <c r="AD51" s="449" t="e">
        <f t="shared" ca="1" si="27"/>
        <v>#NUM!</v>
      </c>
      <c r="AE51" s="449" t="e">
        <f t="shared" ca="1" si="28"/>
        <v>#NUM!</v>
      </c>
      <c r="AF51" s="450"/>
      <c r="AG51" s="451"/>
      <c r="AH51" s="48"/>
      <c r="AI51" s="21">
        <f t="shared" si="29"/>
        <v>26</v>
      </c>
      <c r="AJ51" s="324">
        <f t="shared" si="15"/>
        <v>23.765999999999998</v>
      </c>
      <c r="AK51" s="440">
        <f t="shared" si="30"/>
        <v>11.202462712260777</v>
      </c>
      <c r="AL51" s="440">
        <f t="shared" si="31"/>
        <v>24.157</v>
      </c>
      <c r="AM51" s="440">
        <f t="shared" si="32"/>
        <v>11.381993130558261</v>
      </c>
      <c r="AN51" s="441">
        <f t="shared" si="33"/>
        <v>11.292256003266262</v>
      </c>
      <c r="AO51" s="442" t="e">
        <f t="shared" ca="1" si="34"/>
        <v>#NUM!</v>
      </c>
      <c r="AP51" s="440" t="e">
        <f t="shared" ca="1" si="35"/>
        <v>#NUM!</v>
      </c>
      <c r="AQ51" s="440" t="e">
        <f t="shared" ca="1" si="36"/>
        <v>#NUM!</v>
      </c>
      <c r="AR51" s="452" t="e">
        <f t="shared" ca="1" si="37"/>
        <v>#NUM!</v>
      </c>
      <c r="AS51" s="442" t="e">
        <f t="shared" ca="1" si="38"/>
        <v>#NUM!</v>
      </c>
      <c r="AT51" s="383" t="e">
        <f t="shared" ca="1" si="39"/>
        <v>#NUM!</v>
      </c>
      <c r="AU51" s="444" t="e">
        <f t="shared" ca="1" si="40"/>
        <v>#NUM!</v>
      </c>
      <c r="AV51" s="445">
        <f t="shared" si="48"/>
        <v>340.35820093466936</v>
      </c>
      <c r="AW51" s="446">
        <f t="shared" si="41"/>
        <v>3.644774090473933E-3</v>
      </c>
      <c r="AX51" s="447" t="e">
        <f t="shared" ca="1" si="42"/>
        <v>#NUM!</v>
      </c>
      <c r="AY51" s="440">
        <f t="shared" si="43"/>
        <v>0.55655020360881791</v>
      </c>
      <c r="AZ51" s="446" t="e">
        <f t="shared" ca="1" si="44"/>
        <v>#NUM!</v>
      </c>
      <c r="BA51" s="448" t="e">
        <f t="shared" ca="1" si="16"/>
        <v>#NUM!</v>
      </c>
      <c r="BB51" s="449" t="e">
        <f t="shared" ca="1" si="45"/>
        <v>#NUM!</v>
      </c>
      <c r="BC51" s="449" t="e">
        <f t="shared" ca="1" si="46"/>
        <v>#NUM!</v>
      </c>
      <c r="BD51" s="455"/>
      <c r="BE51" s="195"/>
      <c r="BF51" s="454"/>
      <c r="BG51" s="260"/>
      <c r="BH51" s="142">
        <f t="shared" si="2"/>
        <v>46</v>
      </c>
      <c r="BI51" s="142">
        <f t="shared" si="0"/>
        <v>0.8028514559173916</v>
      </c>
      <c r="BJ51" s="142">
        <f t="shared" si="1"/>
        <v>42.903028842831283</v>
      </c>
      <c r="BK51" s="19"/>
      <c r="BL51" s="19"/>
      <c r="BM51" s="142">
        <f t="shared" ca="1" si="6"/>
        <v>37216.348049071414</v>
      </c>
      <c r="BN51" s="142">
        <f t="shared" ca="1" si="3"/>
        <v>372.16348049071416</v>
      </c>
      <c r="BO51" s="142">
        <f t="shared" ca="1" si="4"/>
        <v>3.7216348049071421E-22</v>
      </c>
      <c r="BP51" s="367">
        <f t="shared" ca="1" si="5"/>
        <v>10.334771732864988</v>
      </c>
      <c r="BQ51" s="195"/>
      <c r="BR51" s="195"/>
      <c r="BS51" s="195"/>
      <c r="BT51" s="195"/>
      <c r="BU51" s="454"/>
      <c r="BV51" s="454"/>
      <c r="BW51" s="195"/>
      <c r="BX51" s="454"/>
      <c r="BY51" s="260"/>
      <c r="BZ51" s="195"/>
      <c r="CA51" s="19"/>
    </row>
    <row r="52" spans="1:79" x14ac:dyDescent="0.2">
      <c r="A52" s="427"/>
      <c r="B52" s="48"/>
      <c r="C52" s="48"/>
      <c r="D52" s="48"/>
      <c r="E52" s="48"/>
      <c r="F52" s="48"/>
      <c r="G52" s="48"/>
      <c r="H52" s="48"/>
      <c r="I52" s="48"/>
      <c r="J52" s="48"/>
      <c r="K52" s="21">
        <f t="shared" si="17"/>
        <v>27</v>
      </c>
      <c r="L52" s="324">
        <f t="shared" si="7"/>
        <v>24.256999999999998</v>
      </c>
      <c r="M52" s="440">
        <f t="shared" si="8"/>
        <v>44.135807379912862</v>
      </c>
      <c r="N52" s="440">
        <f t="shared" si="9"/>
        <v>24.648</v>
      </c>
      <c r="O52" s="440">
        <f t="shared" si="10"/>
        <v>44.593784715003743</v>
      </c>
      <c r="P52" s="441">
        <f t="shared" si="47"/>
        <v>44.365691164154796</v>
      </c>
      <c r="Q52" s="442" t="e">
        <f t="shared" ca="1" si="18"/>
        <v>#NUM!</v>
      </c>
      <c r="R52" s="440" t="e">
        <f t="shared" ca="1" si="19"/>
        <v>#NUM!</v>
      </c>
      <c r="S52" s="440" t="e">
        <f t="shared" ca="1" si="20"/>
        <v>#NUM!</v>
      </c>
      <c r="T52" s="441" t="e">
        <f t="shared" ca="1" si="21"/>
        <v>#NUM!</v>
      </c>
      <c r="U52" s="443" t="e">
        <f t="shared" ca="1" si="22"/>
        <v>#NUM!</v>
      </c>
      <c r="V52" s="383" t="e">
        <f t="shared" ca="1" si="23"/>
        <v>#NUM!</v>
      </c>
      <c r="W52" s="444" t="e">
        <f t="shared" ca="1" si="24"/>
        <v>#NUM!</v>
      </c>
      <c r="X52" s="445">
        <f t="shared" si="25"/>
        <v>340.02008073838181</v>
      </c>
      <c r="Y52" s="446">
        <f t="shared" si="11"/>
        <v>3.3167947183051744E-2</v>
      </c>
      <c r="Z52" s="447" t="e">
        <f t="shared" ca="1" si="26"/>
        <v>#NUM!</v>
      </c>
      <c r="AA52" s="440">
        <f t="shared" si="12"/>
        <v>0.56739036768694839</v>
      </c>
      <c r="AB52" s="446" t="e">
        <f t="shared" ca="1" si="13"/>
        <v>#NUM!</v>
      </c>
      <c r="AC52" s="448" t="e">
        <f t="shared" ca="1" si="14"/>
        <v>#NUM!</v>
      </c>
      <c r="AD52" s="449" t="e">
        <f t="shared" ca="1" si="27"/>
        <v>#NUM!</v>
      </c>
      <c r="AE52" s="449" t="e">
        <f t="shared" ca="1" si="28"/>
        <v>#NUM!</v>
      </c>
      <c r="AF52" s="450"/>
      <c r="AG52" s="451"/>
      <c r="AH52" s="48"/>
      <c r="AI52" s="21">
        <f t="shared" si="29"/>
        <v>27</v>
      </c>
      <c r="AJ52" s="324">
        <f t="shared" si="15"/>
        <v>24.256999999999998</v>
      </c>
      <c r="AK52" s="440">
        <f t="shared" si="30"/>
        <v>11.427872637584912</v>
      </c>
      <c r="AL52" s="440">
        <f t="shared" si="31"/>
        <v>24.648</v>
      </c>
      <c r="AM52" s="440">
        <f t="shared" si="32"/>
        <v>11.607118506530254</v>
      </c>
      <c r="AN52" s="441">
        <f t="shared" si="33"/>
        <v>11.517524138575787</v>
      </c>
      <c r="AO52" s="442" t="e">
        <f t="shared" ca="1" si="34"/>
        <v>#NUM!</v>
      </c>
      <c r="AP52" s="440" t="e">
        <f t="shared" ca="1" si="35"/>
        <v>#NUM!</v>
      </c>
      <c r="AQ52" s="440" t="e">
        <f t="shared" ca="1" si="36"/>
        <v>#NUM!</v>
      </c>
      <c r="AR52" s="452" t="e">
        <f t="shared" ca="1" si="37"/>
        <v>#NUM!</v>
      </c>
      <c r="AS52" s="442" t="e">
        <f t="shared" ca="1" si="38"/>
        <v>#NUM!</v>
      </c>
      <c r="AT52" s="383" t="e">
        <f t="shared" ca="1" si="39"/>
        <v>#NUM!</v>
      </c>
      <c r="AU52" s="444" t="e">
        <f t="shared" ca="1" si="40"/>
        <v>#NUM!</v>
      </c>
      <c r="AV52" s="445">
        <f t="shared" si="48"/>
        <v>340.02008073838181</v>
      </c>
      <c r="AW52" s="446">
        <f t="shared" si="41"/>
        <v>3.7069343890809166E-3</v>
      </c>
      <c r="AX52" s="447" t="e">
        <f t="shared" ca="1" si="42"/>
        <v>#NUM!</v>
      </c>
      <c r="AY52" s="440">
        <f t="shared" si="43"/>
        <v>0.56739036768694839</v>
      </c>
      <c r="AZ52" s="446" t="e">
        <f t="shared" ca="1" si="44"/>
        <v>#NUM!</v>
      </c>
      <c r="BA52" s="448" t="e">
        <f t="shared" ca="1" si="16"/>
        <v>#NUM!</v>
      </c>
      <c r="BB52" s="449" t="e">
        <f t="shared" ca="1" si="45"/>
        <v>#NUM!</v>
      </c>
      <c r="BC52" s="449" t="e">
        <f t="shared" ca="1" si="46"/>
        <v>#NUM!</v>
      </c>
      <c r="BD52" s="455"/>
      <c r="BE52" s="195"/>
      <c r="BF52" s="454"/>
      <c r="BG52" s="260"/>
      <c r="BH52" s="142">
        <f t="shared" si="2"/>
        <v>47</v>
      </c>
      <c r="BI52" s="142">
        <f t="shared" si="0"/>
        <v>0.82030474843733492</v>
      </c>
      <c r="BJ52" s="142">
        <f t="shared" si="1"/>
        <v>39.554989359892737</v>
      </c>
      <c r="BK52" s="19"/>
      <c r="BL52" s="19"/>
      <c r="BM52" s="142">
        <f t="shared" ca="1" si="6"/>
        <v>34312.082172283699</v>
      </c>
      <c r="BN52" s="142">
        <f t="shared" ca="1" si="3"/>
        <v>343.12082172283698</v>
      </c>
      <c r="BO52" s="142">
        <f t="shared" ca="1" si="4"/>
        <v>3.4312082172283701E-22</v>
      </c>
      <c r="BP52" s="367">
        <f t="shared" ca="1" si="5"/>
        <v>9.5282733400464856</v>
      </c>
      <c r="BQ52" s="195"/>
      <c r="BR52" s="195"/>
      <c r="BS52" s="195"/>
      <c r="BT52" s="195"/>
      <c r="BU52" s="454"/>
      <c r="BV52" s="454"/>
      <c r="BW52" s="195"/>
      <c r="BX52" s="454"/>
      <c r="BY52" s="260"/>
      <c r="BZ52" s="195"/>
      <c r="CA52" s="19"/>
    </row>
    <row r="53" spans="1:79" x14ac:dyDescent="0.2">
      <c r="A53" s="427"/>
      <c r="B53" s="48"/>
      <c r="C53" s="48"/>
      <c r="D53" s="48"/>
      <c r="E53" s="48"/>
      <c r="F53" s="48"/>
      <c r="G53" s="48"/>
      <c r="H53" s="48"/>
      <c r="I53" s="48"/>
      <c r="J53" s="48"/>
      <c r="K53" s="21">
        <f t="shared" si="17"/>
        <v>28</v>
      </c>
      <c r="L53" s="324">
        <f t="shared" si="7"/>
        <v>24.747999999999998</v>
      </c>
      <c r="M53" s="440">
        <f t="shared" si="8"/>
        <v>44.709768976772473</v>
      </c>
      <c r="N53" s="440">
        <f t="shared" si="9"/>
        <v>25.138999999999999</v>
      </c>
      <c r="O53" s="440">
        <f t="shared" si="10"/>
        <v>45.158840283001119</v>
      </c>
      <c r="P53" s="441">
        <f t="shared" si="47"/>
        <v>44.93518255305483</v>
      </c>
      <c r="Q53" s="442" t="e">
        <f t="shared" ca="1" si="18"/>
        <v>#NUM!</v>
      </c>
      <c r="R53" s="440" t="e">
        <f t="shared" ca="1" si="19"/>
        <v>#NUM!</v>
      </c>
      <c r="S53" s="440" t="e">
        <f t="shared" ca="1" si="20"/>
        <v>#NUM!</v>
      </c>
      <c r="T53" s="441" t="e">
        <f t="shared" ca="1" si="21"/>
        <v>#NUM!</v>
      </c>
      <c r="U53" s="443" t="e">
        <f t="shared" ca="1" si="22"/>
        <v>#NUM!</v>
      </c>
      <c r="V53" s="383" t="e">
        <f t="shared" ca="1" si="23"/>
        <v>#NUM!</v>
      </c>
      <c r="W53" s="444" t="e">
        <f t="shared" ca="1" si="24"/>
        <v>#NUM!</v>
      </c>
      <c r="X53" s="445">
        <f t="shared" si="25"/>
        <v>339.69510644514878</v>
      </c>
      <c r="Y53" s="446">
        <f t="shared" si="11"/>
        <v>3.282046191288588E-2</v>
      </c>
      <c r="Z53" s="447" t="e">
        <f t="shared" ca="1" si="26"/>
        <v>#NUM!</v>
      </c>
      <c r="AA53" s="440">
        <f t="shared" si="12"/>
        <v>0.57823024997868855</v>
      </c>
      <c r="AB53" s="446" t="e">
        <f t="shared" ca="1" si="13"/>
        <v>#NUM!</v>
      </c>
      <c r="AC53" s="448" t="e">
        <f t="shared" ca="1" si="14"/>
        <v>#NUM!</v>
      </c>
      <c r="AD53" s="449" t="e">
        <f t="shared" ca="1" si="27"/>
        <v>#NUM!</v>
      </c>
      <c r="AE53" s="449" t="e">
        <f t="shared" ca="1" si="28"/>
        <v>#NUM!</v>
      </c>
      <c r="AF53" s="450"/>
      <c r="AG53" s="451"/>
      <c r="AH53" s="48"/>
      <c r="AI53" s="21">
        <f t="shared" si="29"/>
        <v>28</v>
      </c>
      <c r="AJ53" s="324">
        <f t="shared" si="15"/>
        <v>24.747999999999998</v>
      </c>
      <c r="AK53" s="440">
        <f t="shared" si="30"/>
        <v>11.65292461746302</v>
      </c>
      <c r="AL53" s="440">
        <f t="shared" si="31"/>
        <v>25.138999999999999</v>
      </c>
      <c r="AM53" s="440">
        <f t="shared" si="32"/>
        <v>11.83188109355738</v>
      </c>
      <c r="AN53" s="441">
        <f t="shared" si="33"/>
        <v>11.74243190161917</v>
      </c>
      <c r="AO53" s="442" t="e">
        <f t="shared" ca="1" si="34"/>
        <v>#NUM!</v>
      </c>
      <c r="AP53" s="440" t="e">
        <f t="shared" ca="1" si="35"/>
        <v>#NUM!</v>
      </c>
      <c r="AQ53" s="440" t="e">
        <f t="shared" ca="1" si="36"/>
        <v>#NUM!</v>
      </c>
      <c r="AR53" s="452" t="e">
        <f t="shared" ca="1" si="37"/>
        <v>#NUM!</v>
      </c>
      <c r="AS53" s="442" t="e">
        <f t="shared" ca="1" si="38"/>
        <v>#NUM!</v>
      </c>
      <c r="AT53" s="383" t="e">
        <f t="shared" ca="1" si="39"/>
        <v>#NUM!</v>
      </c>
      <c r="AU53" s="444" t="e">
        <f t="shared" ca="1" si="40"/>
        <v>#NUM!</v>
      </c>
      <c r="AV53" s="445">
        <f t="shared" si="48"/>
        <v>339.69510644514878</v>
      </c>
      <c r="AW53" s="446">
        <f t="shared" si="41"/>
        <v>3.7686095739438734E-3</v>
      </c>
      <c r="AX53" s="447" t="e">
        <f t="shared" ca="1" si="42"/>
        <v>#NUM!</v>
      </c>
      <c r="AY53" s="440">
        <f t="shared" si="43"/>
        <v>0.57823024997868855</v>
      </c>
      <c r="AZ53" s="446" t="e">
        <f t="shared" ca="1" si="44"/>
        <v>#NUM!</v>
      </c>
      <c r="BA53" s="448" t="e">
        <f t="shared" ca="1" si="16"/>
        <v>#NUM!</v>
      </c>
      <c r="BB53" s="449" t="e">
        <f t="shared" ca="1" si="45"/>
        <v>#NUM!</v>
      </c>
      <c r="BC53" s="449" t="e">
        <f t="shared" ca="1" si="46"/>
        <v>#NUM!</v>
      </c>
      <c r="BD53" s="455"/>
      <c r="BE53" s="195"/>
      <c r="BF53" s="454"/>
      <c r="BG53" s="260"/>
      <c r="BH53" s="142">
        <f t="shared" si="2"/>
        <v>48</v>
      </c>
      <c r="BI53" s="142">
        <f t="shared" si="0"/>
        <v>0.83775804095727824</v>
      </c>
      <c r="BJ53" s="142">
        <f t="shared" si="1"/>
        <v>36.538170685476402</v>
      </c>
      <c r="BK53" s="19"/>
      <c r="BL53" s="19"/>
      <c r="BM53" s="142">
        <f t="shared" ca="1" si="6"/>
        <v>31695.134678918628</v>
      </c>
      <c r="BN53" s="142">
        <f t="shared" ca="1" si="3"/>
        <v>316.95134678918629</v>
      </c>
      <c r="BO53" s="142">
        <f t="shared" ca="1" si="4"/>
        <v>3.169513467891863E-22</v>
      </c>
      <c r="BP53" s="367">
        <f t="shared" ca="1" si="5"/>
        <v>8.8015616555695342</v>
      </c>
      <c r="BQ53" s="195"/>
      <c r="BR53" s="195"/>
      <c r="BS53" s="195"/>
      <c r="BT53" s="195"/>
      <c r="BU53" s="454"/>
      <c r="BV53" s="454"/>
      <c r="BW53" s="195"/>
      <c r="BX53" s="454"/>
      <c r="BY53" s="260"/>
      <c r="BZ53" s="195"/>
      <c r="CA53" s="19"/>
    </row>
    <row r="54" spans="1:79" x14ac:dyDescent="0.2">
      <c r="A54" s="427"/>
      <c r="B54" s="48"/>
      <c r="C54" s="48"/>
      <c r="D54" s="48"/>
      <c r="E54" s="48"/>
      <c r="F54" s="48"/>
      <c r="G54" s="48"/>
      <c r="H54" s="48"/>
      <c r="I54" s="48"/>
      <c r="J54" s="48"/>
      <c r="K54" s="21">
        <f t="shared" si="17"/>
        <v>29</v>
      </c>
      <c r="L54" s="324">
        <f t="shared" si="7"/>
        <v>25.238999999999997</v>
      </c>
      <c r="M54" s="440">
        <f t="shared" si="8"/>
        <v>45.272568880789578</v>
      </c>
      <c r="N54" s="440">
        <f t="shared" si="9"/>
        <v>25.63</v>
      </c>
      <c r="O54" s="440">
        <f t="shared" si="10"/>
        <v>45.712906938389771</v>
      </c>
      <c r="P54" s="441">
        <f t="shared" si="47"/>
        <v>45.493598634241657</v>
      </c>
      <c r="Q54" s="442" t="e">
        <f t="shared" ca="1" si="18"/>
        <v>#NUM!</v>
      </c>
      <c r="R54" s="440" t="e">
        <f t="shared" ca="1" si="19"/>
        <v>#NUM!</v>
      </c>
      <c r="S54" s="440" t="e">
        <f t="shared" ca="1" si="20"/>
        <v>#NUM!</v>
      </c>
      <c r="T54" s="441" t="e">
        <f t="shared" ca="1" si="21"/>
        <v>#NUM!</v>
      </c>
      <c r="U54" s="443" t="e">
        <f t="shared" ca="1" si="22"/>
        <v>#NUM!</v>
      </c>
      <c r="V54" s="383" t="e">
        <f t="shared" ca="1" si="23"/>
        <v>#NUM!</v>
      </c>
      <c r="W54" s="444" t="e">
        <f t="shared" ca="1" si="24"/>
        <v>#NUM!</v>
      </c>
      <c r="X54" s="445">
        <f t="shared" si="25"/>
        <v>339.3825234329056</v>
      </c>
      <c r="Y54" s="446">
        <f t="shared" si="11"/>
        <v>3.2465142756918038E-2</v>
      </c>
      <c r="Z54" s="447" t="e">
        <f t="shared" ca="1" si="26"/>
        <v>#NUM!</v>
      </c>
      <c r="AA54" s="440">
        <f t="shared" si="12"/>
        <v>0.58906986211798473</v>
      </c>
      <c r="AB54" s="446" t="e">
        <f t="shared" ca="1" si="13"/>
        <v>#NUM!</v>
      </c>
      <c r="AC54" s="448" t="e">
        <f t="shared" ca="1" si="14"/>
        <v>#NUM!</v>
      </c>
      <c r="AD54" s="449" t="e">
        <f t="shared" ca="1" si="27"/>
        <v>#NUM!</v>
      </c>
      <c r="AE54" s="449" t="e">
        <f t="shared" ca="1" si="28"/>
        <v>#NUM!</v>
      </c>
      <c r="AF54" s="450"/>
      <c r="AG54" s="451"/>
      <c r="AH54" s="48"/>
      <c r="AI54" s="21">
        <f t="shared" si="29"/>
        <v>29</v>
      </c>
      <c r="AJ54" s="324">
        <f t="shared" si="15"/>
        <v>25.238999999999997</v>
      </c>
      <c r="AK54" s="440">
        <f t="shared" si="30"/>
        <v>11.877612576179379</v>
      </c>
      <c r="AL54" s="440">
        <f t="shared" si="31"/>
        <v>25.63</v>
      </c>
      <c r="AM54" s="440">
        <f t="shared" si="32"/>
        <v>12.056274867164445</v>
      </c>
      <c r="AN54" s="441">
        <f t="shared" si="33"/>
        <v>11.966973242241496</v>
      </c>
      <c r="AO54" s="442" t="e">
        <f t="shared" ca="1" si="34"/>
        <v>#NUM!</v>
      </c>
      <c r="AP54" s="440" t="e">
        <f t="shared" ca="1" si="35"/>
        <v>#NUM!</v>
      </c>
      <c r="AQ54" s="440" t="e">
        <f t="shared" ca="1" si="36"/>
        <v>#NUM!</v>
      </c>
      <c r="AR54" s="452" t="e">
        <f t="shared" ca="1" si="37"/>
        <v>#NUM!</v>
      </c>
      <c r="AS54" s="442" t="e">
        <f t="shared" ca="1" si="38"/>
        <v>#NUM!</v>
      </c>
      <c r="AT54" s="383" t="e">
        <f t="shared" ca="1" si="39"/>
        <v>#NUM!</v>
      </c>
      <c r="AU54" s="444" t="e">
        <f t="shared" ca="1" si="40"/>
        <v>#NUM!</v>
      </c>
      <c r="AV54" s="445">
        <f t="shared" si="48"/>
        <v>339.3825234329056</v>
      </c>
      <c r="AW54" s="446">
        <f t="shared" si="41"/>
        <v>3.8297935626025186E-3</v>
      </c>
      <c r="AX54" s="447" t="e">
        <f t="shared" ca="1" si="42"/>
        <v>#NUM!</v>
      </c>
      <c r="AY54" s="440">
        <f t="shared" si="43"/>
        <v>0.58906986211798473</v>
      </c>
      <c r="AZ54" s="446" t="e">
        <f t="shared" ca="1" si="44"/>
        <v>#NUM!</v>
      </c>
      <c r="BA54" s="448" t="e">
        <f t="shared" ca="1" si="16"/>
        <v>#NUM!</v>
      </c>
      <c r="BB54" s="449" t="e">
        <f t="shared" ca="1" si="45"/>
        <v>#NUM!</v>
      </c>
      <c r="BC54" s="449" t="e">
        <f t="shared" ca="1" si="46"/>
        <v>#NUM!</v>
      </c>
      <c r="BD54" s="455"/>
      <c r="BE54" s="195"/>
      <c r="BF54" s="454"/>
      <c r="BG54" s="260"/>
      <c r="BH54" s="142">
        <f t="shared" si="2"/>
        <v>49</v>
      </c>
      <c r="BI54" s="142">
        <f t="shared" si="0"/>
        <v>0.85521133347722145</v>
      </c>
      <c r="BJ54" s="142">
        <f t="shared" si="1"/>
        <v>33.813658739891551</v>
      </c>
      <c r="BK54" s="19"/>
      <c r="BL54" s="19"/>
      <c r="BM54" s="142">
        <f t="shared" ca="1" si="6"/>
        <v>29331.749445624526</v>
      </c>
      <c r="BN54" s="142">
        <f t="shared" ca="1" si="3"/>
        <v>293.31749445624524</v>
      </c>
      <c r="BO54" s="142">
        <f t="shared" ca="1" si="4"/>
        <v>2.9331749445624526E-22</v>
      </c>
      <c r="BP54" s="367">
        <f t="shared" ca="1" si="5"/>
        <v>8.1452627927495485</v>
      </c>
      <c r="BQ54" s="195"/>
      <c r="BR54" s="195"/>
      <c r="BS54" s="195"/>
      <c r="BT54" s="195"/>
      <c r="BU54" s="454"/>
      <c r="BV54" s="454"/>
      <c r="BW54" s="195"/>
      <c r="BX54" s="454"/>
      <c r="BY54" s="260"/>
      <c r="BZ54" s="195"/>
      <c r="CA54" s="19"/>
    </row>
    <row r="55" spans="1:79" x14ac:dyDescent="0.2">
      <c r="B55" s="427" t="s">
        <v>293</v>
      </c>
      <c r="C55" s="463">
        <v>300000000</v>
      </c>
      <c r="D55" s="48" t="s">
        <v>10</v>
      </c>
      <c r="E55" s="48" t="s">
        <v>9</v>
      </c>
      <c r="F55" s="48"/>
      <c r="G55" s="48"/>
      <c r="H55" s="48"/>
      <c r="I55" s="48"/>
      <c r="J55" s="48"/>
      <c r="K55" s="21">
        <f t="shared" si="17"/>
        <v>30</v>
      </c>
      <c r="L55" s="324">
        <f t="shared" si="7"/>
        <v>25.73</v>
      </c>
      <c r="M55" s="440">
        <f t="shared" si="8"/>
        <v>45.824424057692134</v>
      </c>
      <c r="N55" s="440">
        <f t="shared" si="9"/>
        <v>26.121000000000002</v>
      </c>
      <c r="O55" s="440">
        <f t="shared" si="10"/>
        <v>46.256201501631828</v>
      </c>
      <c r="P55" s="441">
        <f t="shared" si="47"/>
        <v>46.041156339169611</v>
      </c>
      <c r="Q55" s="442" t="e">
        <f t="shared" ca="1" si="18"/>
        <v>#NUM!</v>
      </c>
      <c r="R55" s="440" t="e">
        <f t="shared" ca="1" si="19"/>
        <v>#NUM!</v>
      </c>
      <c r="S55" s="440" t="e">
        <f t="shared" ca="1" si="20"/>
        <v>#NUM!</v>
      </c>
      <c r="T55" s="441" t="e">
        <f t="shared" ca="1" si="21"/>
        <v>#NUM!</v>
      </c>
      <c r="U55" s="443" t="e">
        <f t="shared" ca="1" si="22"/>
        <v>#NUM!</v>
      </c>
      <c r="V55" s="383" t="e">
        <f t="shared" ca="1" si="23"/>
        <v>#NUM!</v>
      </c>
      <c r="W55" s="444" t="e">
        <f t="shared" ca="1" si="24"/>
        <v>#NUM!</v>
      </c>
      <c r="X55" s="445">
        <f t="shared" si="25"/>
        <v>339.08163393467356</v>
      </c>
      <c r="Y55" s="446">
        <f t="shared" si="11"/>
        <v>3.210309392634076E-2</v>
      </c>
      <c r="Z55" s="447" t="e">
        <f t="shared" ca="1" si="26"/>
        <v>#NUM!</v>
      </c>
      <c r="AA55" s="440">
        <f t="shared" si="12"/>
        <v>0.59990921518737672</v>
      </c>
      <c r="AB55" s="446" t="e">
        <f t="shared" ca="1" si="13"/>
        <v>#NUM!</v>
      </c>
      <c r="AC55" s="448" t="e">
        <f t="shared" ca="1" si="14"/>
        <v>#NUM!</v>
      </c>
      <c r="AD55" s="449" t="e">
        <f t="shared" ca="1" si="27"/>
        <v>#NUM!</v>
      </c>
      <c r="AE55" s="449" t="e">
        <f t="shared" ca="1" si="28"/>
        <v>#NUM!</v>
      </c>
      <c r="AF55" s="450"/>
      <c r="AG55" s="451"/>
      <c r="AH55" s="48"/>
      <c r="AI55" s="21">
        <f t="shared" si="29"/>
        <v>30</v>
      </c>
      <c r="AJ55" s="324">
        <f t="shared" si="15"/>
        <v>25.73</v>
      </c>
      <c r="AK55" s="440">
        <f t="shared" si="30"/>
        <v>12.101930502439641</v>
      </c>
      <c r="AL55" s="440">
        <f t="shared" si="31"/>
        <v>26.121000000000002</v>
      </c>
      <c r="AM55" s="440">
        <f t="shared" si="32"/>
        <v>12.280293867884371</v>
      </c>
      <c r="AN55" s="441">
        <f t="shared" si="33"/>
        <v>12.191142175004702</v>
      </c>
      <c r="AO55" s="442" t="e">
        <f t="shared" ca="1" si="34"/>
        <v>#NUM!</v>
      </c>
      <c r="AP55" s="440" t="e">
        <f t="shared" ca="1" si="35"/>
        <v>#NUM!</v>
      </c>
      <c r="AQ55" s="440" t="e">
        <f t="shared" ca="1" si="36"/>
        <v>#NUM!</v>
      </c>
      <c r="AR55" s="452" t="e">
        <f t="shared" ca="1" si="37"/>
        <v>#NUM!</v>
      </c>
      <c r="AS55" s="442" t="e">
        <f t="shared" ca="1" si="38"/>
        <v>#NUM!</v>
      </c>
      <c r="AT55" s="383" t="e">
        <f t="shared" ca="1" si="39"/>
        <v>#NUM!</v>
      </c>
      <c r="AU55" s="444" t="e">
        <f t="shared" ca="1" si="40"/>
        <v>#NUM!</v>
      </c>
      <c r="AV55" s="445">
        <f t="shared" si="48"/>
        <v>339.08163393467356</v>
      </c>
      <c r="AW55" s="446">
        <f t="shared" si="41"/>
        <v>3.8904804388892765E-3</v>
      </c>
      <c r="AX55" s="447" t="e">
        <f t="shared" ca="1" si="42"/>
        <v>#NUM!</v>
      </c>
      <c r="AY55" s="440">
        <f t="shared" si="43"/>
        <v>0.59990921518737672</v>
      </c>
      <c r="AZ55" s="446" t="e">
        <f t="shared" ca="1" si="44"/>
        <v>#NUM!</v>
      </c>
      <c r="BA55" s="448" t="e">
        <f t="shared" ca="1" si="16"/>
        <v>#NUM!</v>
      </c>
      <c r="BB55" s="449" t="e">
        <f t="shared" ca="1" si="45"/>
        <v>#NUM!</v>
      </c>
      <c r="BC55" s="449" t="e">
        <f t="shared" ca="1" si="46"/>
        <v>#NUM!</v>
      </c>
      <c r="BD55" s="455"/>
      <c r="BE55" s="195"/>
      <c r="BF55" s="454"/>
      <c r="BG55" s="260"/>
      <c r="BH55" s="142">
        <f t="shared" si="2"/>
        <v>50</v>
      </c>
      <c r="BI55" s="142">
        <f t="shared" si="0"/>
        <v>0.87266462599716477</v>
      </c>
      <c r="BJ55" s="142">
        <f t="shared" si="1"/>
        <v>31.34779242791797</v>
      </c>
      <c r="BK55" s="19"/>
      <c r="BL55" s="19"/>
      <c r="BM55" s="142">
        <f t="shared" ca="1" si="6"/>
        <v>27192.727064592258</v>
      </c>
      <c r="BN55" s="142">
        <f t="shared" ca="1" si="3"/>
        <v>271.92727064592259</v>
      </c>
      <c r="BO55" s="142">
        <f t="shared" ca="1" si="4"/>
        <v>2.7192727064592263E-22</v>
      </c>
      <c r="BP55" s="367">
        <f t="shared" ca="1" si="5"/>
        <v>7.5512682393261521</v>
      </c>
      <c r="BQ55" s="195"/>
      <c r="BR55" s="195"/>
      <c r="BS55" s="195"/>
      <c r="BT55" s="195"/>
      <c r="BU55" s="454"/>
      <c r="BV55" s="454"/>
      <c r="BW55" s="195"/>
      <c r="BX55" s="454"/>
      <c r="BY55" s="260"/>
      <c r="BZ55" s="195"/>
      <c r="CA55" s="19"/>
    </row>
    <row r="56" spans="1:79" x14ac:dyDescent="0.2">
      <c r="A56" s="427"/>
      <c r="B56" s="48"/>
      <c r="C56" s="463">
        <v>100000000000</v>
      </c>
      <c r="D56" s="48"/>
      <c r="E56" s="48" t="s">
        <v>11</v>
      </c>
      <c r="F56" s="48"/>
      <c r="G56" s="48"/>
      <c r="H56" s="48"/>
      <c r="I56" s="48"/>
      <c r="J56" s="48"/>
      <c r="K56" s="21">
        <f t="shared" si="17"/>
        <v>31</v>
      </c>
      <c r="L56" s="324">
        <f t="shared" si="7"/>
        <v>26.221</v>
      </c>
      <c r="M56" s="440">
        <f t="shared" si="8"/>
        <v>46.365551242487115</v>
      </c>
      <c r="N56" s="440">
        <f t="shared" si="9"/>
        <v>26.612000000000002</v>
      </c>
      <c r="O56" s="440">
        <f t="shared" si="10"/>
        <v>46.788940195889516</v>
      </c>
      <c r="P56" s="441">
        <f t="shared" si="47"/>
        <v>46.578072181575948</v>
      </c>
      <c r="Q56" s="442" t="e">
        <f t="shared" ca="1" si="18"/>
        <v>#NUM!</v>
      </c>
      <c r="R56" s="440" t="e">
        <f t="shared" ca="1" si="19"/>
        <v>#NUM!</v>
      </c>
      <c r="S56" s="440" t="e">
        <f t="shared" ca="1" si="20"/>
        <v>#NUM!</v>
      </c>
      <c r="T56" s="441" t="e">
        <f t="shared" ca="1" si="21"/>
        <v>#NUM!</v>
      </c>
      <c r="U56" s="443" t="e">
        <f t="shared" ca="1" si="22"/>
        <v>#NUM!</v>
      </c>
      <c r="V56" s="383" t="e">
        <f t="shared" ca="1" si="23"/>
        <v>#NUM!</v>
      </c>
      <c r="W56" s="444" t="e">
        <f t="shared" ca="1" si="24"/>
        <v>#NUM!</v>
      </c>
      <c r="X56" s="445">
        <f t="shared" si="25"/>
        <v>338.79179176724995</v>
      </c>
      <c r="Y56" s="446">
        <f t="shared" si="11"/>
        <v>3.1735345990137213E-2</v>
      </c>
      <c r="Z56" s="447" t="e">
        <f t="shared" ca="1" si="26"/>
        <v>#NUM!</v>
      </c>
      <c r="AA56" s="440">
        <f t="shared" si="12"/>
        <v>0.61074831974034793</v>
      </c>
      <c r="AB56" s="446" t="e">
        <f t="shared" ca="1" si="13"/>
        <v>#NUM!</v>
      </c>
      <c r="AC56" s="448" t="e">
        <f t="shared" ca="1" si="14"/>
        <v>#NUM!</v>
      </c>
      <c r="AD56" s="449" t="e">
        <f t="shared" ca="1" si="27"/>
        <v>#NUM!</v>
      </c>
      <c r="AE56" s="449" t="e">
        <f t="shared" ca="1" si="28"/>
        <v>#NUM!</v>
      </c>
      <c r="AF56" s="450"/>
      <c r="AG56" s="451"/>
      <c r="AH56" s="48"/>
      <c r="AI56" s="21">
        <f t="shared" si="29"/>
        <v>31</v>
      </c>
      <c r="AJ56" s="324">
        <f t="shared" si="15"/>
        <v>26.221</v>
      </c>
      <c r="AK56" s="440">
        <f t="shared" si="30"/>
        <v>12.325872450104896</v>
      </c>
      <c r="AL56" s="440">
        <f t="shared" si="31"/>
        <v>26.612000000000002</v>
      </c>
      <c r="AM56" s="440">
        <f t="shared" si="32"/>
        <v>12.503932201970898</v>
      </c>
      <c r="AN56" s="441">
        <f t="shared" si="33"/>
        <v>12.414932779910991</v>
      </c>
      <c r="AO56" s="442" t="e">
        <f t="shared" ca="1" si="34"/>
        <v>#NUM!</v>
      </c>
      <c r="AP56" s="440" t="e">
        <f t="shared" ca="1" si="35"/>
        <v>#NUM!</v>
      </c>
      <c r="AQ56" s="440" t="e">
        <f t="shared" ca="1" si="36"/>
        <v>#NUM!</v>
      </c>
      <c r="AR56" s="452" t="e">
        <f t="shared" ca="1" si="37"/>
        <v>#NUM!</v>
      </c>
      <c r="AS56" s="442" t="e">
        <f t="shared" ca="1" si="38"/>
        <v>#NUM!</v>
      </c>
      <c r="AT56" s="383" t="e">
        <f t="shared" ca="1" si="39"/>
        <v>#NUM!</v>
      </c>
      <c r="AU56" s="444" t="e">
        <f t="shared" ca="1" si="40"/>
        <v>#NUM!</v>
      </c>
      <c r="AV56" s="445">
        <f t="shared" si="48"/>
        <v>338.79179176724995</v>
      </c>
      <c r="AW56" s="446">
        <f t="shared" si="41"/>
        <v>3.9506644539487575E-3</v>
      </c>
      <c r="AX56" s="447" t="e">
        <f t="shared" ca="1" si="42"/>
        <v>#NUM!</v>
      </c>
      <c r="AY56" s="440">
        <f t="shared" si="43"/>
        <v>0.61074831974034793</v>
      </c>
      <c r="AZ56" s="446" t="e">
        <f t="shared" ca="1" si="44"/>
        <v>#NUM!</v>
      </c>
      <c r="BA56" s="448" t="e">
        <f t="shared" ca="1" si="16"/>
        <v>#NUM!</v>
      </c>
      <c r="BB56" s="449" t="e">
        <f t="shared" ca="1" si="45"/>
        <v>#NUM!</v>
      </c>
      <c r="BC56" s="449" t="e">
        <f t="shared" ca="1" si="46"/>
        <v>#NUM!</v>
      </c>
      <c r="BD56" s="455"/>
      <c r="BE56" s="195"/>
      <c r="BF56" s="454"/>
      <c r="BG56" s="260"/>
      <c r="BH56" s="142">
        <f t="shared" si="2"/>
        <v>51</v>
      </c>
      <c r="BI56" s="142">
        <f t="shared" si="0"/>
        <v>0.89011791851710809</v>
      </c>
      <c r="BJ56" s="142">
        <f t="shared" si="1"/>
        <v>29.111366973536512</v>
      </c>
      <c r="BK56" s="19"/>
      <c r="BL56" s="19"/>
      <c r="BM56" s="142">
        <f t="shared" ca="1" si="6"/>
        <v>25252.733774119242</v>
      </c>
      <c r="BN56" s="142">
        <f t="shared" ca="1" si="3"/>
        <v>252.52733774119241</v>
      </c>
      <c r="BO56" s="142">
        <f t="shared" ca="1" si="4"/>
        <v>2.5252733774119242E-22</v>
      </c>
      <c r="BP56" s="367">
        <f t="shared" ca="1" si="5"/>
        <v>7.0125429513453899</v>
      </c>
      <c r="BQ56" s="195"/>
      <c r="BR56" s="195"/>
      <c r="BS56" s="195"/>
      <c r="BT56" s="195"/>
      <c r="BU56" s="454"/>
      <c r="BV56" s="454"/>
      <c r="BW56" s="195"/>
      <c r="BX56" s="454"/>
      <c r="BY56" s="260"/>
      <c r="BZ56" s="195"/>
      <c r="CA56" s="19"/>
    </row>
    <row r="57" spans="1:79" x14ac:dyDescent="0.2">
      <c r="A57" s="427"/>
      <c r="B57" s="48"/>
      <c r="C57" s="463">
        <v>1000000000000</v>
      </c>
      <c r="D57" s="48"/>
      <c r="E57" s="48" t="s">
        <v>12</v>
      </c>
      <c r="F57" s="48"/>
      <c r="G57" s="48"/>
      <c r="H57" s="48"/>
      <c r="I57" s="48"/>
      <c r="J57" s="48"/>
      <c r="K57" s="21">
        <f t="shared" si="17"/>
        <v>32</v>
      </c>
      <c r="L57" s="324">
        <f t="shared" si="7"/>
        <v>26.712</v>
      </c>
      <c r="M57" s="440">
        <f t="shared" si="8"/>
        <v>46.896166483830299</v>
      </c>
      <c r="N57" s="440">
        <f t="shared" si="9"/>
        <v>27.103000000000002</v>
      </c>
      <c r="O57" s="440">
        <f t="shared" si="10"/>
        <v>47.311338227485933</v>
      </c>
      <c r="P57" s="441">
        <f t="shared" si="47"/>
        <v>47.104561820123855</v>
      </c>
      <c r="Q57" s="442" t="e">
        <f t="shared" ca="1" si="18"/>
        <v>#NUM!</v>
      </c>
      <c r="R57" s="440" t="e">
        <f t="shared" ca="1" si="19"/>
        <v>#NUM!</v>
      </c>
      <c r="S57" s="440" t="e">
        <f t="shared" ca="1" si="20"/>
        <v>#NUM!</v>
      </c>
      <c r="T57" s="441" t="e">
        <f t="shared" ca="1" si="21"/>
        <v>#NUM!</v>
      </c>
      <c r="U57" s="443" t="e">
        <f t="shared" ca="1" si="22"/>
        <v>#NUM!</v>
      </c>
      <c r="V57" s="383" t="e">
        <f t="shared" ca="1" si="23"/>
        <v>#NUM!</v>
      </c>
      <c r="W57" s="444" t="e">
        <f t="shared" ca="1" si="24"/>
        <v>#NUM!</v>
      </c>
      <c r="X57" s="445">
        <f t="shared" si="25"/>
        <v>338.5123976373149</v>
      </c>
      <c r="Y57" s="446">
        <f t="shared" si="11"/>
        <v>3.1362858826031612E-2</v>
      </c>
      <c r="Z57" s="447" t="e">
        <f t="shared" ca="1" si="26"/>
        <v>#NUM!</v>
      </c>
      <c r="AA57" s="440">
        <f t="shared" si="12"/>
        <v>0.62158718582447348</v>
      </c>
      <c r="AB57" s="446" t="e">
        <f t="shared" ca="1" si="13"/>
        <v>#NUM!</v>
      </c>
      <c r="AC57" s="448" t="e">
        <f t="shared" ca="1" si="14"/>
        <v>#NUM!</v>
      </c>
      <c r="AD57" s="449" t="e">
        <f t="shared" ca="1" si="27"/>
        <v>#NUM!</v>
      </c>
      <c r="AE57" s="449" t="e">
        <f t="shared" ca="1" si="28"/>
        <v>#NUM!</v>
      </c>
      <c r="AF57" s="450"/>
      <c r="AG57" s="451"/>
      <c r="AH57" s="48"/>
      <c r="AI57" s="21">
        <f t="shared" si="29"/>
        <v>32</v>
      </c>
      <c r="AJ57" s="324">
        <f t="shared" si="15"/>
        <v>26.712</v>
      </c>
      <c r="AK57" s="440">
        <f t="shared" si="30"/>
        <v>12.549432538898918</v>
      </c>
      <c r="AL57" s="440">
        <f t="shared" si="31"/>
        <v>27.103000000000002</v>
      </c>
      <c r="AM57" s="440">
        <f t="shared" si="32"/>
        <v>12.727184042084403</v>
      </c>
      <c r="AN57" s="441">
        <f t="shared" si="33"/>
        <v>12.638339203099363</v>
      </c>
      <c r="AO57" s="442" t="e">
        <f t="shared" ca="1" si="34"/>
        <v>#NUM!</v>
      </c>
      <c r="AP57" s="440" t="e">
        <f t="shared" ca="1" si="35"/>
        <v>#NUM!</v>
      </c>
      <c r="AQ57" s="440" t="e">
        <f t="shared" ca="1" si="36"/>
        <v>#NUM!</v>
      </c>
      <c r="AR57" s="452" t="e">
        <f t="shared" ca="1" si="37"/>
        <v>#NUM!</v>
      </c>
      <c r="AS57" s="442" t="e">
        <f t="shared" ca="1" si="38"/>
        <v>#NUM!</v>
      </c>
      <c r="AT57" s="383" t="e">
        <f t="shared" ca="1" si="39"/>
        <v>#NUM!</v>
      </c>
      <c r="AU57" s="444" t="e">
        <f t="shared" ca="1" si="40"/>
        <v>#NUM!</v>
      </c>
      <c r="AV57" s="445">
        <f t="shared" si="48"/>
        <v>338.5123976373149</v>
      </c>
      <c r="AW57" s="446">
        <f t="shared" si="41"/>
        <v>4.0103400271432488E-3</v>
      </c>
      <c r="AX57" s="447" t="e">
        <f t="shared" ca="1" si="42"/>
        <v>#NUM!</v>
      </c>
      <c r="AY57" s="440">
        <f t="shared" si="43"/>
        <v>0.62158718582447348</v>
      </c>
      <c r="AZ57" s="446" t="e">
        <f t="shared" ca="1" si="44"/>
        <v>#NUM!</v>
      </c>
      <c r="BA57" s="448" t="e">
        <f t="shared" ca="1" si="16"/>
        <v>#NUM!</v>
      </c>
      <c r="BB57" s="449" t="e">
        <f t="shared" ca="1" si="45"/>
        <v>#NUM!</v>
      </c>
      <c r="BC57" s="449" t="e">
        <f t="shared" ca="1" si="46"/>
        <v>#NUM!</v>
      </c>
      <c r="BD57" s="455"/>
      <c r="BE57" s="195"/>
      <c r="BF57" s="454"/>
      <c r="BG57" s="260"/>
      <c r="BH57" s="142">
        <f t="shared" si="2"/>
        <v>52</v>
      </c>
      <c r="BI57" s="142">
        <f t="shared" si="0"/>
        <v>0.90757121103705141</v>
      </c>
      <c r="BJ57" s="142">
        <f t="shared" si="1"/>
        <v>27.078970796404374</v>
      </c>
      <c r="BK57" s="19"/>
      <c r="BL57" s="19"/>
      <c r="BM57" s="142">
        <f t="shared" ca="1" si="6"/>
        <v>23489.72623031991</v>
      </c>
      <c r="BN57" s="142">
        <f t="shared" ca="1" si="3"/>
        <v>234.89726230319908</v>
      </c>
      <c r="BO57" s="142">
        <f t="shared" ca="1" si="4"/>
        <v>2.3489726230319909E-22</v>
      </c>
      <c r="BP57" s="367">
        <f t="shared" ca="1" si="5"/>
        <v>6.5229656154804943</v>
      </c>
      <c r="BQ57" s="195"/>
      <c r="BR57" s="195"/>
      <c r="BS57" s="195"/>
      <c r="BT57" s="195"/>
      <c r="BU57" s="454"/>
      <c r="BV57" s="454"/>
      <c r="BW57" s="195"/>
      <c r="BX57" s="454"/>
      <c r="BY57" s="260"/>
      <c r="BZ57" s="195"/>
      <c r="CA57" s="19"/>
    </row>
    <row r="58" spans="1:79" x14ac:dyDescent="0.2">
      <c r="A58" s="427"/>
      <c r="B58" s="48"/>
      <c r="C58" s="463">
        <v>100000000000000</v>
      </c>
      <c r="D58" s="48"/>
      <c r="E58" s="19" t="s">
        <v>13</v>
      </c>
      <c r="F58" s="48"/>
      <c r="G58" s="48"/>
      <c r="H58" s="48"/>
      <c r="I58" s="48"/>
      <c r="J58" s="48"/>
      <c r="K58" s="21">
        <f t="shared" si="17"/>
        <v>33</v>
      </c>
      <c r="L58" s="324">
        <f t="shared" si="7"/>
        <v>27.202999999999999</v>
      </c>
      <c r="M58" s="440">
        <f t="shared" si="8"/>
        <v>47.416484733425662</v>
      </c>
      <c r="N58" s="440">
        <f t="shared" si="9"/>
        <v>27.594000000000001</v>
      </c>
      <c r="O58" s="440">
        <f t="shared" si="10"/>
        <v>47.823609409125964</v>
      </c>
      <c r="P58" s="441">
        <f t="shared" si="47"/>
        <v>47.620839664936476</v>
      </c>
      <c r="Q58" s="442" t="e">
        <f t="shared" ca="1" si="18"/>
        <v>#NUM!</v>
      </c>
      <c r="R58" s="440" t="e">
        <f t="shared" ca="1" si="19"/>
        <v>#NUM!</v>
      </c>
      <c r="S58" s="440" t="e">
        <f t="shared" ca="1" si="20"/>
        <v>#NUM!</v>
      </c>
      <c r="T58" s="441" t="e">
        <f t="shared" ca="1" si="21"/>
        <v>#NUM!</v>
      </c>
      <c r="U58" s="443" t="e">
        <f t="shared" ca="1" si="22"/>
        <v>#NUM!</v>
      </c>
      <c r="V58" s="383" t="e">
        <f t="shared" ca="1" si="23"/>
        <v>#NUM!</v>
      </c>
      <c r="W58" s="444" t="e">
        <f t="shared" ca="1" si="24"/>
        <v>#NUM!</v>
      </c>
      <c r="X58" s="445">
        <f t="shared" si="25"/>
        <v>338.24289495229579</v>
      </c>
      <c r="Y58" s="446">
        <f t="shared" si="11"/>
        <v>3.0986524661690766E-2</v>
      </c>
      <c r="Z58" s="447" t="e">
        <f t="shared" ca="1" si="26"/>
        <v>#NUM!</v>
      </c>
      <c r="AA58" s="440">
        <f t="shared" si="12"/>
        <v>0.63242582300441497</v>
      </c>
      <c r="AB58" s="446" t="e">
        <f t="shared" ca="1" si="13"/>
        <v>#NUM!</v>
      </c>
      <c r="AC58" s="448" t="e">
        <f t="shared" ca="1" si="14"/>
        <v>#NUM!</v>
      </c>
      <c r="AD58" s="449" t="e">
        <f t="shared" ca="1" si="27"/>
        <v>#NUM!</v>
      </c>
      <c r="AE58" s="449" t="e">
        <f t="shared" ca="1" si="28"/>
        <v>#NUM!</v>
      </c>
      <c r="AF58" s="450"/>
      <c r="AG58" s="451"/>
      <c r="AH58" s="48"/>
      <c r="AI58" s="21">
        <f t="shared" si="29"/>
        <v>33</v>
      </c>
      <c r="AJ58" s="324">
        <f t="shared" si="15"/>
        <v>27.202999999999999</v>
      </c>
      <c r="AK58" s="440">
        <f t="shared" si="30"/>
        <v>12.772604955088509</v>
      </c>
      <c r="AL58" s="440">
        <f t="shared" si="31"/>
        <v>27.594000000000001</v>
      </c>
      <c r="AM58" s="440">
        <f t="shared" si="32"/>
        <v>12.950043627950803</v>
      </c>
      <c r="AN58" s="441">
        <f t="shared" si="33"/>
        <v>12.861355657515233</v>
      </c>
      <c r="AO58" s="442" t="e">
        <f t="shared" ca="1" si="34"/>
        <v>#NUM!</v>
      </c>
      <c r="AP58" s="440" t="e">
        <f t="shared" ca="1" si="35"/>
        <v>#NUM!</v>
      </c>
      <c r="AQ58" s="440" t="e">
        <f t="shared" ca="1" si="36"/>
        <v>#NUM!</v>
      </c>
      <c r="AR58" s="452" t="e">
        <f t="shared" ca="1" si="37"/>
        <v>#NUM!</v>
      </c>
      <c r="AS58" s="442" t="e">
        <f t="shared" ca="1" si="38"/>
        <v>#NUM!</v>
      </c>
      <c r="AT58" s="383" t="e">
        <f t="shared" ca="1" si="39"/>
        <v>#NUM!</v>
      </c>
      <c r="AU58" s="444" t="e">
        <f t="shared" ca="1" si="40"/>
        <v>#NUM!</v>
      </c>
      <c r="AV58" s="445">
        <f t="shared" si="48"/>
        <v>338.24289495229579</v>
      </c>
      <c r="AW58" s="446">
        <f t="shared" si="41"/>
        <v>4.0695017468669083E-3</v>
      </c>
      <c r="AX58" s="447" t="e">
        <f t="shared" ca="1" si="42"/>
        <v>#NUM!</v>
      </c>
      <c r="AY58" s="440">
        <f t="shared" si="43"/>
        <v>0.63242582300441497</v>
      </c>
      <c r="AZ58" s="446" t="e">
        <f t="shared" ca="1" si="44"/>
        <v>#NUM!</v>
      </c>
      <c r="BA58" s="448" t="e">
        <f t="shared" ca="1" si="16"/>
        <v>#NUM!</v>
      </c>
      <c r="BB58" s="449" t="e">
        <f t="shared" ca="1" si="45"/>
        <v>#NUM!</v>
      </c>
      <c r="BC58" s="449" t="e">
        <f t="shared" ca="1" si="46"/>
        <v>#NUM!</v>
      </c>
      <c r="BD58" s="455"/>
      <c r="BE58" s="195"/>
      <c r="BF58" s="454"/>
      <c r="BG58" s="260"/>
      <c r="BH58" s="142">
        <f t="shared" si="2"/>
        <v>53</v>
      </c>
      <c r="BI58" s="142">
        <f t="shared" si="0"/>
        <v>0.92502450355699462</v>
      </c>
      <c r="BJ58" s="142">
        <f t="shared" si="1"/>
        <v>25.228431497224083</v>
      </c>
      <c r="BK58" s="19"/>
      <c r="BL58" s="19"/>
      <c r="BM58" s="142">
        <f t="shared" ca="1" si="6"/>
        <v>21884.470925640275</v>
      </c>
      <c r="BN58" s="142">
        <f t="shared" ca="1" si="3"/>
        <v>218.84470925640275</v>
      </c>
      <c r="BO58" s="142">
        <f t="shared" ca="1" si="4"/>
        <v>2.1884470925640277E-22</v>
      </c>
      <c r="BP58" s="367">
        <f t="shared" ca="1" si="5"/>
        <v>6.0771951942408808</v>
      </c>
      <c r="BQ58" s="195"/>
      <c r="BR58" s="195"/>
      <c r="BS58" s="195"/>
      <c r="BT58" s="195"/>
      <c r="BU58" s="454"/>
      <c r="BV58" s="454"/>
      <c r="BW58" s="195"/>
      <c r="BX58" s="454"/>
      <c r="BY58" s="260"/>
      <c r="BZ58" s="195"/>
      <c r="CA58" s="19"/>
    </row>
    <row r="59" spans="1:79" x14ac:dyDescent="0.2">
      <c r="A59" s="427"/>
      <c r="B59" s="48"/>
      <c r="C59" s="48"/>
      <c r="D59" s="48"/>
      <c r="E59" s="48"/>
      <c r="F59" s="48"/>
      <c r="G59" s="48"/>
      <c r="H59" s="48"/>
      <c r="I59" s="48"/>
      <c r="J59" s="48"/>
      <c r="K59" s="21">
        <f t="shared" si="17"/>
        <v>34</v>
      </c>
      <c r="L59" s="324">
        <f t="shared" si="7"/>
        <v>27.693999999999999</v>
      </c>
      <c r="M59" s="440">
        <f t="shared" si="8"/>
        <v>47.926719477609922</v>
      </c>
      <c r="N59" s="440">
        <f t="shared" si="9"/>
        <v>28.085000000000001</v>
      </c>
      <c r="O59" s="440">
        <f t="shared" si="10"/>
        <v>48.325965823079208</v>
      </c>
      <c r="P59" s="441">
        <f t="shared" si="47"/>
        <v>48.127118525199108</v>
      </c>
      <c r="Q59" s="442" t="e">
        <f t="shared" ca="1" si="18"/>
        <v>#NUM!</v>
      </c>
      <c r="R59" s="440" t="e">
        <f t="shared" ca="1" si="19"/>
        <v>#NUM!</v>
      </c>
      <c r="S59" s="440" t="e">
        <f t="shared" ca="1" si="20"/>
        <v>#NUM!</v>
      </c>
      <c r="T59" s="441" t="e">
        <f t="shared" ca="1" si="21"/>
        <v>#NUM!</v>
      </c>
      <c r="U59" s="443" t="e">
        <f t="shared" ca="1" si="22"/>
        <v>#NUM!</v>
      </c>
      <c r="V59" s="383" t="e">
        <f t="shared" ca="1" si="23"/>
        <v>#NUM!</v>
      </c>
      <c r="W59" s="444" t="e">
        <f t="shared" ca="1" si="24"/>
        <v>#NUM!</v>
      </c>
      <c r="X59" s="445">
        <f t="shared" si="25"/>
        <v>337.98276607361959</v>
      </c>
      <c r="Y59" s="446">
        <f t="shared" si="11"/>
        <v>3.0607171168363499E-2</v>
      </c>
      <c r="Z59" s="447" t="e">
        <f t="shared" ca="1" si="26"/>
        <v>#NUM!</v>
      </c>
      <c r="AA59" s="440">
        <f t="shared" si="12"/>
        <v>0.64326424038490138</v>
      </c>
      <c r="AB59" s="446" t="e">
        <f t="shared" ca="1" si="13"/>
        <v>#NUM!</v>
      </c>
      <c r="AC59" s="448" t="e">
        <f t="shared" ca="1" si="14"/>
        <v>#NUM!</v>
      </c>
      <c r="AD59" s="449" t="e">
        <f t="shared" ca="1" si="27"/>
        <v>#NUM!</v>
      </c>
      <c r="AE59" s="449" t="e">
        <f t="shared" ca="1" si="28"/>
        <v>#NUM!</v>
      </c>
      <c r="AF59" s="450"/>
      <c r="AG59" s="451"/>
      <c r="AH59" s="48"/>
      <c r="AI59" s="21">
        <f t="shared" si="29"/>
        <v>34</v>
      </c>
      <c r="AJ59" s="324">
        <f t="shared" si="15"/>
        <v>27.693999999999999</v>
      </c>
      <c r="AK59" s="440">
        <f t="shared" si="30"/>
        <v>12.995383952136878</v>
      </c>
      <c r="AL59" s="440">
        <f t="shared" si="31"/>
        <v>28.085000000000001</v>
      </c>
      <c r="AM59" s="440">
        <f t="shared" si="32"/>
        <v>13.172505266993436</v>
      </c>
      <c r="AN59" s="441">
        <f t="shared" si="33"/>
        <v>13.083976423553068</v>
      </c>
      <c r="AO59" s="442" t="e">
        <f t="shared" ca="1" si="34"/>
        <v>#NUM!</v>
      </c>
      <c r="AP59" s="440" t="e">
        <f t="shared" ca="1" si="35"/>
        <v>#NUM!</v>
      </c>
      <c r="AQ59" s="440" t="e">
        <f t="shared" ca="1" si="36"/>
        <v>#NUM!</v>
      </c>
      <c r="AR59" s="452" t="e">
        <f t="shared" ca="1" si="37"/>
        <v>#NUM!</v>
      </c>
      <c r="AS59" s="442" t="e">
        <f t="shared" ca="1" si="38"/>
        <v>#NUM!</v>
      </c>
      <c r="AT59" s="383" t="e">
        <f t="shared" ca="1" si="39"/>
        <v>#NUM!</v>
      </c>
      <c r="AU59" s="444" t="e">
        <f t="shared" ca="1" si="40"/>
        <v>#NUM!</v>
      </c>
      <c r="AV59" s="445">
        <f t="shared" si="48"/>
        <v>337.98276607361959</v>
      </c>
      <c r="AW59" s="446">
        <f t="shared" si="41"/>
        <v>4.1281443712408404E-3</v>
      </c>
      <c r="AX59" s="447" t="e">
        <f t="shared" ca="1" si="42"/>
        <v>#NUM!</v>
      </c>
      <c r="AY59" s="440">
        <f t="shared" si="43"/>
        <v>0.64326424038490138</v>
      </c>
      <c r="AZ59" s="446" t="e">
        <f t="shared" ca="1" si="44"/>
        <v>#NUM!</v>
      </c>
      <c r="BA59" s="448" t="e">
        <f t="shared" ca="1" si="16"/>
        <v>#NUM!</v>
      </c>
      <c r="BB59" s="449" t="e">
        <f t="shared" ca="1" si="45"/>
        <v>#NUM!</v>
      </c>
      <c r="BC59" s="449" t="e">
        <f t="shared" ca="1" si="46"/>
        <v>#NUM!</v>
      </c>
      <c r="BD59" s="455"/>
      <c r="BE59" s="195"/>
      <c r="BF59" s="454"/>
      <c r="BG59" s="260"/>
      <c r="BH59" s="142">
        <f t="shared" si="2"/>
        <v>54</v>
      </c>
      <c r="BI59" s="142">
        <f t="shared" si="0"/>
        <v>0.94247779607693793</v>
      </c>
      <c r="BJ59" s="142">
        <f t="shared" si="1"/>
        <v>23.540351349882535</v>
      </c>
      <c r="BK59" s="19"/>
      <c r="BL59" s="19"/>
      <c r="BM59" s="142">
        <f t="shared" ca="1" si="6"/>
        <v>20420.141250261466</v>
      </c>
      <c r="BN59" s="142">
        <f t="shared" ca="1" si="3"/>
        <v>204.20141250261466</v>
      </c>
      <c r="BO59" s="142">
        <f t="shared" ca="1" si="4"/>
        <v>2.0420141250261468E-22</v>
      </c>
      <c r="BP59" s="367">
        <f t="shared" ca="1" si="5"/>
        <v>5.6705590321772075</v>
      </c>
      <c r="BQ59" s="195"/>
      <c r="BR59" s="195"/>
      <c r="BS59" s="195"/>
      <c r="BT59" s="195"/>
      <c r="BU59" s="454"/>
      <c r="BV59" s="454"/>
      <c r="BW59" s="195"/>
      <c r="BX59" s="454"/>
      <c r="BY59" s="260"/>
      <c r="BZ59" s="195"/>
      <c r="CA59" s="19"/>
    </row>
    <row r="60" spans="1:79" x14ac:dyDescent="0.2">
      <c r="A60" s="427"/>
      <c r="B60" s="48" t="s">
        <v>1796</v>
      </c>
      <c r="C60" s="48"/>
      <c r="D60" s="48"/>
      <c r="E60" s="48"/>
      <c r="F60" s="48"/>
      <c r="G60" s="48"/>
      <c r="H60" s="48"/>
      <c r="I60" s="48"/>
      <c r="J60" s="48"/>
      <c r="K60" s="21">
        <f t="shared" si="17"/>
        <v>35</v>
      </c>
      <c r="L60" s="324">
        <f t="shared" si="7"/>
        <v>28.184999999999999</v>
      </c>
      <c r="M60" s="440">
        <f t="shared" si="8"/>
        <v>48.427082408337945</v>
      </c>
      <c r="N60" s="440">
        <f t="shared" si="9"/>
        <v>28.576000000000001</v>
      </c>
      <c r="O60" s="440">
        <f t="shared" si="10"/>
        <v>48.818617521602249</v>
      </c>
      <c r="P60" s="441">
        <f t="shared" si="47"/>
        <v>48.6236092950748</v>
      </c>
      <c r="Q60" s="442" t="e">
        <f t="shared" ca="1" si="18"/>
        <v>#NUM!</v>
      </c>
      <c r="R60" s="440" t="e">
        <f t="shared" ca="1" si="19"/>
        <v>#NUM!</v>
      </c>
      <c r="S60" s="440" t="e">
        <f t="shared" ca="1" si="20"/>
        <v>#NUM!</v>
      </c>
      <c r="T60" s="441" t="e">
        <f t="shared" ca="1" si="21"/>
        <v>#NUM!</v>
      </c>
      <c r="U60" s="443" t="e">
        <f t="shared" ca="1" si="22"/>
        <v>#NUM!</v>
      </c>
      <c r="V60" s="383" t="e">
        <f t="shared" ca="1" si="23"/>
        <v>#NUM!</v>
      </c>
      <c r="W60" s="444" t="e">
        <f t="shared" ca="1" si="24"/>
        <v>#NUM!</v>
      </c>
      <c r="X60" s="445">
        <f t="shared" si="25"/>
        <v>337.73152895865968</v>
      </c>
      <c r="Y60" s="446">
        <f t="shared" si="11"/>
        <v>3.0225564574418641E-2</v>
      </c>
      <c r="Z60" s="447" t="e">
        <f t="shared" ca="1" si="26"/>
        <v>#NUM!</v>
      </c>
      <c r="AA60" s="440">
        <f t="shared" si="12"/>
        <v>0.6541024466331421</v>
      </c>
      <c r="AB60" s="446" t="e">
        <f t="shared" ca="1" si="13"/>
        <v>#NUM!</v>
      </c>
      <c r="AC60" s="448" t="e">
        <f t="shared" ca="1" si="14"/>
        <v>#NUM!</v>
      </c>
      <c r="AD60" s="449" t="e">
        <f t="shared" ca="1" si="27"/>
        <v>#NUM!</v>
      </c>
      <c r="AE60" s="449" t="e">
        <f t="shared" ca="1" si="28"/>
        <v>#NUM!</v>
      </c>
      <c r="AF60" s="450"/>
      <c r="AG60" s="451"/>
      <c r="AH60" s="48"/>
      <c r="AI60" s="21">
        <f t="shared" si="29"/>
        <v>35</v>
      </c>
      <c r="AJ60" s="324">
        <f t="shared" si="15"/>
        <v>28.184999999999999</v>
      </c>
      <c r="AK60" s="440">
        <f t="shared" si="30"/>
        <v>13.217763851330046</v>
      </c>
      <c r="AL60" s="440">
        <f t="shared" si="31"/>
        <v>28.576000000000001</v>
      </c>
      <c r="AM60" s="440">
        <f t="shared" si="32"/>
        <v>13.394563334937962</v>
      </c>
      <c r="AN60" s="441">
        <f t="shared" si="33"/>
        <v>13.306195849672052</v>
      </c>
      <c r="AO60" s="442" t="e">
        <f t="shared" ca="1" si="34"/>
        <v>#NUM!</v>
      </c>
      <c r="AP60" s="440" t="e">
        <f t="shared" ca="1" si="35"/>
        <v>#NUM!</v>
      </c>
      <c r="AQ60" s="440" t="e">
        <f t="shared" ca="1" si="36"/>
        <v>#NUM!</v>
      </c>
      <c r="AR60" s="452" t="e">
        <f t="shared" ca="1" si="37"/>
        <v>#NUM!</v>
      </c>
      <c r="AS60" s="442" t="e">
        <f t="shared" ca="1" si="38"/>
        <v>#NUM!</v>
      </c>
      <c r="AT60" s="383" t="e">
        <f t="shared" ca="1" si="39"/>
        <v>#NUM!</v>
      </c>
      <c r="AU60" s="444" t="e">
        <f t="shared" ca="1" si="40"/>
        <v>#NUM!</v>
      </c>
      <c r="AV60" s="445">
        <f t="shared" si="48"/>
        <v>337.73152895865968</v>
      </c>
      <c r="AW60" s="446">
        <f t="shared" si="41"/>
        <v>4.186262828705857E-3</v>
      </c>
      <c r="AX60" s="447" t="e">
        <f t="shared" ca="1" si="42"/>
        <v>#NUM!</v>
      </c>
      <c r="AY60" s="440">
        <f t="shared" si="43"/>
        <v>0.6541024466331421</v>
      </c>
      <c r="AZ60" s="446" t="e">
        <f t="shared" ca="1" si="44"/>
        <v>#NUM!</v>
      </c>
      <c r="BA60" s="448" t="e">
        <f t="shared" ca="1" si="16"/>
        <v>#NUM!</v>
      </c>
      <c r="BB60" s="449" t="e">
        <f t="shared" ca="1" si="45"/>
        <v>#NUM!</v>
      </c>
      <c r="BC60" s="449" t="e">
        <f t="shared" ca="1" si="46"/>
        <v>#NUM!</v>
      </c>
      <c r="BD60" s="455"/>
      <c r="BE60" s="195"/>
      <c r="BF60" s="454"/>
      <c r="BG60" s="260"/>
      <c r="BH60" s="142">
        <f t="shared" si="2"/>
        <v>55</v>
      </c>
      <c r="BI60" s="142">
        <f t="shared" si="0"/>
        <v>0.95993108859688125</v>
      </c>
      <c r="BJ60" s="142">
        <f t="shared" si="1"/>
        <v>21.997716505196568</v>
      </c>
      <c r="BK60" s="19"/>
      <c r="BL60" s="19"/>
      <c r="BM60" s="142">
        <f t="shared" ca="1" si="6"/>
        <v>19081.978494835141</v>
      </c>
      <c r="BN60" s="142">
        <f t="shared" ca="1" si="3"/>
        <v>190.81978494835141</v>
      </c>
      <c r="BO60" s="142">
        <f t="shared" ca="1" si="4"/>
        <v>1.9081978494835144E-22</v>
      </c>
      <c r="BP60" s="367">
        <f t="shared" ca="1" si="5"/>
        <v>5.2989587182367384</v>
      </c>
      <c r="BQ60" s="195"/>
      <c r="BR60" s="195"/>
      <c r="BS60" s="195"/>
      <c r="BT60" s="195"/>
      <c r="BU60" s="454"/>
      <c r="BV60" s="454"/>
      <c r="BW60" s="195"/>
      <c r="BX60" s="454"/>
      <c r="BY60" s="260"/>
      <c r="BZ60" s="195"/>
      <c r="CA60" s="19"/>
    </row>
    <row r="61" spans="1:79" x14ac:dyDescent="0.2">
      <c r="A61" s="427"/>
      <c r="B61" s="48"/>
      <c r="C61" s="48"/>
      <c r="D61" s="48"/>
      <c r="E61" s="48"/>
      <c r="F61" s="48"/>
      <c r="G61" s="48"/>
      <c r="H61" s="48"/>
      <c r="I61" s="48"/>
      <c r="J61" s="48"/>
      <c r="K61" s="21">
        <f t="shared" si="17"/>
        <v>36</v>
      </c>
      <c r="L61" s="324">
        <f t="shared" si="7"/>
        <v>28.675999999999998</v>
      </c>
      <c r="M61" s="440">
        <f t="shared" si="8"/>
        <v>48.917783130863462</v>
      </c>
      <c r="N61" s="440">
        <f t="shared" si="9"/>
        <v>29.067</v>
      </c>
      <c r="O61" s="440">
        <f t="shared" si="10"/>
        <v>49.301772261966633</v>
      </c>
      <c r="P61" s="441">
        <f t="shared" si="47"/>
        <v>49.110520675262805</v>
      </c>
      <c r="Q61" s="442" t="e">
        <f t="shared" ca="1" si="18"/>
        <v>#NUM!</v>
      </c>
      <c r="R61" s="440" t="e">
        <f t="shared" ca="1" si="19"/>
        <v>#NUM!</v>
      </c>
      <c r="S61" s="440" t="e">
        <f t="shared" ca="1" si="20"/>
        <v>#NUM!</v>
      </c>
      <c r="T61" s="441" t="e">
        <f t="shared" ca="1" si="21"/>
        <v>#NUM!</v>
      </c>
      <c r="U61" s="443" t="e">
        <f t="shared" ca="1" si="22"/>
        <v>#NUM!</v>
      </c>
      <c r="V61" s="383" t="e">
        <f t="shared" ca="1" si="23"/>
        <v>#NUM!</v>
      </c>
      <c r="W61" s="444" t="e">
        <f t="shared" ca="1" si="24"/>
        <v>#NUM!</v>
      </c>
      <c r="X61" s="445" t="e">
        <f t="shared" ref="X61:X72" si="49">360-DEGREES(2*ACOS((29*2)/(L61+N61)))</f>
        <v>#NUM!</v>
      </c>
      <c r="Y61" s="446" t="e">
        <f t="shared" si="11"/>
        <v>#NUM!</v>
      </c>
      <c r="Z61" s="447" t="e">
        <f t="shared" ca="1" si="26"/>
        <v>#NUM!</v>
      </c>
      <c r="AA61" s="440" t="e">
        <f t="shared" si="12"/>
        <v>#NUM!</v>
      </c>
      <c r="AB61" s="446" t="e">
        <f t="shared" ca="1" si="13"/>
        <v>#NUM!</v>
      </c>
      <c r="AC61" s="448" t="e">
        <f t="shared" ca="1" si="14"/>
        <v>#NUM!</v>
      </c>
      <c r="AD61" s="449" t="e">
        <f t="shared" ca="1" si="27"/>
        <v>#NUM!</v>
      </c>
      <c r="AE61" s="449" t="e">
        <f t="shared" ca="1" si="28"/>
        <v>#NUM!</v>
      </c>
      <c r="AF61" s="450"/>
      <c r="AG61" s="451"/>
      <c r="AH61" s="48"/>
      <c r="AI61" s="21">
        <f t="shared" si="29"/>
        <v>36</v>
      </c>
      <c r="AJ61" s="324">
        <f t="shared" si="15"/>
        <v>28.675999999999998</v>
      </c>
      <c r="AK61" s="440">
        <f t="shared" si="30"/>
        <v>13.439739042376246</v>
      </c>
      <c r="AL61" s="440">
        <f t="shared" si="31"/>
        <v>29.067</v>
      </c>
      <c r="AM61" s="440">
        <f t="shared" si="32"/>
        <v>13.616212276390254</v>
      </c>
      <c r="AN61" s="441">
        <f t="shared" si="33"/>
        <v>13.52800835298472</v>
      </c>
      <c r="AO61" s="442" t="e">
        <f t="shared" ca="1" si="34"/>
        <v>#NUM!</v>
      </c>
      <c r="AP61" s="440" t="e">
        <f t="shared" ca="1" si="35"/>
        <v>#NUM!</v>
      </c>
      <c r="AQ61" s="440" t="e">
        <f t="shared" ca="1" si="36"/>
        <v>#NUM!</v>
      </c>
      <c r="AR61" s="452" t="e">
        <f t="shared" ca="1" si="37"/>
        <v>#NUM!</v>
      </c>
      <c r="AS61" s="442" t="e">
        <f t="shared" ca="1" si="38"/>
        <v>#NUM!</v>
      </c>
      <c r="AT61" s="383" t="e">
        <f t="shared" ca="1" si="39"/>
        <v>#NUM!</v>
      </c>
      <c r="AU61" s="444" t="e">
        <f t="shared" ca="1" si="40"/>
        <v>#NUM!</v>
      </c>
      <c r="AV61" s="464" t="e">
        <f>360-DEGREES(2*ACOS((29*2)/(AJ61+AL61)))</f>
        <v>#NUM!</v>
      </c>
      <c r="AW61" s="446" t="e">
        <f t="shared" si="41"/>
        <v>#NUM!</v>
      </c>
      <c r="AX61" s="447" t="e">
        <f t="shared" ca="1" si="42"/>
        <v>#NUM!</v>
      </c>
      <c r="AY61" s="440" t="e">
        <f t="shared" si="43"/>
        <v>#NUM!</v>
      </c>
      <c r="AZ61" s="446" t="e">
        <f t="shared" ca="1" si="44"/>
        <v>#NUM!</v>
      </c>
      <c r="BA61" s="448" t="e">
        <f t="shared" ca="1" si="16"/>
        <v>#NUM!</v>
      </c>
      <c r="BB61" s="449" t="e">
        <f t="shared" ca="1" si="45"/>
        <v>#NUM!</v>
      </c>
      <c r="BC61" s="449" t="e">
        <f t="shared" ca="1" si="46"/>
        <v>#NUM!</v>
      </c>
      <c r="BD61" s="455"/>
      <c r="BE61" s="195"/>
      <c r="BF61" s="454"/>
      <c r="BG61" s="260"/>
      <c r="BH61" s="142">
        <f t="shared" si="2"/>
        <v>56</v>
      </c>
      <c r="BI61" s="142">
        <f t="shared" si="0"/>
        <v>0.97738438111682457</v>
      </c>
      <c r="BJ61" s="142">
        <f t="shared" si="1"/>
        <v>20.58556712529246</v>
      </c>
      <c r="BK61" s="19"/>
      <c r="BL61" s="19"/>
      <c r="BM61" s="142">
        <f t="shared" ca="1" si="6"/>
        <v>17857.005707661559</v>
      </c>
      <c r="BN61" s="142">
        <f t="shared" ca="1" si="3"/>
        <v>178.5700570766156</v>
      </c>
      <c r="BO61" s="142">
        <f t="shared" ca="1" si="4"/>
        <v>1.7857005707661562E-22</v>
      </c>
      <c r="BP61" s="367">
        <f t="shared" ca="1" si="5"/>
        <v>4.9587906255018508</v>
      </c>
      <c r="BQ61" s="195"/>
      <c r="BR61" s="195"/>
      <c r="BS61" s="195"/>
      <c r="BT61" s="195"/>
      <c r="BU61" s="454"/>
      <c r="BV61" s="454"/>
      <c r="BW61" s="195"/>
      <c r="BX61" s="454"/>
      <c r="BY61" s="260"/>
      <c r="BZ61" s="195"/>
      <c r="CA61" s="19"/>
    </row>
    <row r="62" spans="1:79" x14ac:dyDescent="0.2">
      <c r="A62" s="427"/>
      <c r="B62" s="48"/>
      <c r="C62" s="48"/>
      <c r="D62" s="48"/>
      <c r="E62" s="48"/>
      <c r="F62" s="48"/>
      <c r="G62" s="48"/>
      <c r="H62" s="48"/>
      <c r="I62" s="48"/>
      <c r="J62" s="48"/>
      <c r="K62" s="21">
        <f t="shared" si="17"/>
        <v>37</v>
      </c>
      <c r="L62" s="324">
        <f t="shared" si="7"/>
        <v>29.166999999999998</v>
      </c>
      <c r="M62" s="440">
        <f t="shared" si="8"/>
        <v>49.399028905501147</v>
      </c>
      <c r="N62" s="440">
        <f t="shared" si="9"/>
        <v>29.558</v>
      </c>
      <c r="O62" s="440">
        <f t="shared" si="10"/>
        <v>49.775635273559686</v>
      </c>
      <c r="P62" s="441">
        <f t="shared" si="47"/>
        <v>49.588058927625717</v>
      </c>
      <c r="Q62" s="442" t="e">
        <f t="shared" ca="1" si="18"/>
        <v>#NUM!</v>
      </c>
      <c r="R62" s="440" t="e">
        <f t="shared" ca="1" si="19"/>
        <v>#NUM!</v>
      </c>
      <c r="S62" s="440" t="e">
        <f t="shared" ca="1" si="20"/>
        <v>#NUM!</v>
      </c>
      <c r="T62" s="441" t="e">
        <f t="shared" ca="1" si="21"/>
        <v>#NUM!</v>
      </c>
      <c r="U62" s="443" t="e">
        <f t="shared" ca="1" si="22"/>
        <v>#NUM!</v>
      </c>
      <c r="V62" s="383" t="e">
        <f t="shared" ca="1" si="23"/>
        <v>#NUM!</v>
      </c>
      <c r="W62" s="444" t="e">
        <f t="shared" ca="1" si="24"/>
        <v>#NUM!</v>
      </c>
      <c r="X62" s="445">
        <f t="shared" si="49"/>
        <v>341.97509700149595</v>
      </c>
      <c r="Y62" s="446">
        <f t="shared" si="11"/>
        <v>2.9870748813543908E-2</v>
      </c>
      <c r="Z62" s="447" t="e">
        <f t="shared" ca="1" si="26"/>
        <v>#NUM!</v>
      </c>
      <c r="AA62" s="440">
        <f t="shared" si="12"/>
        <v>0.6852383113689533</v>
      </c>
      <c r="AB62" s="446" t="e">
        <f t="shared" ca="1" si="13"/>
        <v>#NUM!</v>
      </c>
      <c r="AC62" s="448" t="e">
        <f t="shared" ca="1" si="14"/>
        <v>#NUM!</v>
      </c>
      <c r="AD62" s="449" t="e">
        <f t="shared" ca="1" si="27"/>
        <v>#NUM!</v>
      </c>
      <c r="AE62" s="449" t="e">
        <f t="shared" ca="1" si="28"/>
        <v>#NUM!</v>
      </c>
      <c r="AF62" s="450"/>
      <c r="AG62" s="451"/>
      <c r="AH62" s="48"/>
      <c r="AI62" s="21">
        <f t="shared" si="29"/>
        <v>37</v>
      </c>
      <c r="AJ62" s="324">
        <f t="shared" si="15"/>
        <v>29.166999999999998</v>
      </c>
      <c r="AK62" s="440">
        <f t="shared" si="30"/>
        <v>13.661303983978319</v>
      </c>
      <c r="AL62" s="440">
        <f t="shared" si="31"/>
        <v>29.558</v>
      </c>
      <c r="AM62" s="440">
        <f t="shared" si="32"/>
        <v>13.837446605387321</v>
      </c>
      <c r="AN62" s="441">
        <f t="shared" si="33"/>
        <v>13.749408419818609</v>
      </c>
      <c r="AO62" s="442" t="e">
        <f t="shared" ca="1" si="34"/>
        <v>#NUM!</v>
      </c>
      <c r="AP62" s="440" t="e">
        <f t="shared" ca="1" si="35"/>
        <v>#NUM!</v>
      </c>
      <c r="AQ62" s="440" t="e">
        <f t="shared" ca="1" si="36"/>
        <v>#NUM!</v>
      </c>
      <c r="AR62" s="452" t="e">
        <f t="shared" ca="1" si="37"/>
        <v>#NUM!</v>
      </c>
      <c r="AS62" s="442" t="e">
        <f t="shared" ca="1" si="38"/>
        <v>#NUM!</v>
      </c>
      <c r="AT62" s="383" t="e">
        <f t="shared" ca="1" si="39"/>
        <v>#NUM!</v>
      </c>
      <c r="AU62" s="444" t="e">
        <f t="shared" ca="1" si="40"/>
        <v>#NUM!</v>
      </c>
      <c r="AV62" s="445">
        <f t="shared" ref="AV62:AV72" si="50">360-DEGREES(2*ACOS((29*2)/(AJ62+AL62)))</f>
        <v>341.97509700149595</v>
      </c>
      <c r="AW62" s="446">
        <f t="shared" si="41"/>
        <v>4.3611151578533854E-3</v>
      </c>
      <c r="AX62" s="447" t="e">
        <f t="shared" ca="1" si="42"/>
        <v>#NUM!</v>
      </c>
      <c r="AY62" s="440">
        <f t="shared" si="43"/>
        <v>0.6852383113689533</v>
      </c>
      <c r="AZ62" s="446" t="e">
        <f t="shared" ca="1" si="44"/>
        <v>#NUM!</v>
      </c>
      <c r="BA62" s="448" t="e">
        <f t="shared" ca="1" si="16"/>
        <v>#NUM!</v>
      </c>
      <c r="BB62" s="449" t="e">
        <f t="shared" ca="1" si="45"/>
        <v>#NUM!</v>
      </c>
      <c r="BC62" s="449" t="e">
        <f t="shared" ca="1" si="46"/>
        <v>#NUM!</v>
      </c>
      <c r="BD62" s="455"/>
      <c r="BE62" s="195"/>
      <c r="BF62" s="454"/>
      <c r="BG62" s="260"/>
      <c r="BH62" s="142">
        <f t="shared" si="2"/>
        <v>57</v>
      </c>
      <c r="BI62" s="142">
        <f t="shared" si="0"/>
        <v>0.99483767363676789</v>
      </c>
      <c r="BJ62" s="142">
        <f t="shared" si="1"/>
        <v>19.290718064889074</v>
      </c>
      <c r="BK62" s="19"/>
      <c r="BL62" s="19"/>
      <c r="BM62" s="142">
        <f t="shared" ca="1" si="6"/>
        <v>16733.785398915512</v>
      </c>
      <c r="BN62" s="142">
        <f t="shared" ca="1" si="3"/>
        <v>167.33785398915512</v>
      </c>
      <c r="BO62" s="142">
        <f t="shared" ca="1" si="4"/>
        <v>1.6733785398915513E-22</v>
      </c>
      <c r="BP62" s="367">
        <f t="shared" ca="1" si="5"/>
        <v>4.6468786270085385</v>
      </c>
      <c r="BQ62" s="195"/>
      <c r="BR62" s="195"/>
      <c r="BS62" s="195"/>
      <c r="BT62" s="195"/>
      <c r="BU62" s="454"/>
      <c r="BV62" s="454"/>
      <c r="BW62" s="195"/>
      <c r="BX62" s="454"/>
      <c r="BY62" s="260"/>
      <c r="BZ62" s="195"/>
      <c r="CA62" s="19"/>
    </row>
    <row r="63" spans="1:79" x14ac:dyDescent="0.2">
      <c r="A63" s="427"/>
      <c r="B63" s="48"/>
      <c r="C63" s="48"/>
      <c r="D63" s="48"/>
      <c r="E63" s="48"/>
      <c r="F63" s="48"/>
      <c r="G63" s="48" t="s">
        <v>1797</v>
      </c>
      <c r="H63" s="48"/>
      <c r="I63" s="48"/>
      <c r="J63" s="48"/>
      <c r="K63" s="21">
        <f t="shared" si="17"/>
        <v>38</v>
      </c>
      <c r="L63" s="324">
        <f t="shared" si="7"/>
        <v>29.658000000000001</v>
      </c>
      <c r="M63" s="440">
        <f t="shared" si="8"/>
        <v>49.871024420958726</v>
      </c>
      <c r="N63" s="440">
        <f t="shared" si="9"/>
        <v>30.048999999999999</v>
      </c>
      <c r="O63" s="440">
        <f t="shared" si="10"/>
        <v>50.24040905463341</v>
      </c>
      <c r="P63" s="441">
        <f t="shared" si="47"/>
        <v>50.056427660416816</v>
      </c>
      <c r="Q63" s="442" t="e">
        <f t="shared" ca="1" si="18"/>
        <v>#NUM!</v>
      </c>
      <c r="R63" s="440" t="e">
        <f t="shared" ca="1" si="19"/>
        <v>#NUM!</v>
      </c>
      <c r="S63" s="440" t="e">
        <f t="shared" ca="1" si="20"/>
        <v>#NUM!</v>
      </c>
      <c r="T63" s="441" t="e">
        <f t="shared" ca="1" si="21"/>
        <v>#NUM!</v>
      </c>
      <c r="U63" s="443" t="e">
        <f t="shared" ca="1" si="22"/>
        <v>#NUM!</v>
      </c>
      <c r="V63" s="383" t="e">
        <f t="shared" ca="1" si="23"/>
        <v>#NUM!</v>
      </c>
      <c r="W63" s="444" t="e">
        <f t="shared" ca="1" si="24"/>
        <v>#NUM!</v>
      </c>
      <c r="X63" s="445">
        <f t="shared" si="49"/>
        <v>332.53295618894288</v>
      </c>
      <c r="Y63" s="446">
        <f t="shared" si="11"/>
        <v>2.8686363098679678E-2</v>
      </c>
      <c r="Z63" s="447" t="e">
        <f t="shared" ca="1" si="26"/>
        <v>#NUM!</v>
      </c>
      <c r="AA63" s="440">
        <f t="shared" si="12"/>
        <v>0.67746064763462865</v>
      </c>
      <c r="AB63" s="446" t="e">
        <f t="shared" ca="1" si="13"/>
        <v>#NUM!</v>
      </c>
      <c r="AC63" s="448" t="e">
        <f t="shared" ca="1" si="14"/>
        <v>#NUM!</v>
      </c>
      <c r="AD63" s="449" t="e">
        <f t="shared" ca="1" si="27"/>
        <v>#NUM!</v>
      </c>
      <c r="AE63" s="449" t="e">
        <f t="shared" ca="1" si="28"/>
        <v>#NUM!</v>
      </c>
      <c r="AF63" s="450"/>
      <c r="AG63" s="451"/>
      <c r="AH63" s="48"/>
      <c r="AI63" s="21">
        <f t="shared" si="29"/>
        <v>38</v>
      </c>
      <c r="AJ63" s="324">
        <f t="shared" si="15"/>
        <v>29.658000000000001</v>
      </c>
      <c r="AK63" s="440">
        <f t="shared" si="30"/>
        <v>13.882453204379127</v>
      </c>
      <c r="AL63" s="440">
        <f t="shared" si="31"/>
        <v>30.048999999999999</v>
      </c>
      <c r="AM63" s="440">
        <f t="shared" si="32"/>
        <v>14.058260905921246</v>
      </c>
      <c r="AN63" s="441">
        <f t="shared" si="33"/>
        <v>13.970390606250943</v>
      </c>
      <c r="AO63" s="442" t="e">
        <f t="shared" ca="1" si="34"/>
        <v>#NUM!</v>
      </c>
      <c r="AP63" s="440" t="e">
        <f t="shared" ca="1" si="35"/>
        <v>#NUM!</v>
      </c>
      <c r="AQ63" s="440" t="e">
        <f t="shared" ca="1" si="36"/>
        <v>#NUM!</v>
      </c>
      <c r="AR63" s="452" t="e">
        <f t="shared" ca="1" si="37"/>
        <v>#NUM!</v>
      </c>
      <c r="AS63" s="442" t="e">
        <f t="shared" ca="1" si="38"/>
        <v>#NUM!</v>
      </c>
      <c r="AT63" s="383" t="e">
        <f t="shared" ca="1" si="39"/>
        <v>#NUM!</v>
      </c>
      <c r="AU63" s="444" t="e">
        <f t="shared" ca="1" si="40"/>
        <v>#NUM!</v>
      </c>
      <c r="AV63" s="445">
        <f t="shared" si="50"/>
        <v>332.53295618894288</v>
      </c>
      <c r="AW63" s="446">
        <f t="shared" si="41"/>
        <v>4.2993238066269066E-3</v>
      </c>
      <c r="AX63" s="447" t="e">
        <f t="shared" ca="1" si="42"/>
        <v>#NUM!</v>
      </c>
      <c r="AY63" s="440">
        <f t="shared" si="43"/>
        <v>0.67746064763462865</v>
      </c>
      <c r="AZ63" s="446" t="e">
        <f t="shared" ca="1" si="44"/>
        <v>#NUM!</v>
      </c>
      <c r="BA63" s="448" t="e">
        <f t="shared" ca="1" si="16"/>
        <v>#NUM!</v>
      </c>
      <c r="BB63" s="449" t="e">
        <f t="shared" ca="1" si="45"/>
        <v>#NUM!</v>
      </c>
      <c r="BC63" s="449" t="e">
        <f t="shared" ca="1" si="46"/>
        <v>#NUM!</v>
      </c>
      <c r="BD63" s="455"/>
      <c r="BE63" s="195"/>
      <c r="BF63" s="454"/>
      <c r="BG63" s="260"/>
      <c r="BH63" s="142">
        <f t="shared" si="2"/>
        <v>58</v>
      </c>
      <c r="BI63" s="142">
        <f t="shared" si="0"/>
        <v>1.0122909661567112</v>
      </c>
      <c r="BJ63" s="142">
        <f t="shared" si="1"/>
        <v>18.101521630576006</v>
      </c>
      <c r="BK63" s="19"/>
      <c r="BL63" s="19"/>
      <c r="BM63" s="142">
        <f t="shared" ca="1" si="6"/>
        <v>15702.213745542491</v>
      </c>
      <c r="BN63" s="142">
        <f t="shared" ca="1" si="3"/>
        <v>157.02213745542491</v>
      </c>
      <c r="BO63" s="142">
        <f t="shared" ca="1" si="4"/>
        <v>1.5702213745542492E-22</v>
      </c>
      <c r="BP63" s="367">
        <f t="shared" ca="1" si="5"/>
        <v>4.3604169475969208</v>
      </c>
      <c r="BQ63" s="195"/>
      <c r="BR63" s="195"/>
      <c r="BS63" s="195"/>
      <c r="BT63" s="195"/>
      <c r="BU63" s="454"/>
      <c r="BV63" s="454"/>
      <c r="BW63" s="195"/>
      <c r="BX63" s="454"/>
      <c r="BY63" s="260"/>
      <c r="BZ63" s="195"/>
      <c r="CA63" s="19"/>
    </row>
    <row r="64" spans="1:79" x14ac:dyDescent="0.2">
      <c r="A64" s="427"/>
      <c r="B64" s="48"/>
      <c r="C64" s="48"/>
      <c r="D64" s="48"/>
      <c r="E64" s="48"/>
      <c r="F64" s="48"/>
      <c r="G64" s="48" t="s">
        <v>1798</v>
      </c>
      <c r="H64" s="48"/>
      <c r="I64" s="48"/>
      <c r="J64" s="48"/>
      <c r="K64" s="21">
        <f t="shared" si="17"/>
        <v>39</v>
      </c>
      <c r="L64" s="324">
        <f t="shared" si="7"/>
        <v>30.149000000000001</v>
      </c>
      <c r="M64" s="440">
        <f t="shared" si="8"/>
        <v>50.333971596837245</v>
      </c>
      <c r="N64" s="440">
        <f t="shared" si="9"/>
        <v>30.54</v>
      </c>
      <c r="O64" s="440">
        <f t="shared" si="10"/>
        <v>50.696293196391366</v>
      </c>
      <c r="P64" s="441">
        <f t="shared" si="47"/>
        <v>50.515827641751187</v>
      </c>
      <c r="Q64" s="442" t="e">
        <f t="shared" ca="1" si="18"/>
        <v>#NUM!</v>
      </c>
      <c r="R64" s="440" t="e">
        <f t="shared" ca="1" si="19"/>
        <v>#NUM!</v>
      </c>
      <c r="S64" s="440" t="e">
        <f t="shared" ca="1" si="20"/>
        <v>#NUM!</v>
      </c>
      <c r="T64" s="441" t="e">
        <f t="shared" ca="1" si="21"/>
        <v>#NUM!</v>
      </c>
      <c r="U64" s="443" t="e">
        <f t="shared" ca="1" si="22"/>
        <v>#NUM!</v>
      </c>
      <c r="V64" s="383" t="e">
        <f t="shared" ca="1" si="23"/>
        <v>#NUM!</v>
      </c>
      <c r="W64" s="444" t="e">
        <f t="shared" ca="1" si="24"/>
        <v>#NUM!</v>
      </c>
      <c r="X64" s="445">
        <f t="shared" si="49"/>
        <v>325.76070777336486</v>
      </c>
      <c r="Y64" s="446">
        <f t="shared" si="11"/>
        <v>2.7749011644556992E-2</v>
      </c>
      <c r="Z64" s="447" t="e">
        <f t="shared" ca="1" si="26"/>
        <v>#NUM!</v>
      </c>
      <c r="AA64" s="440">
        <f t="shared" si="12"/>
        <v>0.67457898984615006</v>
      </c>
      <c r="AB64" s="446" t="e">
        <f t="shared" ca="1" si="13"/>
        <v>#NUM!</v>
      </c>
      <c r="AC64" s="448" t="e">
        <f t="shared" ca="1" si="14"/>
        <v>#NUM!</v>
      </c>
      <c r="AD64" s="449" t="e">
        <f t="shared" ca="1" si="27"/>
        <v>#NUM!</v>
      </c>
      <c r="AE64" s="449" t="e">
        <f t="shared" ca="1" si="28"/>
        <v>#NUM!</v>
      </c>
      <c r="AF64" s="450"/>
      <c r="AG64" s="451"/>
      <c r="AH64" s="48"/>
      <c r="AI64" s="21">
        <f t="shared" si="29"/>
        <v>39</v>
      </c>
      <c r="AJ64" s="324">
        <f t="shared" si="15"/>
        <v>30.149000000000001</v>
      </c>
      <c r="AK64" s="440">
        <f t="shared" si="30"/>
        <v>14.103181301880021</v>
      </c>
      <c r="AL64" s="440">
        <f t="shared" si="31"/>
        <v>30.54</v>
      </c>
      <c r="AM64" s="440">
        <f t="shared" si="32"/>
        <v>14.278649832436241</v>
      </c>
      <c r="AN64" s="441">
        <f t="shared" si="33"/>
        <v>14.190949538616387</v>
      </c>
      <c r="AO64" s="442" t="e">
        <f t="shared" ca="1" si="34"/>
        <v>#NUM!</v>
      </c>
      <c r="AP64" s="440" t="e">
        <f t="shared" ca="1" si="35"/>
        <v>#NUM!</v>
      </c>
      <c r="AQ64" s="440" t="e">
        <f t="shared" ca="1" si="36"/>
        <v>#NUM!</v>
      </c>
      <c r="AR64" s="452" t="e">
        <f t="shared" ca="1" si="37"/>
        <v>#NUM!</v>
      </c>
      <c r="AS64" s="442" t="e">
        <f t="shared" ca="1" si="38"/>
        <v>#NUM!</v>
      </c>
      <c r="AT64" s="383" t="e">
        <f t="shared" ca="1" si="39"/>
        <v>#NUM!</v>
      </c>
      <c r="AU64" s="444" t="e">
        <f t="shared" ca="1" si="40"/>
        <v>#NUM!</v>
      </c>
      <c r="AV64" s="445">
        <f t="shared" si="50"/>
        <v>325.76070777336486</v>
      </c>
      <c r="AW64" s="446">
        <f t="shared" si="41"/>
        <v>4.2686535751137308E-3</v>
      </c>
      <c r="AX64" s="447" t="e">
        <f t="shared" ca="1" si="42"/>
        <v>#NUM!</v>
      </c>
      <c r="AY64" s="440">
        <f t="shared" si="43"/>
        <v>0.67457898984615006</v>
      </c>
      <c r="AZ64" s="446" t="e">
        <f t="shared" ca="1" si="44"/>
        <v>#NUM!</v>
      </c>
      <c r="BA64" s="448" t="e">
        <f t="shared" ca="1" si="16"/>
        <v>#NUM!</v>
      </c>
      <c r="BB64" s="449" t="e">
        <f t="shared" ca="1" si="45"/>
        <v>#NUM!</v>
      </c>
      <c r="BC64" s="449" t="e">
        <f t="shared" ca="1" si="46"/>
        <v>#NUM!</v>
      </c>
      <c r="BD64" s="455"/>
      <c r="BE64" s="195"/>
      <c r="BF64" s="454"/>
      <c r="BG64" s="260"/>
      <c r="BH64" s="142">
        <f t="shared" si="2"/>
        <v>59</v>
      </c>
      <c r="BI64" s="142">
        <f t="shared" si="0"/>
        <v>1.0297442586766545</v>
      </c>
      <c r="BJ64" s="142">
        <f t="shared" si="1"/>
        <v>17.007665485035918</v>
      </c>
      <c r="BK64" s="19"/>
      <c r="BL64" s="19"/>
      <c r="BM64" s="142">
        <f t="shared" ca="1" si="6"/>
        <v>14753.345282731438</v>
      </c>
      <c r="BN64" s="142">
        <f t="shared" ca="1" si="3"/>
        <v>147.53345282731436</v>
      </c>
      <c r="BO64" s="142">
        <f t="shared" ca="1" si="4"/>
        <v>1.4753345282731439E-22</v>
      </c>
      <c r="BP64" s="367">
        <f t="shared" ca="1" si="5"/>
        <v>4.0969214817135775</v>
      </c>
      <c r="BQ64" s="195"/>
      <c r="BR64" s="195"/>
      <c r="BS64" s="195"/>
      <c r="BT64" s="195"/>
      <c r="BU64" s="454"/>
      <c r="BV64" s="454"/>
      <c r="BW64" s="195"/>
      <c r="BX64" s="454"/>
      <c r="BY64" s="260"/>
      <c r="BZ64" s="195"/>
      <c r="CA64" s="19"/>
    </row>
    <row r="65" spans="1:79" x14ac:dyDescent="0.2">
      <c r="A65" s="427"/>
      <c r="B65" s="48"/>
      <c r="C65" s="48"/>
      <c r="D65" s="48"/>
      <c r="E65" s="48"/>
      <c r="F65" s="48"/>
      <c r="G65" s="48"/>
      <c r="H65" s="48"/>
      <c r="I65" s="48"/>
      <c r="J65" s="48"/>
      <c r="K65" s="21">
        <f t="shared" si="17"/>
        <v>40</v>
      </c>
      <c r="L65" s="324">
        <f t="shared" si="7"/>
        <v>30.64</v>
      </c>
      <c r="M65" s="440">
        <f t="shared" si="8"/>
        <v>50.788069413013055</v>
      </c>
      <c r="N65" s="440">
        <f t="shared" si="9"/>
        <v>31.030999999999999</v>
      </c>
      <c r="O65" s="440">
        <f t="shared" si="10"/>
        <v>51.143484232220267</v>
      </c>
      <c r="P65" s="441">
        <f t="shared" si="47"/>
        <v>50.966456639080675</v>
      </c>
      <c r="Q65" s="442" t="e">
        <f t="shared" ca="1" si="18"/>
        <v>#NUM!</v>
      </c>
      <c r="R65" s="440" t="e">
        <f t="shared" ca="1" si="19"/>
        <v>#NUM!</v>
      </c>
      <c r="S65" s="440" t="e">
        <f t="shared" ca="1" si="20"/>
        <v>#NUM!</v>
      </c>
      <c r="T65" s="441" t="e">
        <f t="shared" ca="1" si="21"/>
        <v>#NUM!</v>
      </c>
      <c r="U65" s="443" t="e">
        <f t="shared" ca="1" si="22"/>
        <v>#NUM!</v>
      </c>
      <c r="V65" s="383" t="e">
        <f t="shared" ca="1" si="23"/>
        <v>#NUM!</v>
      </c>
      <c r="W65" s="444" t="e">
        <f t="shared" ca="1" si="24"/>
        <v>#NUM!</v>
      </c>
      <c r="X65" s="445">
        <f t="shared" si="49"/>
        <v>320.26277572105238</v>
      </c>
      <c r="Y65" s="446">
        <f t="shared" si="11"/>
        <v>2.6933229799342789E-2</v>
      </c>
      <c r="Z65" s="447" t="e">
        <f t="shared" ca="1" si="26"/>
        <v>#NUM!</v>
      </c>
      <c r="AA65" s="440">
        <f t="shared" si="12"/>
        <v>0.67392502479702199</v>
      </c>
      <c r="AB65" s="446" t="e">
        <f t="shared" ca="1" si="13"/>
        <v>#NUM!</v>
      </c>
      <c r="AC65" s="448" t="e">
        <f t="shared" ca="1" si="14"/>
        <v>#NUM!</v>
      </c>
      <c r="AD65" s="449" t="e">
        <f t="shared" ca="1" si="27"/>
        <v>#NUM!</v>
      </c>
      <c r="AE65" s="449" t="e">
        <f t="shared" ca="1" si="28"/>
        <v>#NUM!</v>
      </c>
      <c r="AF65" s="450"/>
      <c r="AG65" s="451"/>
      <c r="AH65" s="48"/>
      <c r="AI65" s="21">
        <f t="shared" si="29"/>
        <v>40</v>
      </c>
      <c r="AJ65" s="324">
        <f t="shared" si="15"/>
        <v>30.64</v>
      </c>
      <c r="AK65" s="440">
        <f t="shared" si="30"/>
        <v>14.323482945332426</v>
      </c>
      <c r="AL65" s="440">
        <f t="shared" si="31"/>
        <v>31.030999999999999</v>
      </c>
      <c r="AM65" s="440">
        <f t="shared" si="32"/>
        <v>14.498608110298878</v>
      </c>
      <c r="AN65" s="441">
        <f t="shared" si="33"/>
        <v>14.41107991398794</v>
      </c>
      <c r="AO65" s="442" t="e">
        <f t="shared" ca="1" si="34"/>
        <v>#NUM!</v>
      </c>
      <c r="AP65" s="440" t="e">
        <f t="shared" ca="1" si="35"/>
        <v>#NUM!</v>
      </c>
      <c r="AQ65" s="440" t="e">
        <f t="shared" ca="1" si="36"/>
        <v>#NUM!</v>
      </c>
      <c r="AR65" s="452" t="e">
        <f t="shared" ca="1" si="37"/>
        <v>#NUM!</v>
      </c>
      <c r="AS65" s="442" t="e">
        <f t="shared" ca="1" si="38"/>
        <v>#NUM!</v>
      </c>
      <c r="AT65" s="383" t="e">
        <f t="shared" ca="1" si="39"/>
        <v>#NUM!</v>
      </c>
      <c r="AU65" s="444" t="e">
        <f t="shared" ca="1" si="40"/>
        <v>#NUM!</v>
      </c>
      <c r="AV65" s="445">
        <f t="shared" si="50"/>
        <v>320.26277572105238</v>
      </c>
      <c r="AW65" s="446">
        <f t="shared" si="41"/>
        <v>4.2520039944585883E-3</v>
      </c>
      <c r="AX65" s="447" t="e">
        <f t="shared" ca="1" si="42"/>
        <v>#NUM!</v>
      </c>
      <c r="AY65" s="440">
        <f t="shared" si="43"/>
        <v>0.67392502479702199</v>
      </c>
      <c r="AZ65" s="446" t="e">
        <f t="shared" ca="1" si="44"/>
        <v>#NUM!</v>
      </c>
      <c r="BA65" s="448" t="e">
        <f t="shared" ca="1" si="16"/>
        <v>#NUM!</v>
      </c>
      <c r="BB65" s="449" t="e">
        <f t="shared" ca="1" si="45"/>
        <v>#NUM!</v>
      </c>
      <c r="BC65" s="449" t="e">
        <f t="shared" ca="1" si="46"/>
        <v>#NUM!</v>
      </c>
      <c r="BD65" s="455"/>
      <c r="BE65" s="195"/>
      <c r="BF65" s="454"/>
      <c r="BG65" s="260"/>
      <c r="BH65" s="142">
        <f t="shared" si="2"/>
        <v>60</v>
      </c>
      <c r="BI65" s="142">
        <f t="shared" si="0"/>
        <v>1.0471975511965976</v>
      </c>
      <c r="BJ65" s="142">
        <f t="shared" si="1"/>
        <v>16.000000000000007</v>
      </c>
      <c r="BK65" s="19"/>
      <c r="BL65" s="19"/>
      <c r="BM65" s="142">
        <f t="shared" ca="1" si="6"/>
        <v>13879.24314077045</v>
      </c>
      <c r="BN65" s="142">
        <f t="shared" ca="1" si="3"/>
        <v>138.7924314077045</v>
      </c>
      <c r="BO65" s="142">
        <f t="shared" ca="1" si="4"/>
        <v>1.387924314077045E-22</v>
      </c>
      <c r="BP65" s="367">
        <f t="shared" ca="1" si="5"/>
        <v>3.8541882050238847</v>
      </c>
      <c r="BQ65" s="195"/>
      <c r="BR65" s="195"/>
      <c r="BS65" s="195"/>
      <c r="BT65" s="195"/>
      <c r="BU65" s="454"/>
      <c r="BV65" s="454"/>
      <c r="BW65" s="195"/>
      <c r="BX65" s="454"/>
      <c r="BY65" s="260"/>
      <c r="BZ65" s="195"/>
      <c r="CA65" s="19"/>
    </row>
    <row r="66" spans="1:79" x14ac:dyDescent="0.2">
      <c r="A66" s="427"/>
      <c r="B66" s="48"/>
      <c r="C66" s="48"/>
      <c r="D66" s="48"/>
      <c r="E66" s="48"/>
      <c r="F66" s="48"/>
      <c r="G66" s="48"/>
      <c r="H66" s="48"/>
      <c r="I66" s="48"/>
      <c r="J66" s="48"/>
      <c r="K66" s="21">
        <f t="shared" si="17"/>
        <v>41</v>
      </c>
      <c r="L66" s="324">
        <f t="shared" si="7"/>
        <v>31.131</v>
      </c>
      <c r="M66" s="440">
        <f t="shared" si="8"/>
        <v>51.233513763732532</v>
      </c>
      <c r="N66" s="440">
        <f t="shared" si="9"/>
        <v>31.521999999999998</v>
      </c>
      <c r="O66" s="440">
        <f t="shared" si="10"/>
        <v>51.58217550999273</v>
      </c>
      <c r="P66" s="441">
        <f t="shared" si="47"/>
        <v>51.40850928255135</v>
      </c>
      <c r="Q66" s="442" t="e">
        <f t="shared" ca="1" si="18"/>
        <v>#NUM!</v>
      </c>
      <c r="R66" s="440" t="e">
        <f t="shared" ca="1" si="19"/>
        <v>#NUM!</v>
      </c>
      <c r="S66" s="440" t="e">
        <f t="shared" ca="1" si="20"/>
        <v>#NUM!</v>
      </c>
      <c r="T66" s="441" t="e">
        <f t="shared" ca="1" si="21"/>
        <v>#NUM!</v>
      </c>
      <c r="U66" s="443" t="e">
        <f t="shared" ca="1" si="22"/>
        <v>#NUM!</v>
      </c>
      <c r="V66" s="383" t="e">
        <f t="shared" ca="1" si="23"/>
        <v>#NUM!</v>
      </c>
      <c r="W66" s="444" t="e">
        <f t="shared" ca="1" si="24"/>
        <v>#NUM!</v>
      </c>
      <c r="X66" s="445">
        <f t="shared" si="49"/>
        <v>315.55853538950464</v>
      </c>
      <c r="Y66" s="446">
        <f t="shared" si="11"/>
        <v>2.6195465329942973E-2</v>
      </c>
      <c r="Z66" s="447" t="e">
        <f t="shared" ca="1" si="26"/>
        <v>#NUM!</v>
      </c>
      <c r="AA66" s="440">
        <f t="shared" si="12"/>
        <v>0.6745993712397651</v>
      </c>
      <c r="AB66" s="446" t="e">
        <f t="shared" ca="1" si="13"/>
        <v>#NUM!</v>
      </c>
      <c r="AC66" s="448" t="e">
        <f t="shared" ca="1" si="14"/>
        <v>#NUM!</v>
      </c>
      <c r="AD66" s="449" t="e">
        <f t="shared" ca="1" si="27"/>
        <v>#NUM!</v>
      </c>
      <c r="AE66" s="449" t="e">
        <f t="shared" ca="1" si="28"/>
        <v>#NUM!</v>
      </c>
      <c r="AF66" s="450"/>
      <c r="AG66" s="451"/>
      <c r="AH66" s="48"/>
      <c r="AI66" s="21">
        <f t="shared" si="29"/>
        <v>41</v>
      </c>
      <c r="AJ66" s="324">
        <f t="shared" si="15"/>
        <v>31.131</v>
      </c>
      <c r="AK66" s="440">
        <f t="shared" si="30"/>
        <v>14.543352874602611</v>
      </c>
      <c r="AL66" s="440">
        <f t="shared" si="31"/>
        <v>31.521999999999998</v>
      </c>
      <c r="AM66" s="440">
        <f t="shared" si="32"/>
        <v>14.718130536241555</v>
      </c>
      <c r="AN66" s="441">
        <f t="shared" si="33"/>
        <v>14.630776500631061</v>
      </c>
      <c r="AO66" s="442" t="e">
        <f t="shared" ca="1" si="34"/>
        <v>#NUM!</v>
      </c>
      <c r="AP66" s="440" t="e">
        <f t="shared" ca="1" si="35"/>
        <v>#NUM!</v>
      </c>
      <c r="AQ66" s="440" t="e">
        <f t="shared" ca="1" si="36"/>
        <v>#NUM!</v>
      </c>
      <c r="AR66" s="452" t="e">
        <f t="shared" ca="1" si="37"/>
        <v>#NUM!</v>
      </c>
      <c r="AS66" s="442" t="e">
        <f t="shared" ca="1" si="38"/>
        <v>#NUM!</v>
      </c>
      <c r="AT66" s="383" t="e">
        <f t="shared" ca="1" si="39"/>
        <v>#NUM!</v>
      </c>
      <c r="AU66" s="444" t="e">
        <f t="shared" ca="1" si="40"/>
        <v>#NUM!</v>
      </c>
      <c r="AV66" s="445">
        <f t="shared" si="50"/>
        <v>315.55853538950464</v>
      </c>
      <c r="AW66" s="446">
        <f t="shared" si="41"/>
        <v>4.2435963432963571E-3</v>
      </c>
      <c r="AX66" s="447" t="e">
        <f t="shared" ca="1" si="42"/>
        <v>#NUM!</v>
      </c>
      <c r="AY66" s="440">
        <f t="shared" si="43"/>
        <v>0.6745993712397651</v>
      </c>
      <c r="AZ66" s="446" t="e">
        <f t="shared" ca="1" si="44"/>
        <v>#NUM!</v>
      </c>
      <c r="BA66" s="448" t="e">
        <f t="shared" ca="1" si="16"/>
        <v>#NUM!</v>
      </c>
      <c r="BB66" s="449" t="e">
        <f t="shared" ca="1" si="45"/>
        <v>#NUM!</v>
      </c>
      <c r="BC66" s="449" t="e">
        <f t="shared" ca="1" si="46"/>
        <v>#NUM!</v>
      </c>
      <c r="BD66" s="455"/>
      <c r="BE66" s="195"/>
      <c r="BF66" s="454"/>
      <c r="BG66" s="260"/>
      <c r="BH66" s="142">
        <f t="shared" si="2"/>
        <v>61</v>
      </c>
      <c r="BI66" s="142">
        <f t="shared" si="0"/>
        <v>1.064650843716541</v>
      </c>
      <c r="BJ66" s="142">
        <f t="shared" si="1"/>
        <v>15.070390361621996</v>
      </c>
      <c r="BK66" s="19"/>
      <c r="BL66" s="19"/>
      <c r="BM66" s="142">
        <f t="shared" ca="1" si="6"/>
        <v>13072.850753454693</v>
      </c>
      <c r="BN66" s="142">
        <f t="shared" ca="1" si="3"/>
        <v>130.72850753454694</v>
      </c>
      <c r="BO66" s="142">
        <f t="shared" ca="1" si="4"/>
        <v>1.3072850753454696E-22</v>
      </c>
      <c r="BP66" s="367">
        <f t="shared" ca="1" si="5"/>
        <v>3.6302575485543196</v>
      </c>
      <c r="BQ66" s="195"/>
      <c r="BR66" s="195"/>
      <c r="BS66" s="195"/>
      <c r="BT66" s="195"/>
      <c r="BU66" s="454"/>
      <c r="BV66" s="454"/>
      <c r="BW66" s="195"/>
      <c r="BX66" s="454"/>
      <c r="BY66" s="260"/>
      <c r="BZ66" s="195"/>
      <c r="CA66" s="19"/>
    </row>
    <row r="67" spans="1:79" x14ac:dyDescent="0.2">
      <c r="A67" s="427"/>
      <c r="B67" s="48"/>
      <c r="C67" s="48"/>
      <c r="D67" s="48"/>
      <c r="E67" s="48"/>
      <c r="F67" s="48"/>
      <c r="G67" s="48"/>
      <c r="H67" s="48"/>
      <c r="I67" s="48"/>
      <c r="J67" s="48"/>
      <c r="K67" s="21">
        <f t="shared" si="17"/>
        <v>42</v>
      </c>
      <c r="L67" s="324">
        <f t="shared" si="7"/>
        <v>31.622</v>
      </c>
      <c r="M67" s="440">
        <f t="shared" si="8"/>
        <v>51.670497334370104</v>
      </c>
      <c r="N67" s="440">
        <f t="shared" si="9"/>
        <v>32.012999999999998</v>
      </c>
      <c r="O67" s="440">
        <f t="shared" si="10"/>
        <v>52.012557085486321</v>
      </c>
      <c r="P67" s="441">
        <f t="shared" si="47"/>
        <v>51.84217695024126</v>
      </c>
      <c r="Q67" s="442" t="e">
        <f t="shared" ca="1" si="18"/>
        <v>#NUM!</v>
      </c>
      <c r="R67" s="440" t="e">
        <f t="shared" ca="1" si="19"/>
        <v>#NUM!</v>
      </c>
      <c r="S67" s="440" t="e">
        <f t="shared" ca="1" si="20"/>
        <v>#NUM!</v>
      </c>
      <c r="T67" s="441" t="e">
        <f t="shared" ca="1" si="21"/>
        <v>#NUM!</v>
      </c>
      <c r="U67" s="443" t="e">
        <f t="shared" ca="1" si="22"/>
        <v>#NUM!</v>
      </c>
      <c r="V67" s="383" t="e">
        <f t="shared" ca="1" si="23"/>
        <v>#NUM!</v>
      </c>
      <c r="W67" s="444" t="e">
        <f t="shared" ca="1" si="24"/>
        <v>#NUM!</v>
      </c>
      <c r="X67" s="445">
        <f t="shared" si="49"/>
        <v>311.41248384341588</v>
      </c>
      <c r="Y67" s="446">
        <f t="shared" si="11"/>
        <v>2.551426527425368E-2</v>
      </c>
      <c r="Z67" s="447" t="e">
        <f t="shared" ca="1" si="26"/>
        <v>#NUM!</v>
      </c>
      <c r="AA67" s="440">
        <f t="shared" si="12"/>
        <v>0.6761704639428805</v>
      </c>
      <c r="AB67" s="446" t="e">
        <f t="shared" ca="1" si="13"/>
        <v>#NUM!</v>
      </c>
      <c r="AC67" s="448" t="e">
        <f t="shared" ca="1" si="14"/>
        <v>#NUM!</v>
      </c>
      <c r="AD67" s="449" t="e">
        <f t="shared" ca="1" si="27"/>
        <v>#NUM!</v>
      </c>
      <c r="AE67" s="449" t="e">
        <f t="shared" ca="1" si="28"/>
        <v>#NUM!</v>
      </c>
      <c r="AF67" s="450"/>
      <c r="AG67" s="451"/>
      <c r="AH67" s="48"/>
      <c r="AI67" s="21">
        <f t="shared" si="29"/>
        <v>42</v>
      </c>
      <c r="AJ67" s="324">
        <f t="shared" si="15"/>
        <v>31.622</v>
      </c>
      <c r="AK67" s="440">
        <f t="shared" si="30"/>
        <v>14.762785901009723</v>
      </c>
      <c r="AL67" s="440">
        <f t="shared" si="31"/>
        <v>32.012999999999998</v>
      </c>
      <c r="AM67" s="440">
        <f t="shared" si="32"/>
        <v>14.937211978779317</v>
      </c>
      <c r="AN67" s="441">
        <f t="shared" si="33"/>
        <v>14.850034138431067</v>
      </c>
      <c r="AO67" s="442" t="e">
        <f t="shared" ca="1" si="34"/>
        <v>#NUM!</v>
      </c>
      <c r="AP67" s="440" t="e">
        <f t="shared" ca="1" si="35"/>
        <v>#NUM!</v>
      </c>
      <c r="AQ67" s="440" t="e">
        <f t="shared" ca="1" si="36"/>
        <v>#NUM!</v>
      </c>
      <c r="AR67" s="452" t="e">
        <f t="shared" ca="1" si="37"/>
        <v>#NUM!</v>
      </c>
      <c r="AS67" s="442" t="e">
        <f t="shared" ca="1" si="38"/>
        <v>#NUM!</v>
      </c>
      <c r="AT67" s="383" t="e">
        <f t="shared" ca="1" si="39"/>
        <v>#NUM!</v>
      </c>
      <c r="AU67" s="444" t="e">
        <f t="shared" ca="1" si="40"/>
        <v>#NUM!</v>
      </c>
      <c r="AV67" s="445">
        <f t="shared" si="50"/>
        <v>311.41248384341588</v>
      </c>
      <c r="AW67" s="446">
        <f t="shared" si="41"/>
        <v>4.2406513668305692E-3</v>
      </c>
      <c r="AX67" s="447" t="e">
        <f t="shared" ca="1" si="42"/>
        <v>#NUM!</v>
      </c>
      <c r="AY67" s="440">
        <f t="shared" si="43"/>
        <v>0.6761704639428805</v>
      </c>
      <c r="AZ67" s="446" t="e">
        <f t="shared" ca="1" si="44"/>
        <v>#NUM!</v>
      </c>
      <c r="BA67" s="448" t="e">
        <f t="shared" ca="1" si="16"/>
        <v>#NUM!</v>
      </c>
      <c r="BB67" s="449" t="e">
        <f t="shared" ca="1" si="45"/>
        <v>#NUM!</v>
      </c>
      <c r="BC67" s="449" t="e">
        <f t="shared" ca="1" si="46"/>
        <v>#NUM!</v>
      </c>
      <c r="BD67" s="455"/>
      <c r="BE67" s="195"/>
      <c r="BF67" s="454"/>
      <c r="BG67" s="260"/>
      <c r="BH67" s="142">
        <f t="shared" si="2"/>
        <v>62</v>
      </c>
      <c r="BI67" s="142">
        <f t="shared" si="0"/>
        <v>1.0821041362364843</v>
      </c>
      <c r="BJ67" s="142">
        <f t="shared" si="1"/>
        <v>14.211589543319779</v>
      </c>
      <c r="BK67" s="19"/>
      <c r="BL67" s="19"/>
      <c r="BM67" s="142">
        <f t="shared" ca="1" si="6"/>
        <v>12327.881668035376</v>
      </c>
      <c r="BN67" s="142">
        <f t="shared" ca="1" si="3"/>
        <v>123.27881668035376</v>
      </c>
      <c r="BO67" s="142">
        <f t="shared" ca="1" si="4"/>
        <v>1.2327881668035376E-22</v>
      </c>
      <c r="BP67" s="367">
        <f t="shared" ca="1" si="5"/>
        <v>3.4233837995314902</v>
      </c>
      <c r="BQ67" s="195"/>
      <c r="BR67" s="195"/>
      <c r="BS67" s="195"/>
      <c r="BT67" s="195"/>
      <c r="BU67" s="454"/>
      <c r="BV67" s="454"/>
      <c r="BW67" s="195"/>
      <c r="BX67" s="454"/>
      <c r="BY67" s="260"/>
      <c r="BZ67" s="195"/>
      <c r="CA67" s="19"/>
    </row>
    <row r="68" spans="1:79" x14ac:dyDescent="0.2">
      <c r="A68" s="427"/>
      <c r="B68" s="48"/>
      <c r="C68" s="48"/>
      <c r="D68" s="48"/>
      <c r="E68" s="48"/>
      <c r="F68" s="48"/>
      <c r="G68" s="48"/>
      <c r="H68" s="48"/>
      <c r="I68" s="48"/>
      <c r="J68" s="48"/>
      <c r="K68" s="21">
        <f t="shared" si="17"/>
        <v>43</v>
      </c>
      <c r="L68" s="324">
        <f t="shared" si="7"/>
        <v>32.113</v>
      </c>
      <c r="M68" s="440">
        <f t="shared" si="8"/>
        <v>52.099209498919052</v>
      </c>
      <c r="N68" s="440">
        <f t="shared" si="9"/>
        <v>32.503999999999998</v>
      </c>
      <c r="O68" s="440">
        <f t="shared" si="10"/>
        <v>52.434815635082245</v>
      </c>
      <c r="P68" s="441">
        <f t="shared" si="47"/>
        <v>52.267647673395309</v>
      </c>
      <c r="Q68" s="442" t="e">
        <f t="shared" ca="1" si="18"/>
        <v>#NUM!</v>
      </c>
      <c r="R68" s="440" t="e">
        <f t="shared" ca="1" si="19"/>
        <v>#NUM!</v>
      </c>
      <c r="S68" s="440" t="e">
        <f t="shared" ca="1" si="20"/>
        <v>#NUM!</v>
      </c>
      <c r="T68" s="441" t="e">
        <f t="shared" ca="1" si="21"/>
        <v>#NUM!</v>
      </c>
      <c r="U68" s="443" t="e">
        <f t="shared" ca="1" si="22"/>
        <v>#NUM!</v>
      </c>
      <c r="V68" s="383" t="e">
        <f t="shared" ca="1" si="23"/>
        <v>#NUM!</v>
      </c>
      <c r="W68" s="444" t="e">
        <f t="shared" ca="1" si="24"/>
        <v>#NUM!</v>
      </c>
      <c r="X68" s="445">
        <f t="shared" si="49"/>
        <v>307.68785715140137</v>
      </c>
      <c r="Y68" s="446">
        <f t="shared" si="11"/>
        <v>2.4877125204537189E-2</v>
      </c>
      <c r="Z68" s="447" t="e">
        <f t="shared" ca="1" si="26"/>
        <v>#NUM!</v>
      </c>
      <c r="AA68" s="440">
        <f t="shared" si="12"/>
        <v>0.67839287430026829</v>
      </c>
      <c r="AB68" s="446" t="e">
        <f t="shared" ca="1" si="13"/>
        <v>#NUM!</v>
      </c>
      <c r="AC68" s="448" t="e">
        <f t="shared" ca="1" si="14"/>
        <v>#NUM!</v>
      </c>
      <c r="AD68" s="449" t="e">
        <f t="shared" ca="1" si="27"/>
        <v>#NUM!</v>
      </c>
      <c r="AE68" s="449" t="e">
        <f t="shared" ca="1" si="28"/>
        <v>#NUM!</v>
      </c>
      <c r="AF68" s="450"/>
      <c r="AG68" s="451"/>
      <c r="AH68" s="48"/>
      <c r="AI68" s="21">
        <f t="shared" si="29"/>
        <v>43</v>
      </c>
      <c r="AJ68" s="324">
        <f t="shared" si="15"/>
        <v>32.113</v>
      </c>
      <c r="AK68" s="440">
        <f t="shared" si="30"/>
        <v>14.981776907737196</v>
      </c>
      <c r="AL68" s="440">
        <f t="shared" si="31"/>
        <v>32.503999999999998</v>
      </c>
      <c r="AM68" s="440">
        <f t="shared" si="32"/>
        <v>15.155847378600168</v>
      </c>
      <c r="AN68" s="441">
        <f t="shared" si="33"/>
        <v>15.068847739293998</v>
      </c>
      <c r="AO68" s="442" t="e">
        <f t="shared" ca="1" si="34"/>
        <v>#NUM!</v>
      </c>
      <c r="AP68" s="440" t="e">
        <f t="shared" ca="1" si="35"/>
        <v>#NUM!</v>
      </c>
      <c r="AQ68" s="440" t="e">
        <f t="shared" ca="1" si="36"/>
        <v>#NUM!</v>
      </c>
      <c r="AR68" s="452" t="e">
        <f t="shared" ca="1" si="37"/>
        <v>#NUM!</v>
      </c>
      <c r="AS68" s="442" t="e">
        <f t="shared" ca="1" si="38"/>
        <v>#NUM!</v>
      </c>
      <c r="AT68" s="383" t="e">
        <f t="shared" ca="1" si="39"/>
        <v>#NUM!</v>
      </c>
      <c r="AU68" s="444" t="e">
        <f t="shared" ca="1" si="40"/>
        <v>#NUM!</v>
      </c>
      <c r="AV68" s="445">
        <f t="shared" si="50"/>
        <v>307.68785715140137</v>
      </c>
      <c r="AW68" s="446">
        <f t="shared" si="41"/>
        <v>4.2415851262761831E-3</v>
      </c>
      <c r="AX68" s="447" t="e">
        <f t="shared" ca="1" si="42"/>
        <v>#NUM!</v>
      </c>
      <c r="AY68" s="440">
        <f t="shared" si="43"/>
        <v>0.67839287430026829</v>
      </c>
      <c r="AZ68" s="446" t="e">
        <f t="shared" ca="1" si="44"/>
        <v>#NUM!</v>
      </c>
      <c r="BA68" s="448" t="e">
        <f t="shared" ca="1" si="16"/>
        <v>#NUM!</v>
      </c>
      <c r="BB68" s="449" t="e">
        <f t="shared" ca="1" si="45"/>
        <v>#NUM!</v>
      </c>
      <c r="BC68" s="449" t="e">
        <f t="shared" ca="1" si="46"/>
        <v>#NUM!</v>
      </c>
      <c r="BD68" s="455"/>
      <c r="BE68" s="195"/>
      <c r="BF68" s="454"/>
      <c r="BG68" s="260"/>
      <c r="BH68" s="142">
        <f t="shared" si="2"/>
        <v>63</v>
      </c>
      <c r="BI68" s="142">
        <f t="shared" si="0"/>
        <v>1.0995574287564276</v>
      </c>
      <c r="BJ68" s="142">
        <f t="shared" si="1"/>
        <v>13.417128921888034</v>
      </c>
      <c r="BK68" s="19"/>
      <c r="BL68" s="19"/>
      <c r="BM68" s="142">
        <f t="shared" ca="1" si="6"/>
        <v>11638.724659871703</v>
      </c>
      <c r="BN68" s="142">
        <f t="shared" ca="1" si="3"/>
        <v>116.38724659871703</v>
      </c>
      <c r="BO68" s="142">
        <f t="shared" ca="1" si="4"/>
        <v>1.1638724659871703E-22</v>
      </c>
      <c r="BP68" s="367">
        <f t="shared" ca="1" si="5"/>
        <v>3.2320087522516041</v>
      </c>
      <c r="BQ68" s="195"/>
      <c r="BR68" s="195"/>
      <c r="BS68" s="195"/>
      <c r="BT68" s="195"/>
      <c r="BU68" s="454"/>
      <c r="BV68" s="454"/>
      <c r="BW68" s="195"/>
      <c r="BX68" s="454"/>
      <c r="BY68" s="260"/>
      <c r="BZ68" s="195"/>
      <c r="CA68" s="19"/>
    </row>
    <row r="69" spans="1:79" x14ac:dyDescent="0.2">
      <c r="A69" s="427"/>
      <c r="B69" s="48"/>
      <c r="C69" s="48"/>
      <c r="D69" s="48"/>
      <c r="E69" s="48"/>
      <c r="F69" s="48"/>
      <c r="G69" s="48"/>
      <c r="H69" s="48"/>
      <c r="I69" s="48"/>
      <c r="J69" s="48"/>
      <c r="K69" s="21">
        <f t="shared" si="17"/>
        <v>44</v>
      </c>
      <c r="L69" s="324">
        <f t="shared" si="7"/>
        <v>32.603999999999999</v>
      </c>
      <c r="M69" s="440">
        <f t="shared" si="8"/>
        <v>52.519836236402206</v>
      </c>
      <c r="N69" s="440">
        <f t="shared" si="9"/>
        <v>32.994999999999997</v>
      </c>
      <c r="O69" s="440">
        <f t="shared" si="10"/>
        <v>52.849134386022811</v>
      </c>
      <c r="P69" s="441">
        <f t="shared" si="47"/>
        <v>52.685106059890202</v>
      </c>
      <c r="Q69" s="442" t="e">
        <f t="shared" ca="1" si="18"/>
        <v>#NUM!</v>
      </c>
      <c r="R69" s="440" t="e">
        <f t="shared" ca="1" si="19"/>
        <v>#NUM!</v>
      </c>
      <c r="S69" s="440" t="e">
        <f t="shared" ca="1" si="20"/>
        <v>#NUM!</v>
      </c>
      <c r="T69" s="441" t="e">
        <f t="shared" ca="1" si="21"/>
        <v>#NUM!</v>
      </c>
      <c r="U69" s="443" t="e">
        <f t="shared" ca="1" si="22"/>
        <v>#NUM!</v>
      </c>
      <c r="V69" s="383" t="e">
        <f t="shared" ca="1" si="23"/>
        <v>#NUM!</v>
      </c>
      <c r="W69" s="444" t="e">
        <f t="shared" ca="1" si="24"/>
        <v>#NUM!</v>
      </c>
      <c r="X69" s="445">
        <f t="shared" si="49"/>
        <v>304.29661016624124</v>
      </c>
      <c r="Y69" s="446">
        <f t="shared" si="11"/>
        <v>2.4275972467450932E-2</v>
      </c>
      <c r="Z69" s="447" t="e">
        <f t="shared" ca="1" si="26"/>
        <v>#NUM!</v>
      </c>
      <c r="AA69" s="440">
        <f t="shared" si="12"/>
        <v>0.68111189152800711</v>
      </c>
      <c r="AB69" s="446" t="e">
        <f t="shared" ca="1" si="13"/>
        <v>#NUM!</v>
      </c>
      <c r="AC69" s="448" t="e">
        <f t="shared" ca="1" si="14"/>
        <v>#NUM!</v>
      </c>
      <c r="AD69" s="449" t="e">
        <f t="shared" ca="1" si="27"/>
        <v>#NUM!</v>
      </c>
      <c r="AE69" s="449" t="e">
        <f t="shared" ca="1" si="28"/>
        <v>#NUM!</v>
      </c>
      <c r="AF69" s="450"/>
      <c r="AG69" s="451"/>
      <c r="AH69" s="48"/>
      <c r="AI69" s="21">
        <f t="shared" si="29"/>
        <v>44</v>
      </c>
      <c r="AJ69" s="324">
        <f t="shared" si="15"/>
        <v>32.603999999999999</v>
      </c>
      <c r="AK69" s="440">
        <f t="shared" si="30"/>
        <v>15.200320850217663</v>
      </c>
      <c r="AL69" s="440">
        <f t="shared" si="31"/>
        <v>32.994999999999997</v>
      </c>
      <c r="AM69" s="440">
        <f t="shared" si="32"/>
        <v>15.37403174892896</v>
      </c>
      <c r="AN69" s="441">
        <f t="shared" si="33"/>
        <v>15.287212287521012</v>
      </c>
      <c r="AO69" s="442" t="e">
        <f t="shared" ca="1" si="34"/>
        <v>#NUM!</v>
      </c>
      <c r="AP69" s="440" t="e">
        <f t="shared" ca="1" si="35"/>
        <v>#NUM!</v>
      </c>
      <c r="AQ69" s="440" t="e">
        <f t="shared" ca="1" si="36"/>
        <v>#NUM!</v>
      </c>
      <c r="AR69" s="452" t="e">
        <f t="shared" ca="1" si="37"/>
        <v>#NUM!</v>
      </c>
      <c r="AS69" s="442" t="e">
        <f t="shared" ca="1" si="38"/>
        <v>#NUM!</v>
      </c>
      <c r="AT69" s="383" t="e">
        <f t="shared" ca="1" si="39"/>
        <v>#NUM!</v>
      </c>
      <c r="AU69" s="444" t="e">
        <f t="shared" ca="1" si="40"/>
        <v>#NUM!</v>
      </c>
      <c r="AV69" s="445">
        <f t="shared" si="50"/>
        <v>304.29661016624124</v>
      </c>
      <c r="AW69" s="446">
        <f t="shared" si="41"/>
        <v>4.2453971147591602E-3</v>
      </c>
      <c r="AX69" s="447" t="e">
        <f t="shared" ca="1" si="42"/>
        <v>#NUM!</v>
      </c>
      <c r="AY69" s="440">
        <f t="shared" si="43"/>
        <v>0.68111189152800711</v>
      </c>
      <c r="AZ69" s="446" t="e">
        <f t="shared" ca="1" si="44"/>
        <v>#NUM!</v>
      </c>
      <c r="BA69" s="448" t="e">
        <f t="shared" ca="1" si="16"/>
        <v>#NUM!</v>
      </c>
      <c r="BB69" s="449" t="e">
        <f t="shared" ca="1" si="45"/>
        <v>#NUM!</v>
      </c>
      <c r="BC69" s="449" t="e">
        <f t="shared" ca="1" si="46"/>
        <v>#NUM!</v>
      </c>
      <c r="BD69" s="455"/>
      <c r="BE69" s="195"/>
      <c r="BF69" s="454"/>
      <c r="BG69" s="260"/>
      <c r="BH69" s="142">
        <f t="shared" si="2"/>
        <v>64</v>
      </c>
      <c r="BI69" s="142">
        <f t="shared" si="0"/>
        <v>1.1170107212763709</v>
      </c>
      <c r="BJ69" s="142">
        <f t="shared" si="1"/>
        <v>12.681223852662937</v>
      </c>
      <c r="BK69" s="19"/>
      <c r="BL69" s="19"/>
      <c r="BM69" s="142">
        <f t="shared" ca="1" si="6"/>
        <v>11000.361823352914</v>
      </c>
      <c r="BN69" s="142">
        <f t="shared" ca="1" si="3"/>
        <v>110.00361823352914</v>
      </c>
      <c r="BO69" s="142">
        <f t="shared" ca="1" si="4"/>
        <v>1.1000361823352914E-22</v>
      </c>
      <c r="BP69" s="367">
        <f t="shared" ca="1" si="5"/>
        <v>3.0547389623875634</v>
      </c>
      <c r="BQ69" s="195"/>
      <c r="BR69" s="195"/>
      <c r="BS69" s="195"/>
      <c r="BT69" s="195"/>
      <c r="BU69" s="454"/>
      <c r="BV69" s="454"/>
      <c r="BW69" s="195"/>
      <c r="BX69" s="454"/>
      <c r="BY69" s="260"/>
      <c r="BZ69" s="195"/>
      <c r="CA69" s="19"/>
    </row>
    <row r="70" spans="1:79" x14ac:dyDescent="0.2">
      <c r="A70" s="427"/>
      <c r="B70" s="48"/>
      <c r="C70" s="48"/>
      <c r="D70" s="48"/>
      <c r="E70" s="48"/>
      <c r="F70" s="48"/>
      <c r="G70" s="48"/>
      <c r="H70" s="48"/>
      <c r="I70" s="48"/>
      <c r="J70" s="48"/>
      <c r="K70" s="21">
        <f t="shared" si="17"/>
        <v>45</v>
      </c>
      <c r="L70" s="324">
        <f t="shared" si="7"/>
        <v>33.094999999999999</v>
      </c>
      <c r="M70" s="440">
        <f t="shared" si="8"/>
        <v>52.932560064504706</v>
      </c>
      <c r="N70" s="440">
        <f t="shared" si="9"/>
        <v>33.485999999999997</v>
      </c>
      <c r="O70" s="440">
        <f t="shared" si="10"/>
        <v>53.255693062619407</v>
      </c>
      <c r="P70" s="441">
        <f t="shared" si="47"/>
        <v>53.094733234277122</v>
      </c>
      <c r="Q70" s="442" t="e">
        <f t="shared" ca="1" si="18"/>
        <v>#NUM!</v>
      </c>
      <c r="R70" s="440" t="e">
        <f t="shared" ca="1" si="19"/>
        <v>#NUM!</v>
      </c>
      <c r="S70" s="440" t="e">
        <f t="shared" ca="1" si="20"/>
        <v>#NUM!</v>
      </c>
      <c r="T70" s="441" t="e">
        <f t="shared" ca="1" si="21"/>
        <v>#NUM!</v>
      </c>
      <c r="U70" s="443" t="e">
        <f t="shared" ca="1" si="22"/>
        <v>#NUM!</v>
      </c>
      <c r="V70" s="383" t="e">
        <f t="shared" ca="1" si="23"/>
        <v>#NUM!</v>
      </c>
      <c r="W70" s="444" t="e">
        <f t="shared" ca="1" si="24"/>
        <v>#NUM!</v>
      </c>
      <c r="X70" s="445">
        <f t="shared" si="49"/>
        <v>301.17796268827385</v>
      </c>
      <c r="Y70" s="446">
        <f t="shared" si="11"/>
        <v>2.3705220277728489E-2</v>
      </c>
      <c r="Z70" s="447" t="e">
        <f t="shared" ca="1" si="26"/>
        <v>#NUM!</v>
      </c>
      <c r="AA70" s="440">
        <f t="shared" si="12"/>
        <v>0.68422294545317908</v>
      </c>
      <c r="AB70" s="446" t="e">
        <f t="shared" ca="1" si="13"/>
        <v>#NUM!</v>
      </c>
      <c r="AC70" s="448" t="e">
        <f t="shared" ca="1" si="14"/>
        <v>#NUM!</v>
      </c>
      <c r="AD70" s="449" t="e">
        <f t="shared" ca="1" si="27"/>
        <v>#NUM!</v>
      </c>
      <c r="AE70" s="449" t="e">
        <f t="shared" ca="1" si="28"/>
        <v>#NUM!</v>
      </c>
      <c r="AF70" s="450"/>
      <c r="AG70" s="451"/>
      <c r="AH70" s="48"/>
      <c r="AI70" s="21">
        <f t="shared" si="29"/>
        <v>45</v>
      </c>
      <c r="AJ70" s="324">
        <f t="shared" si="15"/>
        <v>33.094999999999999</v>
      </c>
      <c r="AK70" s="440">
        <f t="shared" si="30"/>
        <v>15.418412756491509</v>
      </c>
      <c r="AL70" s="440">
        <f t="shared" si="31"/>
        <v>33.485999999999997</v>
      </c>
      <c r="AM70" s="440">
        <f t="shared" si="32"/>
        <v>15.591760175865064</v>
      </c>
      <c r="AN70" s="441">
        <f t="shared" si="33"/>
        <v>15.505122840156458</v>
      </c>
      <c r="AO70" s="442" t="e">
        <f t="shared" ca="1" si="34"/>
        <v>#NUM!</v>
      </c>
      <c r="AP70" s="440" t="e">
        <f t="shared" ca="1" si="35"/>
        <v>#NUM!</v>
      </c>
      <c r="AQ70" s="440" t="e">
        <f t="shared" ca="1" si="36"/>
        <v>#NUM!</v>
      </c>
      <c r="AR70" s="452" t="e">
        <f t="shared" ca="1" si="37"/>
        <v>#NUM!</v>
      </c>
      <c r="AS70" s="442" t="e">
        <f t="shared" ca="1" si="38"/>
        <v>#NUM!</v>
      </c>
      <c r="AT70" s="383" t="e">
        <f t="shared" ca="1" si="39"/>
        <v>#NUM!</v>
      </c>
      <c r="AU70" s="444" t="e">
        <f t="shared" ca="1" si="40"/>
        <v>#NUM!</v>
      </c>
      <c r="AV70" s="445">
        <f t="shared" si="50"/>
        <v>301.17796268827385</v>
      </c>
      <c r="AW70" s="446">
        <f t="shared" si="41"/>
        <v>4.2514097618472635E-3</v>
      </c>
      <c r="AX70" s="447" t="e">
        <f t="shared" ca="1" si="42"/>
        <v>#NUM!</v>
      </c>
      <c r="AY70" s="440">
        <f t="shared" si="43"/>
        <v>0.68422294545317908</v>
      </c>
      <c r="AZ70" s="446" t="e">
        <f t="shared" ca="1" si="44"/>
        <v>#NUM!</v>
      </c>
      <c r="BA70" s="448" t="e">
        <f t="shared" ca="1" si="16"/>
        <v>#NUM!</v>
      </c>
      <c r="BB70" s="449" t="e">
        <f t="shared" ca="1" si="45"/>
        <v>#NUM!</v>
      </c>
      <c r="BC70" s="449" t="e">
        <f t="shared" ca="1" si="46"/>
        <v>#NUM!</v>
      </c>
      <c r="BD70" s="455"/>
      <c r="BE70" s="195"/>
      <c r="BF70" s="454"/>
      <c r="BG70" s="260"/>
      <c r="BH70" s="142">
        <f t="shared" si="2"/>
        <v>65</v>
      </c>
      <c r="BI70" s="142">
        <f t="shared" ref="BI70:BI133" si="51">RADIANS(BH70)</f>
        <v>1.1344640137963142</v>
      </c>
      <c r="BJ70" s="142">
        <f t="shared" ref="BJ70:BJ133" si="52">SIN(BI70/2)^-4</f>
        <v>11.998691962283825</v>
      </c>
      <c r="BK70" s="19"/>
      <c r="BL70" s="19"/>
      <c r="BM70" s="142">
        <f t="shared" ref="BM70:BM133" ca="1" si="53">$BK$5*$N$19*BJ70</f>
        <v>10408.297694734078</v>
      </c>
      <c r="BN70" s="142">
        <f t="shared" ref="BN70:BN133" ca="1" si="54">BM70/100</f>
        <v>104.08297694734078</v>
      </c>
      <c r="BO70" s="142">
        <f t="shared" ref="BO70:BO133" ca="1" si="55">BN70*10^-24</f>
        <v>1.040829769473408E-22</v>
      </c>
      <c r="BP70" s="367">
        <f t="shared" ca="1" si="5"/>
        <v>2.8903260647968243</v>
      </c>
      <c r="BQ70" s="195"/>
      <c r="BR70" s="195"/>
      <c r="BS70" s="195"/>
      <c r="BT70" s="195"/>
      <c r="BU70" s="454"/>
      <c r="BV70" s="454"/>
      <c r="BW70" s="195"/>
      <c r="BX70" s="454"/>
      <c r="BY70" s="260"/>
      <c r="BZ70" s="195"/>
      <c r="CA70" s="19"/>
    </row>
    <row r="71" spans="1:79" x14ac:dyDescent="0.2">
      <c r="A71" s="427"/>
      <c r="B71" s="48"/>
      <c r="C71" s="48"/>
      <c r="D71" s="48"/>
      <c r="E71" s="48"/>
      <c r="F71" s="48"/>
      <c r="G71" s="48"/>
      <c r="H71" s="48"/>
      <c r="I71" s="48"/>
      <c r="J71" s="48"/>
      <c r="K71" s="21">
        <f t="shared" si="17"/>
        <v>46</v>
      </c>
      <c r="L71" s="324">
        <f t="shared" si="7"/>
        <v>33.585999999999999</v>
      </c>
      <c r="M71" s="440">
        <f t="shared" si="8"/>
        <v>53.337559988843452</v>
      </c>
      <c r="N71" s="440">
        <f t="shared" si="9"/>
        <v>33.976999999999997</v>
      </c>
      <c r="O71" s="440">
        <f t="shared" si="10"/>
        <v>53.654667846912041</v>
      </c>
      <c r="P71" s="441">
        <f t="shared" si="47"/>
        <v>53.496706792859918</v>
      </c>
      <c r="Q71" s="442" t="e">
        <f t="shared" ca="1" si="18"/>
        <v>#NUM!</v>
      </c>
      <c r="R71" s="440" t="e">
        <f t="shared" ca="1" si="19"/>
        <v>#NUM!</v>
      </c>
      <c r="S71" s="440" t="e">
        <f t="shared" ca="1" si="20"/>
        <v>#NUM!</v>
      </c>
      <c r="T71" s="441" t="e">
        <f t="shared" ca="1" si="21"/>
        <v>#NUM!</v>
      </c>
      <c r="U71" s="443" t="e">
        <f t="shared" ca="1" si="22"/>
        <v>#NUM!</v>
      </c>
      <c r="V71" s="383" t="e">
        <f t="shared" ca="1" si="23"/>
        <v>#NUM!</v>
      </c>
      <c r="W71" s="444" t="e">
        <f t="shared" ca="1" si="24"/>
        <v>#NUM!</v>
      </c>
      <c r="X71" s="445">
        <f t="shared" si="49"/>
        <v>298.28777829961473</v>
      </c>
      <c r="Y71" s="446">
        <f t="shared" si="11"/>
        <v>2.316080069236599E-2</v>
      </c>
      <c r="Z71" s="447" t="e">
        <f t="shared" ca="1" si="26"/>
        <v>#NUM!</v>
      </c>
      <c r="AA71" s="440">
        <f t="shared" si="12"/>
        <v>0.68765168905818841</v>
      </c>
      <c r="AB71" s="446" t="e">
        <f t="shared" ca="1" si="13"/>
        <v>#NUM!</v>
      </c>
      <c r="AC71" s="448" t="e">
        <f t="shared" ca="1" si="14"/>
        <v>#NUM!</v>
      </c>
      <c r="AD71" s="449" t="e">
        <f t="shared" ca="1" si="27"/>
        <v>#NUM!</v>
      </c>
      <c r="AE71" s="449" t="e">
        <f t="shared" ca="1" si="28"/>
        <v>#NUM!</v>
      </c>
      <c r="AF71" s="450"/>
      <c r="AG71" s="451"/>
      <c r="AH71" s="48"/>
      <c r="AI71" s="21">
        <f t="shared" si="29"/>
        <v>46</v>
      </c>
      <c r="AJ71" s="324">
        <f t="shared" si="15"/>
        <v>33.585999999999999</v>
      </c>
      <c r="AK71" s="440">
        <f t="shared" si="30"/>
        <v>15.636047727539202</v>
      </c>
      <c r="AL71" s="440">
        <f t="shared" si="31"/>
        <v>33.976999999999997</v>
      </c>
      <c r="AM71" s="440">
        <f t="shared" si="32"/>
        <v>15.809027818693936</v>
      </c>
      <c r="AN71" s="441">
        <f t="shared" si="33"/>
        <v>15.722574527309849</v>
      </c>
      <c r="AO71" s="442" t="e">
        <f t="shared" ca="1" si="34"/>
        <v>#NUM!</v>
      </c>
      <c r="AP71" s="440" t="e">
        <f t="shared" ca="1" si="35"/>
        <v>#NUM!</v>
      </c>
      <c r="AQ71" s="440" t="e">
        <f t="shared" ca="1" si="36"/>
        <v>#NUM!</v>
      </c>
      <c r="AR71" s="452" t="e">
        <f t="shared" ca="1" si="37"/>
        <v>#NUM!</v>
      </c>
      <c r="AS71" s="442" t="e">
        <f t="shared" ca="1" si="38"/>
        <v>#NUM!</v>
      </c>
      <c r="AT71" s="383" t="e">
        <f t="shared" ca="1" si="39"/>
        <v>#NUM!</v>
      </c>
      <c r="AU71" s="444" t="e">
        <f t="shared" ca="1" si="40"/>
        <v>#NUM!</v>
      </c>
      <c r="AV71" s="445">
        <f t="shared" si="50"/>
        <v>298.28777829961473</v>
      </c>
      <c r="AW71" s="446">
        <f t="shared" si="41"/>
        <v>4.2591404331552996E-3</v>
      </c>
      <c r="AX71" s="447" t="e">
        <f t="shared" ca="1" si="42"/>
        <v>#NUM!</v>
      </c>
      <c r="AY71" s="440">
        <f t="shared" si="43"/>
        <v>0.68765168905818841</v>
      </c>
      <c r="AZ71" s="446" t="e">
        <f t="shared" ca="1" si="44"/>
        <v>#NUM!</v>
      </c>
      <c r="BA71" s="448" t="e">
        <f t="shared" ca="1" si="16"/>
        <v>#NUM!</v>
      </c>
      <c r="BB71" s="449" t="e">
        <f t="shared" ca="1" si="45"/>
        <v>#NUM!</v>
      </c>
      <c r="BC71" s="449" t="e">
        <f t="shared" ca="1" si="46"/>
        <v>#NUM!</v>
      </c>
      <c r="BD71" s="455"/>
      <c r="BE71" s="195"/>
      <c r="BF71" s="454"/>
      <c r="BG71" s="260"/>
      <c r="BH71" s="142">
        <f t="shared" ref="BH71:BH134" si="56">BH70+1</f>
        <v>66</v>
      </c>
      <c r="BI71" s="142">
        <f t="shared" si="51"/>
        <v>1.1519173063162575</v>
      </c>
      <c r="BJ71" s="142">
        <f t="shared" si="52"/>
        <v>11.364882281830923</v>
      </c>
      <c r="BK71" s="19"/>
      <c r="BL71" s="19"/>
      <c r="BM71" s="142">
        <f t="shared" ca="1" si="53"/>
        <v>9858.4977784853363</v>
      </c>
      <c r="BN71" s="142">
        <f t="shared" ca="1" si="54"/>
        <v>98.584977784853365</v>
      </c>
      <c r="BO71" s="142">
        <f t="shared" ca="1" si="55"/>
        <v>9.8584977784853377E-23</v>
      </c>
      <c r="BP71" s="367">
        <f t="shared" ref="BP71:BP134" ca="1" si="57">$K$16*$K$17*BO71*$BL$5*($K$18/100)</f>
        <v>2.7376497026323539</v>
      </c>
      <c r="BQ71" s="195"/>
      <c r="BR71" s="195"/>
      <c r="BS71" s="195"/>
      <c r="BT71" s="195"/>
      <c r="BU71" s="454"/>
      <c r="BV71" s="454"/>
      <c r="BW71" s="195"/>
      <c r="BX71" s="454"/>
      <c r="BY71" s="260"/>
      <c r="BZ71" s="195"/>
      <c r="CA71" s="19"/>
    </row>
    <row r="72" spans="1:79" ht="13.5" thickBot="1" x14ac:dyDescent="0.25">
      <c r="A72" s="427"/>
      <c r="B72" s="48"/>
      <c r="C72" s="48"/>
      <c r="D72" s="48"/>
      <c r="E72" s="48"/>
      <c r="F72" s="48"/>
      <c r="G72" s="48"/>
      <c r="H72" s="48"/>
      <c r="I72" s="48"/>
      <c r="J72" s="48" t="s">
        <v>292</v>
      </c>
      <c r="K72" s="21">
        <f t="shared" si="17"/>
        <v>47</v>
      </c>
      <c r="L72" s="324">
        <f t="shared" si="7"/>
        <v>34.076999999999998</v>
      </c>
      <c r="M72" s="440">
        <f t="shared" si="8"/>
        <v>53.735011466395648</v>
      </c>
      <c r="N72" s="440">
        <f t="shared" si="9"/>
        <v>34.467999999999996</v>
      </c>
      <c r="O72" s="440">
        <f t="shared" si="10"/>
        <v>54.046231352386386</v>
      </c>
      <c r="P72" s="441">
        <f t="shared" si="47"/>
        <v>53.891200772373566</v>
      </c>
      <c r="Q72" s="442" t="e">
        <f t="shared" ca="1" si="18"/>
        <v>#NUM!</v>
      </c>
      <c r="R72" s="440" t="e">
        <f t="shared" ca="1" si="19"/>
        <v>#NUM!</v>
      </c>
      <c r="S72" s="440" t="e">
        <f t="shared" ca="1" si="20"/>
        <v>#NUM!</v>
      </c>
      <c r="T72" s="441" t="e">
        <f t="shared" ca="1" si="21"/>
        <v>#NUM!</v>
      </c>
      <c r="U72" s="465" t="e">
        <f t="shared" ca="1" si="22"/>
        <v>#NUM!</v>
      </c>
      <c r="V72" s="466" t="e">
        <f t="shared" ca="1" si="23"/>
        <v>#NUM!</v>
      </c>
      <c r="W72" s="444" t="e">
        <f t="shared" ca="1" si="24"/>
        <v>#NUM!</v>
      </c>
      <c r="X72" s="445">
        <f t="shared" si="49"/>
        <v>295.59275149910314</v>
      </c>
      <c r="Y72" s="446">
        <f t="shared" si="11"/>
        <v>2.2639633736063199E-2</v>
      </c>
      <c r="Z72" s="447" t="e">
        <f t="shared" ca="1" si="26"/>
        <v>#NUM!</v>
      </c>
      <c r="AA72" s="440">
        <f t="shared" si="12"/>
        <v>0.6913431915547974</v>
      </c>
      <c r="AB72" s="446" t="e">
        <f t="shared" ca="1" si="13"/>
        <v>#NUM!</v>
      </c>
      <c r="AC72" s="448" t="e">
        <f t="shared" ca="1" si="14"/>
        <v>#NUM!</v>
      </c>
      <c r="AD72" s="449" t="e">
        <f t="shared" ca="1" si="27"/>
        <v>#NUM!</v>
      </c>
      <c r="AE72" s="449" t="e">
        <f t="shared" ca="1" si="28"/>
        <v>#NUM!</v>
      </c>
      <c r="AF72" s="450"/>
      <c r="AG72" s="451"/>
      <c r="AH72" s="48" t="s">
        <v>292</v>
      </c>
      <c r="AI72" s="21">
        <f t="shared" si="29"/>
        <v>47</v>
      </c>
      <c r="AJ72" s="324">
        <f t="shared" si="15"/>
        <v>34.076999999999998</v>
      </c>
      <c r="AK72" s="440">
        <f t="shared" si="30"/>
        <v>15.853220937587569</v>
      </c>
      <c r="AL72" s="440">
        <f t="shared" si="31"/>
        <v>34.467999999999996</v>
      </c>
      <c r="AM72" s="440">
        <f t="shared" si="32"/>
        <v>16.025829910172792</v>
      </c>
      <c r="AN72" s="441">
        <f t="shared" si="33"/>
        <v>15.939562552451784</v>
      </c>
      <c r="AO72" s="442" t="e">
        <f t="shared" ca="1" si="34"/>
        <v>#NUM!</v>
      </c>
      <c r="AP72" s="440" t="e">
        <f t="shared" ca="1" si="35"/>
        <v>#NUM!</v>
      </c>
      <c r="AQ72" s="467" t="e">
        <f t="shared" ca="1" si="36"/>
        <v>#NUM!</v>
      </c>
      <c r="AR72" s="468" t="e">
        <f t="shared" ca="1" si="37"/>
        <v>#NUM!</v>
      </c>
      <c r="AS72" s="469" t="e">
        <f t="shared" ca="1" si="38"/>
        <v>#NUM!</v>
      </c>
      <c r="AT72" s="466" t="e">
        <f t="shared" ca="1" si="39"/>
        <v>#NUM!</v>
      </c>
      <c r="AU72" s="470" t="e">
        <f t="shared" ca="1" si="40"/>
        <v>#NUM!</v>
      </c>
      <c r="AV72" s="445">
        <f t="shared" si="50"/>
        <v>295.59275149910314</v>
      </c>
      <c r="AW72" s="446">
        <f t="shared" si="41"/>
        <v>4.2682319085637624E-3</v>
      </c>
      <c r="AX72" s="447" t="e">
        <f t="shared" ca="1" si="42"/>
        <v>#NUM!</v>
      </c>
      <c r="AY72" s="440">
        <f t="shared" si="43"/>
        <v>0.6913431915547974</v>
      </c>
      <c r="AZ72" s="446" t="e">
        <f t="shared" ca="1" si="44"/>
        <v>#NUM!</v>
      </c>
      <c r="BA72" s="448" t="e">
        <f t="shared" ca="1" si="16"/>
        <v>#NUM!</v>
      </c>
      <c r="BB72" s="449" t="e">
        <f t="shared" ca="1" si="45"/>
        <v>#NUM!</v>
      </c>
      <c r="BC72" s="449" t="e">
        <f t="shared" ca="1" si="46"/>
        <v>#NUM!</v>
      </c>
      <c r="BD72" s="455"/>
      <c r="BE72" s="195"/>
      <c r="BF72" s="454"/>
      <c r="BG72" s="260"/>
      <c r="BH72" s="142">
        <f t="shared" si="56"/>
        <v>67</v>
      </c>
      <c r="BI72" s="142">
        <f t="shared" si="51"/>
        <v>1.1693705988362009</v>
      </c>
      <c r="BJ72" s="142">
        <f t="shared" si="52"/>
        <v>10.775613643696829</v>
      </c>
      <c r="BK72" s="19"/>
      <c r="BL72" s="19"/>
      <c r="BM72" s="142">
        <f t="shared" ca="1" si="53"/>
        <v>9347.3351094919763</v>
      </c>
      <c r="BN72" s="142">
        <f t="shared" ca="1" si="54"/>
        <v>93.473351094919764</v>
      </c>
      <c r="BO72" s="142">
        <f t="shared" ca="1" si="55"/>
        <v>9.3473351094919775E-23</v>
      </c>
      <c r="BP72" s="367">
        <f t="shared" ca="1" si="57"/>
        <v>2.5957026879644216</v>
      </c>
      <c r="BQ72" s="195"/>
      <c r="BR72" s="195"/>
      <c r="BS72" s="195"/>
      <c r="BT72" s="195"/>
      <c r="BU72" s="454"/>
      <c r="BV72" s="454"/>
      <c r="BW72" s="195"/>
      <c r="BX72" s="454"/>
      <c r="BY72" s="260"/>
      <c r="BZ72" s="195"/>
      <c r="CA72" s="19"/>
    </row>
    <row r="73" spans="1:79" ht="14.25" x14ac:dyDescent="0.2">
      <c r="A73" s="427"/>
      <c r="B73" s="48"/>
      <c r="C73" s="48"/>
      <c r="D73" s="48"/>
      <c r="E73" s="48"/>
      <c r="F73" s="48"/>
      <c r="G73" s="48"/>
      <c r="H73" s="48"/>
      <c r="I73" s="48"/>
      <c r="J73" s="48"/>
      <c r="K73" s="19"/>
      <c r="L73" s="19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50" t="s">
        <v>111</v>
      </c>
      <c r="AA73" s="471" t="e">
        <f>SUM(AA25:AA72)</f>
        <v>#NUM!</v>
      </c>
      <c r="AB73" s="50" t="s">
        <v>119</v>
      </c>
      <c r="AC73" s="48"/>
      <c r="AD73" s="48"/>
      <c r="AE73" s="48"/>
      <c r="AF73" s="19"/>
      <c r="AG73" s="472"/>
      <c r="AH73" s="19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50"/>
      <c r="AV73" s="50"/>
      <c r="AW73" s="50"/>
      <c r="AX73" s="50" t="s">
        <v>111</v>
      </c>
      <c r="AY73" s="471" t="e">
        <f>SUM(AY25:AY72)</f>
        <v>#NUM!</v>
      </c>
      <c r="AZ73" s="50" t="s">
        <v>119</v>
      </c>
      <c r="BA73" s="48"/>
      <c r="BB73" s="48"/>
      <c r="BC73" s="48"/>
      <c r="BD73" s="455"/>
      <c r="BE73" s="195"/>
      <c r="BF73" s="454"/>
      <c r="BG73" s="260"/>
      <c r="BH73" s="142">
        <f t="shared" si="56"/>
        <v>68</v>
      </c>
      <c r="BI73" s="142">
        <f t="shared" si="51"/>
        <v>1.1868238913561442</v>
      </c>
      <c r="BJ73" s="142">
        <f t="shared" si="52"/>
        <v>10.227121014354486</v>
      </c>
      <c r="BK73" s="19"/>
      <c r="BL73" s="19"/>
      <c r="BM73" s="142">
        <f t="shared" ca="1" si="53"/>
        <v>8871.5436992692976</v>
      </c>
      <c r="BN73" s="142">
        <f t="shared" ca="1" si="54"/>
        <v>88.715436992692972</v>
      </c>
      <c r="BO73" s="142">
        <f t="shared" ca="1" si="55"/>
        <v>8.8715436992692985E-23</v>
      </c>
      <c r="BP73" s="367">
        <f t="shared" ca="1" si="57"/>
        <v>2.4635780740548094</v>
      </c>
      <c r="BQ73" s="195"/>
      <c r="BR73" s="195"/>
      <c r="BS73" s="195"/>
      <c r="BT73" s="195"/>
      <c r="BU73" s="454"/>
      <c r="BV73" s="454"/>
      <c r="BW73" s="195"/>
      <c r="BX73" s="454"/>
      <c r="BY73" s="260"/>
      <c r="BZ73" s="195"/>
      <c r="CA73" s="19"/>
    </row>
    <row r="74" spans="1:79" x14ac:dyDescent="0.2">
      <c r="A74" s="42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19"/>
      <c r="Y74" s="19"/>
      <c r="Z74" s="19"/>
      <c r="AA74" s="19"/>
      <c r="AB74" s="19"/>
      <c r="AC74" s="19"/>
      <c r="AD74" s="19"/>
      <c r="AE74" s="19"/>
      <c r="AF74" s="19"/>
      <c r="AG74" s="472"/>
      <c r="AH74" s="19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55"/>
      <c r="BE74" s="195"/>
      <c r="BF74" s="454"/>
      <c r="BG74" s="260"/>
      <c r="BH74" s="142">
        <f t="shared" si="56"/>
        <v>69</v>
      </c>
      <c r="BI74" s="142">
        <f t="shared" si="51"/>
        <v>1.2042771838760873</v>
      </c>
      <c r="BJ74" s="142">
        <f t="shared" si="52"/>
        <v>9.7160086417422509</v>
      </c>
      <c r="BK74" s="19"/>
      <c r="BL74" s="19"/>
      <c r="BM74" s="142">
        <f t="shared" ca="1" si="53"/>
        <v>8428.1778935354687</v>
      </c>
      <c r="BN74" s="142">
        <f t="shared" ca="1" si="54"/>
        <v>84.28177893535468</v>
      </c>
      <c r="BO74" s="142">
        <f t="shared" ca="1" si="55"/>
        <v>8.4281778935354693E-23</v>
      </c>
      <c r="BP74" s="367">
        <f t="shared" ca="1" si="57"/>
        <v>2.3404578691820688</v>
      </c>
      <c r="BQ74" s="195"/>
      <c r="BR74" s="195"/>
      <c r="BS74" s="195"/>
      <c r="BT74" s="195"/>
      <c r="BU74" s="454"/>
      <c r="BV74" s="454"/>
      <c r="BW74" s="195"/>
      <c r="BX74" s="454"/>
      <c r="BY74" s="260"/>
      <c r="BZ74" s="195"/>
      <c r="CA74" s="19"/>
    </row>
    <row r="75" spans="1:79" x14ac:dyDescent="0.2">
      <c r="A75" s="42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19"/>
      <c r="Y75" s="454" t="e">
        <f>SUM(Y25:Y72)</f>
        <v>#NUM!</v>
      </c>
      <c r="Z75" s="19"/>
      <c r="AA75" s="19"/>
      <c r="AB75" s="19"/>
      <c r="AC75" s="19"/>
      <c r="AD75" s="19"/>
      <c r="AE75" s="19"/>
      <c r="AF75" s="19"/>
      <c r="AG75" s="472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218"/>
      <c r="AX75" s="195"/>
      <c r="AY75" s="195"/>
      <c r="AZ75" s="195"/>
      <c r="BA75" s="195"/>
      <c r="BB75" s="454"/>
      <c r="BC75" s="454"/>
      <c r="BD75" s="455"/>
      <c r="BE75" s="195"/>
      <c r="BF75" s="454"/>
      <c r="BG75" s="260"/>
      <c r="BH75" s="142">
        <f t="shared" si="56"/>
        <v>70</v>
      </c>
      <c r="BI75" s="142">
        <f t="shared" si="51"/>
        <v>1.2217304763960306</v>
      </c>
      <c r="BJ75" s="142">
        <f t="shared" si="52"/>
        <v>9.2392090679637224</v>
      </c>
      <c r="BK75" s="19"/>
      <c r="BL75" s="19"/>
      <c r="BM75" s="142">
        <f t="shared" ca="1" si="53"/>
        <v>8014.5768176674737</v>
      </c>
      <c r="BN75" s="142">
        <f t="shared" ca="1" si="54"/>
        <v>80.145768176674736</v>
      </c>
      <c r="BO75" s="142">
        <f t="shared" ca="1" si="55"/>
        <v>8.0145768176674743E-23</v>
      </c>
      <c r="BP75" s="367">
        <f t="shared" ca="1" si="57"/>
        <v>2.2256031633434676</v>
      </c>
      <c r="BQ75" s="195"/>
      <c r="BR75" s="195"/>
      <c r="BS75" s="195"/>
      <c r="BT75" s="195"/>
      <c r="BU75" s="454"/>
      <c r="BV75" s="454"/>
      <c r="BW75" s="195"/>
      <c r="BX75" s="454"/>
      <c r="BY75" s="260"/>
      <c r="BZ75" s="195"/>
      <c r="CA75" s="19"/>
    </row>
    <row r="76" spans="1:79" x14ac:dyDescent="0.2">
      <c r="A76" s="42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19"/>
      <c r="Y76" s="19"/>
      <c r="Z76" s="19"/>
      <c r="AA76" s="19"/>
      <c r="AB76" s="19"/>
      <c r="AC76" s="19"/>
      <c r="AD76" s="19"/>
      <c r="AE76" s="19"/>
      <c r="AF76" s="19"/>
      <c r="AG76" s="472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218"/>
      <c r="AX76" s="195"/>
      <c r="AY76" s="195"/>
      <c r="AZ76" s="195"/>
      <c r="BA76" s="195"/>
      <c r="BB76" s="454"/>
      <c r="BC76" s="454"/>
      <c r="BD76" s="455"/>
      <c r="BE76" s="195"/>
      <c r="BF76" s="454"/>
      <c r="BG76" s="260"/>
      <c r="BH76" s="142">
        <f t="shared" si="56"/>
        <v>71</v>
      </c>
      <c r="BI76" s="142">
        <f t="shared" si="51"/>
        <v>1.2391837689159739</v>
      </c>
      <c r="BJ76" s="142">
        <f t="shared" si="52"/>
        <v>8.7939472015833964</v>
      </c>
      <c r="BK76" s="19"/>
      <c r="BL76" s="19"/>
      <c r="BM76" s="142">
        <f t="shared" ca="1" si="53"/>
        <v>7628.3332111171121</v>
      </c>
      <c r="BN76" s="142">
        <f t="shared" ca="1" si="54"/>
        <v>76.28333211117112</v>
      </c>
      <c r="BO76" s="142">
        <f t="shared" ca="1" si="55"/>
        <v>7.6283332111171125E-23</v>
      </c>
      <c r="BP76" s="367">
        <f t="shared" ca="1" si="57"/>
        <v>2.1183454737465941</v>
      </c>
      <c r="BQ76" s="195"/>
      <c r="BR76" s="195"/>
      <c r="BS76" s="195"/>
      <c r="BT76" s="195"/>
      <c r="BU76" s="454"/>
      <c r="BV76" s="454"/>
      <c r="BW76" s="195"/>
      <c r="BX76" s="454"/>
      <c r="BY76" s="260"/>
      <c r="BZ76" s="195"/>
      <c r="CA76" s="19"/>
    </row>
    <row r="77" spans="1:79" x14ac:dyDescent="0.2">
      <c r="A77" s="42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19"/>
      <c r="Y77" s="19"/>
      <c r="Z77" s="19"/>
      <c r="AA77" s="19"/>
      <c r="AB77" s="19"/>
      <c r="AC77" s="19"/>
      <c r="AD77" s="19"/>
      <c r="AE77" s="19"/>
      <c r="AF77" s="19"/>
      <c r="AG77" s="472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218"/>
      <c r="AX77" s="195"/>
      <c r="AY77" s="195"/>
      <c r="AZ77" s="195"/>
      <c r="BA77" s="195"/>
      <c r="BB77" s="454"/>
      <c r="BC77" s="454"/>
      <c r="BD77" s="455"/>
      <c r="BE77" s="195"/>
      <c r="BF77" s="454"/>
      <c r="BG77" s="260"/>
      <c r="BH77" s="142">
        <f t="shared" si="56"/>
        <v>72</v>
      </c>
      <c r="BI77" s="142">
        <f t="shared" si="51"/>
        <v>1.2566370614359172</v>
      </c>
      <c r="BJ77" s="142">
        <f t="shared" si="52"/>
        <v>8.3777087639996637</v>
      </c>
      <c r="BK77" s="19"/>
      <c r="BL77" s="19"/>
      <c r="BM77" s="142">
        <f t="shared" ca="1" si="53"/>
        <v>7267.2660561321727</v>
      </c>
      <c r="BN77" s="142">
        <f t="shared" ca="1" si="54"/>
        <v>72.67266056132172</v>
      </c>
      <c r="BO77" s="142">
        <f t="shared" ca="1" si="55"/>
        <v>7.2672660561321734E-23</v>
      </c>
      <c r="BP77" s="367">
        <f t="shared" ca="1" si="57"/>
        <v>2.0180791439582948</v>
      </c>
      <c r="BQ77" s="195"/>
      <c r="BR77" s="195"/>
      <c r="BS77" s="195"/>
      <c r="BT77" s="195"/>
      <c r="BU77" s="454"/>
      <c r="BV77" s="454"/>
      <c r="BW77" s="195"/>
      <c r="BX77" s="454"/>
      <c r="BY77" s="260"/>
      <c r="BZ77" s="195"/>
      <c r="CA77" s="19"/>
    </row>
    <row r="78" spans="1:79" x14ac:dyDescent="0.2">
      <c r="A78" s="42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19"/>
      <c r="Y78" s="19"/>
      <c r="Z78" s="19"/>
      <c r="AA78" s="19"/>
      <c r="AB78" s="19"/>
      <c r="AC78" s="19"/>
      <c r="AD78" s="19"/>
      <c r="AE78" s="19"/>
      <c r="AF78" s="19"/>
      <c r="AG78" s="472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218"/>
      <c r="AX78" s="195"/>
      <c r="AY78" s="195"/>
      <c r="AZ78" s="195"/>
      <c r="BA78" s="195"/>
      <c r="BB78" s="454"/>
      <c r="BC78" s="454"/>
      <c r="BD78" s="455"/>
      <c r="BE78" s="195"/>
      <c r="BF78" s="454"/>
      <c r="BG78" s="260"/>
      <c r="BH78" s="142">
        <f t="shared" si="56"/>
        <v>73</v>
      </c>
      <c r="BI78" s="142">
        <f t="shared" si="51"/>
        <v>1.2740903539558606</v>
      </c>
      <c r="BJ78" s="142">
        <f t="shared" si="52"/>
        <v>7.9882125252664569</v>
      </c>
      <c r="BK78" s="19"/>
      <c r="BL78" s="19"/>
      <c r="BM78" s="142">
        <f t="shared" ca="1" si="53"/>
        <v>6929.3964936450639</v>
      </c>
      <c r="BN78" s="142">
        <f t="shared" ca="1" si="54"/>
        <v>69.293964936450635</v>
      </c>
      <c r="BO78" s="142">
        <f t="shared" ca="1" si="55"/>
        <v>6.9293964936450637E-23</v>
      </c>
      <c r="BP78" s="367">
        <f t="shared" ca="1" si="57"/>
        <v>1.9242546558816267</v>
      </c>
      <c r="BQ78" s="195"/>
      <c r="BR78" s="195"/>
      <c r="BS78" s="195"/>
      <c r="BT78" s="195"/>
      <c r="BU78" s="454"/>
      <c r="BV78" s="454"/>
      <c r="BW78" s="195"/>
      <c r="BX78" s="454"/>
      <c r="BY78" s="260"/>
      <c r="BZ78" s="195"/>
      <c r="CA78" s="19"/>
    </row>
    <row r="79" spans="1:79" x14ac:dyDescent="0.2">
      <c r="A79" s="42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19"/>
      <c r="Y79" s="19"/>
      <c r="Z79" s="19"/>
      <c r="AA79" s="19"/>
      <c r="AB79" s="19"/>
      <c r="AC79" s="19"/>
      <c r="AD79" s="19"/>
      <c r="AE79" s="19"/>
      <c r="AF79" s="19"/>
      <c r="AG79" s="472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218"/>
      <c r="AX79" s="195"/>
      <c r="AY79" s="195"/>
      <c r="AZ79" s="195"/>
      <c r="BA79" s="195"/>
      <c r="BB79" s="454"/>
      <c r="BC79" s="454"/>
      <c r="BD79" s="455"/>
      <c r="BE79" s="195"/>
      <c r="BF79" s="454"/>
      <c r="BG79" s="260"/>
      <c r="BH79" s="142">
        <f t="shared" si="56"/>
        <v>74</v>
      </c>
      <c r="BI79" s="142">
        <f t="shared" si="51"/>
        <v>1.2915436464758039</v>
      </c>
      <c r="BJ79" s="142">
        <f t="shared" si="52"/>
        <v>7.6233858296314985</v>
      </c>
      <c r="BK79" s="19"/>
      <c r="BL79" s="19"/>
      <c r="BM79" s="142">
        <f t="shared" ca="1" si="53"/>
        <v>6612.9265928349732</v>
      </c>
      <c r="BN79" s="142">
        <f t="shared" ca="1" si="54"/>
        <v>66.129265928349739</v>
      </c>
      <c r="BO79" s="142">
        <f t="shared" ca="1" si="55"/>
        <v>6.612926592834975E-23</v>
      </c>
      <c r="BP79" s="367">
        <f t="shared" ca="1" si="57"/>
        <v>1.836372734181996</v>
      </c>
      <c r="BQ79" s="195"/>
      <c r="BR79" s="195"/>
      <c r="BS79" s="195"/>
      <c r="BT79" s="195"/>
      <c r="BU79" s="454"/>
      <c r="BV79" s="454"/>
      <c r="BW79" s="195"/>
      <c r="BX79" s="454"/>
      <c r="BY79" s="260"/>
      <c r="BZ79" s="195"/>
      <c r="CA79" s="19"/>
    </row>
    <row r="80" spans="1:79" x14ac:dyDescent="0.2">
      <c r="A80" s="42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19"/>
      <c r="Y80" s="19"/>
      <c r="Z80" s="19"/>
      <c r="AA80" s="19"/>
      <c r="AB80" s="19"/>
      <c r="AC80" s="19"/>
      <c r="AD80" s="19"/>
      <c r="AE80" s="19"/>
      <c r="AF80" s="19"/>
      <c r="AG80" s="472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218"/>
      <c r="AX80" s="195"/>
      <c r="AY80" s="195"/>
      <c r="AZ80" s="195"/>
      <c r="BA80" s="195"/>
      <c r="BB80" s="454"/>
      <c r="BC80" s="454"/>
      <c r="BD80" s="455"/>
      <c r="BE80" s="195"/>
      <c r="BF80" s="454"/>
      <c r="BG80" s="260"/>
      <c r="BH80" s="142">
        <f t="shared" si="56"/>
        <v>75</v>
      </c>
      <c r="BI80" s="142">
        <f t="shared" si="51"/>
        <v>1.3089969389957472</v>
      </c>
      <c r="BJ80" s="142">
        <f t="shared" si="52"/>
        <v>7.2813429826737623</v>
      </c>
      <c r="BK80" s="19"/>
      <c r="BL80" s="19"/>
      <c r="BM80" s="142">
        <f t="shared" ca="1" si="53"/>
        <v>6316.2206029919889</v>
      </c>
      <c r="BN80" s="142">
        <f t="shared" ca="1" si="54"/>
        <v>63.162206029919886</v>
      </c>
      <c r="BO80" s="142">
        <f t="shared" ca="1" si="55"/>
        <v>6.316220602991989E-23</v>
      </c>
      <c r="BP80" s="367">
        <f t="shared" ca="1" si="57"/>
        <v>1.7539791400346643</v>
      </c>
      <c r="BQ80" s="195"/>
      <c r="BR80" s="195"/>
      <c r="BS80" s="195"/>
      <c r="BT80" s="195"/>
      <c r="BU80" s="454"/>
      <c r="BV80" s="454"/>
      <c r="BW80" s="195"/>
      <c r="BX80" s="454"/>
      <c r="BY80" s="260"/>
      <c r="BZ80" s="195"/>
      <c r="CA80" s="19"/>
    </row>
    <row r="81" spans="1:79" x14ac:dyDescent="0.2">
      <c r="A81" s="42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19"/>
      <c r="Y81" s="19"/>
      <c r="Z81" s="19"/>
      <c r="AA81" s="19"/>
      <c r="AB81" s="19"/>
      <c r="AC81" s="19"/>
      <c r="AD81" s="19"/>
      <c r="AE81" s="19"/>
      <c r="AF81" s="19"/>
      <c r="AG81" s="472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218"/>
      <c r="AX81" s="195"/>
      <c r="AY81" s="195"/>
      <c r="AZ81" s="195"/>
      <c r="BA81" s="195"/>
      <c r="BB81" s="454"/>
      <c r="BC81" s="454"/>
      <c r="BD81" s="455"/>
      <c r="BE81" s="195"/>
      <c r="BF81" s="454"/>
      <c r="BG81" s="260"/>
      <c r="BH81" s="142">
        <f t="shared" si="56"/>
        <v>76</v>
      </c>
      <c r="BI81" s="142">
        <f t="shared" si="51"/>
        <v>1.3264502315156905</v>
      </c>
      <c r="BJ81" s="142">
        <f t="shared" si="52"/>
        <v>6.9603661324792805</v>
      </c>
      <c r="BK81" s="19"/>
      <c r="BL81" s="19"/>
      <c r="BM81" s="142">
        <f t="shared" ca="1" si="53"/>
        <v>6037.7883688414977</v>
      </c>
      <c r="BN81" s="142">
        <f t="shared" ca="1" si="54"/>
        <v>60.377883688414975</v>
      </c>
      <c r="BO81" s="142">
        <f t="shared" ca="1" si="55"/>
        <v>6.0377883688414981E-23</v>
      </c>
      <c r="BP81" s="367">
        <f t="shared" ca="1" si="57"/>
        <v>1.6766600656530841</v>
      </c>
      <c r="BQ81" s="195"/>
      <c r="BR81" s="195"/>
      <c r="BS81" s="195"/>
      <c r="BT81" s="195"/>
      <c r="BU81" s="454"/>
      <c r="BV81" s="454"/>
      <c r="BW81" s="195"/>
      <c r="BX81" s="454"/>
      <c r="BY81" s="260"/>
      <c r="BZ81" s="195"/>
      <c r="CA81" s="19"/>
    </row>
    <row r="82" spans="1:79" x14ac:dyDescent="0.2">
      <c r="A82" s="42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19"/>
      <c r="Y82" s="19"/>
      <c r="Z82" s="19"/>
      <c r="AA82" s="19"/>
      <c r="AB82" s="19"/>
      <c r="AC82" s="19"/>
      <c r="AD82" s="19"/>
      <c r="AE82" s="19"/>
      <c r="AF82" s="19"/>
      <c r="AG82" s="472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218"/>
      <c r="AX82" s="195"/>
      <c r="AY82" s="195"/>
      <c r="AZ82" s="195"/>
      <c r="BA82" s="195"/>
      <c r="BB82" s="454"/>
      <c r="BC82" s="454"/>
      <c r="BD82" s="455"/>
      <c r="BE82" s="195"/>
      <c r="BF82" s="454"/>
      <c r="BG82" s="260"/>
      <c r="BH82" s="142">
        <f t="shared" si="56"/>
        <v>77</v>
      </c>
      <c r="BI82" s="142">
        <f t="shared" si="51"/>
        <v>1.3439035240356338</v>
      </c>
      <c r="BJ82" s="142">
        <f t="shared" si="52"/>
        <v>6.6588883286193106</v>
      </c>
      <c r="BK82" s="19"/>
      <c r="BL82" s="19"/>
      <c r="BM82" s="142">
        <f t="shared" ca="1" si="53"/>
        <v>5776.2706350091212</v>
      </c>
      <c r="BN82" s="142">
        <f t="shared" ca="1" si="54"/>
        <v>57.762706350091214</v>
      </c>
      <c r="BO82" s="142">
        <f t="shared" ca="1" si="55"/>
        <v>5.7762706350091224E-23</v>
      </c>
      <c r="BP82" s="367">
        <f t="shared" ca="1" si="57"/>
        <v>1.6040380534209844</v>
      </c>
      <c r="BQ82" s="195"/>
      <c r="BR82" s="195"/>
      <c r="BS82" s="195"/>
      <c r="BT82" s="195"/>
      <c r="BU82" s="454"/>
      <c r="BV82" s="454"/>
      <c r="BW82" s="195"/>
      <c r="BX82" s="454"/>
      <c r="BY82" s="260"/>
      <c r="BZ82" s="195"/>
      <c r="CA82" s="19"/>
    </row>
    <row r="83" spans="1:79" x14ac:dyDescent="0.2">
      <c r="A83" s="42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19"/>
      <c r="Y83" s="19"/>
      <c r="Z83" s="19"/>
      <c r="AA83" s="19"/>
      <c r="AB83" s="19"/>
      <c r="AC83" s="19"/>
      <c r="AD83" s="19"/>
      <c r="AE83" s="19"/>
      <c r="AF83" s="19"/>
      <c r="AG83" s="472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218"/>
      <c r="AX83" s="195"/>
      <c r="AY83" s="195"/>
      <c r="AZ83" s="195"/>
      <c r="BA83" s="195"/>
      <c r="BB83" s="454"/>
      <c r="BC83" s="454"/>
      <c r="BD83" s="455"/>
      <c r="BE83" s="195"/>
      <c r="BF83" s="454"/>
      <c r="BG83" s="260"/>
      <c r="BH83" s="142">
        <f t="shared" si="56"/>
        <v>78</v>
      </c>
      <c r="BI83" s="142">
        <f t="shared" si="51"/>
        <v>1.3613568165555769</v>
      </c>
      <c r="BJ83" s="142">
        <f t="shared" si="52"/>
        <v>6.3754784862944378</v>
      </c>
      <c r="BK83" s="19"/>
      <c r="BL83" s="19"/>
      <c r="BM83" s="142">
        <f t="shared" ca="1" si="53"/>
        <v>5530.426003126976</v>
      </c>
      <c r="BN83" s="142">
        <f t="shared" ca="1" si="54"/>
        <v>55.304260031269763</v>
      </c>
      <c r="BO83" s="142">
        <f t="shared" ca="1" si="55"/>
        <v>5.5304260031269771E-23</v>
      </c>
      <c r="BP83" s="367">
        <f t="shared" ca="1" si="57"/>
        <v>1.5357683739537216</v>
      </c>
      <c r="BQ83" s="195"/>
      <c r="BR83" s="195"/>
      <c r="BS83" s="195"/>
      <c r="BT83" s="195"/>
      <c r="BU83" s="454"/>
      <c r="BV83" s="454"/>
      <c r="BW83" s="195"/>
      <c r="BX83" s="454"/>
      <c r="BY83" s="260"/>
      <c r="BZ83" s="195"/>
      <c r="CA83" s="19"/>
    </row>
    <row r="84" spans="1:79" x14ac:dyDescent="0.2">
      <c r="A84" s="42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19"/>
      <c r="Y84" s="19"/>
      <c r="Z84" s="19"/>
      <c r="AA84" s="19"/>
      <c r="AB84" s="19"/>
      <c r="AC84" s="19"/>
      <c r="AD84" s="19"/>
      <c r="AE84" s="19"/>
      <c r="AF84" s="19"/>
      <c r="AG84" s="472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218"/>
      <c r="AX84" s="195"/>
      <c r="AY84" s="195"/>
      <c r="AZ84" s="195"/>
      <c r="BA84" s="195"/>
      <c r="BB84" s="454"/>
      <c r="BC84" s="454"/>
      <c r="BD84" s="455"/>
      <c r="BE84" s="195"/>
      <c r="BF84" s="454"/>
      <c r="BG84" s="260"/>
      <c r="BH84" s="142">
        <f t="shared" si="56"/>
        <v>79</v>
      </c>
      <c r="BI84" s="142">
        <f t="shared" si="51"/>
        <v>1.3788101090755203</v>
      </c>
      <c r="BJ84" s="142">
        <f t="shared" si="52"/>
        <v>6.1088280201270226</v>
      </c>
      <c r="BK84" s="19"/>
      <c r="BL84" s="19"/>
      <c r="BM84" s="142">
        <f t="shared" ca="1" si="53"/>
        <v>5299.1193372808921</v>
      </c>
      <c r="BN84" s="142">
        <f t="shared" ca="1" si="54"/>
        <v>52.991193372808922</v>
      </c>
      <c r="BO84" s="142">
        <f t="shared" ca="1" si="55"/>
        <v>5.2991193372808933E-23</v>
      </c>
      <c r="BP84" s="367">
        <f t="shared" ca="1" si="57"/>
        <v>1.4715358063558108</v>
      </c>
      <c r="BQ84" s="195"/>
      <c r="BR84" s="195"/>
      <c r="BS84" s="195"/>
      <c r="BT84" s="195"/>
      <c r="BU84" s="454"/>
      <c r="BV84" s="454"/>
      <c r="BW84" s="195"/>
      <c r="BX84" s="454"/>
      <c r="BY84" s="260"/>
      <c r="BZ84" s="195"/>
      <c r="CA84" s="19"/>
    </row>
    <row r="85" spans="1:79" x14ac:dyDescent="0.2">
      <c r="A85" s="42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19"/>
      <c r="AG85" s="472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19"/>
      <c r="AW85" s="218"/>
      <c r="AX85" s="195"/>
      <c r="AY85" s="195"/>
      <c r="AZ85" s="195"/>
      <c r="BA85" s="195"/>
      <c r="BB85" s="454"/>
      <c r="BC85" s="454"/>
      <c r="BD85" s="455"/>
      <c r="BE85" s="195"/>
      <c r="BF85" s="454"/>
      <c r="BG85" s="260"/>
      <c r="BH85" s="142">
        <f t="shared" si="56"/>
        <v>80</v>
      </c>
      <c r="BI85" s="142">
        <f t="shared" si="51"/>
        <v>1.3962634015954636</v>
      </c>
      <c r="BJ85" s="142">
        <f t="shared" si="52"/>
        <v>5.857738943753886</v>
      </c>
      <c r="BK85" s="19"/>
      <c r="BL85" s="19"/>
      <c r="BM85" s="142">
        <f t="shared" ca="1" si="53"/>
        <v>5081.311440970002</v>
      </c>
      <c r="BN85" s="142">
        <f t="shared" ca="1" si="54"/>
        <v>50.81311440970002</v>
      </c>
      <c r="BO85" s="142">
        <f t="shared" ca="1" si="55"/>
        <v>5.0813114409700027E-23</v>
      </c>
      <c r="BP85" s="367">
        <f t="shared" ca="1" si="57"/>
        <v>1.4110517715703306</v>
      </c>
      <c r="BQ85" s="195"/>
      <c r="BR85" s="195"/>
      <c r="BS85" s="195"/>
      <c r="BT85" s="195"/>
      <c r="BU85" s="454"/>
      <c r="BV85" s="454"/>
      <c r="BW85" s="195"/>
      <c r="BX85" s="454"/>
      <c r="BY85" s="260"/>
      <c r="BZ85" s="195"/>
      <c r="CA85" s="19"/>
    </row>
    <row r="86" spans="1:79" x14ac:dyDescent="0.2">
      <c r="A86" s="42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19"/>
      <c r="AG86" s="472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19"/>
      <c r="AW86" s="218"/>
      <c r="AX86" s="195"/>
      <c r="AY86" s="195"/>
      <c r="AZ86" s="195"/>
      <c r="BA86" s="195"/>
      <c r="BB86" s="454"/>
      <c r="BC86" s="454"/>
      <c r="BD86" s="455"/>
      <c r="BE86" s="195"/>
      <c r="BF86" s="454"/>
      <c r="BG86" s="260"/>
      <c r="BH86" s="142">
        <f t="shared" si="56"/>
        <v>81</v>
      </c>
      <c r="BI86" s="142">
        <f t="shared" si="51"/>
        <v>1.4137166941154069</v>
      </c>
      <c r="BJ86" s="142">
        <f t="shared" si="52"/>
        <v>5.6211132584476493</v>
      </c>
      <c r="BK86" s="19"/>
      <c r="BL86" s="19"/>
      <c r="BM86" s="142">
        <f t="shared" ca="1" si="53"/>
        <v>4876.0498522377084</v>
      </c>
      <c r="BN86" s="142">
        <f t="shared" ca="1" si="54"/>
        <v>48.760498522377084</v>
      </c>
      <c r="BO86" s="142">
        <f t="shared" ca="1" si="55"/>
        <v>4.8760498522377088E-23</v>
      </c>
      <c r="BP86" s="367">
        <f t="shared" ca="1" si="57"/>
        <v>1.3540517762382684</v>
      </c>
      <c r="BQ86" s="195"/>
      <c r="BR86" s="195"/>
      <c r="BS86" s="195"/>
      <c r="BT86" s="195"/>
      <c r="BU86" s="454"/>
      <c r="BV86" s="454"/>
      <c r="BW86" s="195"/>
      <c r="BX86" s="454"/>
      <c r="BY86" s="260"/>
      <c r="BZ86" s="195"/>
      <c r="CA86" s="19"/>
    </row>
    <row r="87" spans="1:79" x14ac:dyDescent="0.2">
      <c r="A87" s="42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19"/>
      <c r="AG87" s="472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19"/>
      <c r="AW87" s="218"/>
      <c r="AX87" s="195"/>
      <c r="AY87" s="195"/>
      <c r="AZ87" s="195"/>
      <c r="BA87" s="195"/>
      <c r="BB87" s="454"/>
      <c r="BC87" s="454"/>
      <c r="BD87" s="455"/>
      <c r="BE87" s="195"/>
      <c r="BF87" s="454"/>
      <c r="BG87" s="260"/>
      <c r="BH87" s="142">
        <f t="shared" si="56"/>
        <v>82</v>
      </c>
      <c r="BI87" s="142">
        <f t="shared" si="51"/>
        <v>1.4311699866353502</v>
      </c>
      <c r="BJ87" s="142">
        <f t="shared" si="52"/>
        <v>5.3979434771924355</v>
      </c>
      <c r="BK87" s="19"/>
      <c r="BL87" s="19"/>
      <c r="BM87" s="142">
        <f t="shared" ca="1" si="53"/>
        <v>4682.4606237556045</v>
      </c>
      <c r="BN87" s="142">
        <f t="shared" ca="1" si="54"/>
        <v>46.824606237556047</v>
      </c>
      <c r="BO87" s="142">
        <f t="shared" ca="1" si="55"/>
        <v>4.6824606237556051E-23</v>
      </c>
      <c r="BP87" s="367">
        <f t="shared" ca="1" si="57"/>
        <v>1.300293130073793</v>
      </c>
      <c r="BQ87" s="195"/>
      <c r="BR87" s="195"/>
      <c r="BS87" s="195"/>
      <c r="BT87" s="195"/>
      <c r="BU87" s="454"/>
      <c r="BV87" s="454"/>
      <c r="BW87" s="195"/>
      <c r="BX87" s="454"/>
      <c r="BY87" s="260"/>
      <c r="BZ87" s="195"/>
      <c r="CA87" s="19"/>
    </row>
    <row r="88" spans="1:79" x14ac:dyDescent="0.2">
      <c r="A88" s="42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19"/>
      <c r="AG88" s="472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19"/>
      <c r="AW88" s="218"/>
      <c r="AX88" s="195"/>
      <c r="AY88" s="195"/>
      <c r="AZ88" s="195"/>
      <c r="BA88" s="195"/>
      <c r="BB88" s="454"/>
      <c r="BC88" s="454"/>
      <c r="BD88" s="455"/>
      <c r="BE88" s="195"/>
      <c r="BF88" s="454"/>
      <c r="BG88" s="260"/>
      <c r="BH88" s="142">
        <f t="shared" si="56"/>
        <v>83</v>
      </c>
      <c r="BI88" s="142">
        <f t="shared" si="51"/>
        <v>1.4486232791552935</v>
      </c>
      <c r="BJ88" s="142">
        <f t="shared" si="52"/>
        <v>5.1873041505524</v>
      </c>
      <c r="BK88" s="19"/>
      <c r="BL88" s="19"/>
      <c r="BM88" s="142">
        <f t="shared" ca="1" si="53"/>
        <v>4499.7409719152784</v>
      </c>
      <c r="BN88" s="142">
        <f t="shared" ca="1" si="54"/>
        <v>44.997409719152785</v>
      </c>
      <c r="BO88" s="142">
        <f t="shared" ca="1" si="55"/>
        <v>4.4997409719152789E-23</v>
      </c>
      <c r="BP88" s="367">
        <f t="shared" ca="1" si="57"/>
        <v>1.2495529045581562</v>
      </c>
      <c r="BQ88" s="195"/>
      <c r="BR88" s="195"/>
      <c r="BS88" s="195"/>
      <c r="BT88" s="195"/>
      <c r="BU88" s="454"/>
      <c r="BV88" s="454"/>
      <c r="BW88" s="195"/>
      <c r="BX88" s="454"/>
      <c r="BY88" s="260"/>
      <c r="BZ88" s="195"/>
      <c r="CA88" s="19"/>
    </row>
    <row r="89" spans="1:79" x14ac:dyDescent="0.2">
      <c r="A89" s="42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19"/>
      <c r="AG89" s="472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19"/>
      <c r="AW89" s="218"/>
      <c r="AX89" s="195"/>
      <c r="AY89" s="195"/>
      <c r="AZ89" s="195"/>
      <c r="BA89" s="195"/>
      <c r="BB89" s="454"/>
      <c r="BC89" s="454"/>
      <c r="BD89" s="455"/>
      <c r="BE89" s="195"/>
      <c r="BF89" s="454"/>
      <c r="BG89" s="260"/>
      <c r="BH89" s="142">
        <f t="shared" si="56"/>
        <v>84</v>
      </c>
      <c r="BI89" s="142">
        <f t="shared" si="51"/>
        <v>1.4660765716752369</v>
      </c>
      <c r="BJ89" s="142">
        <f t="shared" si="52"/>
        <v>4.9883442777987428</v>
      </c>
      <c r="BK89" s="19"/>
      <c r="BL89" s="19"/>
      <c r="BM89" s="142">
        <f t="shared" ca="1" si="53"/>
        <v>4327.1526938399811</v>
      </c>
      <c r="BN89" s="142">
        <f t="shared" ca="1" si="54"/>
        <v>43.271526938399809</v>
      </c>
      <c r="BO89" s="142">
        <f t="shared" ca="1" si="55"/>
        <v>4.3271526938399813E-23</v>
      </c>
      <c r="BP89" s="367">
        <f t="shared" ca="1" si="57"/>
        <v>1.2016261048806434</v>
      </c>
      <c r="BQ89" s="195"/>
      <c r="BR89" s="195"/>
      <c r="BS89" s="195"/>
      <c r="BT89" s="195"/>
      <c r="BU89" s="454"/>
      <c r="BV89" s="454"/>
      <c r="BW89" s="195"/>
      <c r="BX89" s="454"/>
      <c r="BY89" s="260"/>
      <c r="BZ89" s="195"/>
      <c r="CA89" s="19"/>
    </row>
    <row r="90" spans="1:79" x14ac:dyDescent="0.2">
      <c r="A90" s="42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19"/>
      <c r="AG90" s="472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19"/>
      <c r="AW90" s="218"/>
      <c r="AX90" s="195"/>
      <c r="AY90" s="195"/>
      <c r="AZ90" s="195"/>
      <c r="BA90" s="195"/>
      <c r="BB90" s="454"/>
      <c r="BC90" s="454"/>
      <c r="BD90" s="455"/>
      <c r="BE90" s="195"/>
      <c r="BF90" s="454"/>
      <c r="BG90" s="260"/>
      <c r="BH90" s="142">
        <f t="shared" si="56"/>
        <v>85</v>
      </c>
      <c r="BI90" s="142">
        <f t="shared" si="51"/>
        <v>1.4835298641951802</v>
      </c>
      <c r="BJ90" s="142">
        <f t="shared" si="52"/>
        <v>4.8002805015191194</v>
      </c>
      <c r="BK90" s="19"/>
      <c r="BL90" s="19"/>
      <c r="BM90" s="142">
        <f t="shared" ca="1" si="53"/>
        <v>4164.0162640302096</v>
      </c>
      <c r="BN90" s="142">
        <f t="shared" ca="1" si="54"/>
        <v>41.640162640302094</v>
      </c>
      <c r="BO90" s="142">
        <f t="shared" ca="1" si="55"/>
        <v>4.1640162640302097E-23</v>
      </c>
      <c r="BP90" s="367">
        <f t="shared" ca="1" si="57"/>
        <v>1.1563240306100699</v>
      </c>
      <c r="BQ90" s="195"/>
      <c r="BR90" s="195"/>
      <c r="BS90" s="195"/>
      <c r="BT90" s="195"/>
      <c r="BU90" s="454"/>
      <c r="BV90" s="454"/>
      <c r="BW90" s="195"/>
      <c r="BX90" s="454"/>
      <c r="BY90" s="260"/>
      <c r="BZ90" s="195"/>
      <c r="CA90" s="19"/>
    </row>
    <row r="91" spans="1:79" x14ac:dyDescent="0.2">
      <c r="A91" s="42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19"/>
      <c r="AG91" s="472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19"/>
      <c r="AW91" s="218"/>
      <c r="AX91" s="195"/>
      <c r="AY91" s="195"/>
      <c r="AZ91" s="195"/>
      <c r="BA91" s="195"/>
      <c r="BB91" s="454"/>
      <c r="BC91" s="454"/>
      <c r="BD91" s="455"/>
      <c r="BE91" s="195"/>
      <c r="BF91" s="454"/>
      <c r="BG91" s="260"/>
      <c r="BH91" s="142">
        <f t="shared" si="56"/>
        <v>86</v>
      </c>
      <c r="BI91" s="142">
        <f t="shared" si="51"/>
        <v>1.5009831567151235</v>
      </c>
      <c r="BJ91" s="142">
        <f t="shared" si="52"/>
        <v>4.6223909966746186</v>
      </c>
      <c r="BK91" s="19"/>
      <c r="BL91" s="19"/>
      <c r="BM91" s="142">
        <f t="shared" ca="1" si="53"/>
        <v>4009.7055334097035</v>
      </c>
      <c r="BN91" s="142">
        <f t="shared" ca="1" si="54"/>
        <v>40.097055334097035</v>
      </c>
      <c r="BO91" s="142">
        <f t="shared" ca="1" si="55"/>
        <v>4.0097055334097041E-23</v>
      </c>
      <c r="BP91" s="367">
        <f t="shared" ca="1" si="57"/>
        <v>1.1134728036494943</v>
      </c>
      <c r="BQ91" s="195"/>
      <c r="BR91" s="195"/>
      <c r="BS91" s="195"/>
      <c r="BT91" s="195"/>
      <c r="BU91" s="454"/>
      <c r="BV91" s="454"/>
      <c r="BW91" s="195"/>
      <c r="BX91" s="454"/>
      <c r="BY91" s="260"/>
      <c r="BZ91" s="195"/>
      <c r="CA91" s="19"/>
    </row>
    <row r="92" spans="1:79" x14ac:dyDescent="0.2">
      <c r="A92" s="42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19"/>
      <c r="AG92" s="472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19"/>
      <c r="AW92" s="218"/>
      <c r="AX92" s="195"/>
      <c r="AY92" s="195"/>
      <c r="AZ92" s="195"/>
      <c r="BA92" s="195"/>
      <c r="BB92" s="454"/>
      <c r="BC92" s="454"/>
      <c r="BD92" s="455"/>
      <c r="BE92" s="195"/>
      <c r="BF92" s="454"/>
      <c r="BG92" s="260"/>
      <c r="BH92" s="142">
        <f t="shared" si="56"/>
        <v>87</v>
      </c>
      <c r="BI92" s="142">
        <f t="shared" si="51"/>
        <v>1.5184364492350666</v>
      </c>
      <c r="BJ92" s="142">
        <f t="shared" si="52"/>
        <v>4.4540099760885274</v>
      </c>
      <c r="BK92" s="19"/>
      <c r="BL92" s="19"/>
      <c r="BM92" s="142">
        <f t="shared" ca="1" si="53"/>
        <v>3863.6429630968642</v>
      </c>
      <c r="BN92" s="142">
        <f t="shared" ca="1" si="54"/>
        <v>38.636429630968642</v>
      </c>
      <c r="BO92" s="142">
        <f t="shared" ca="1" si="55"/>
        <v>3.8636429630968646E-23</v>
      </c>
      <c r="BP92" s="367">
        <f t="shared" ca="1" si="57"/>
        <v>1.0729120446811946</v>
      </c>
      <c r="BQ92" s="195"/>
      <c r="BR92" s="195"/>
      <c r="BS92" s="195"/>
      <c r="BT92" s="195"/>
      <c r="BU92" s="454"/>
      <c r="BV92" s="454"/>
      <c r="BW92" s="195"/>
      <c r="BX92" s="454"/>
      <c r="BY92" s="260"/>
      <c r="BZ92" s="195"/>
      <c r="CA92" s="19"/>
    </row>
    <row r="93" spans="1:79" x14ac:dyDescent="0.2">
      <c r="A93" s="42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19"/>
      <c r="AG93" s="472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19"/>
      <c r="AW93" s="218"/>
      <c r="AX93" s="195"/>
      <c r="AY93" s="195"/>
      <c r="AZ93" s="195"/>
      <c r="BA93" s="195"/>
      <c r="BB93" s="454"/>
      <c r="BC93" s="454"/>
      <c r="BD93" s="455"/>
      <c r="BE93" s="195"/>
      <c r="BF93" s="454"/>
      <c r="BG93" s="260"/>
      <c r="BH93" s="142">
        <f t="shared" si="56"/>
        <v>88</v>
      </c>
      <c r="BI93" s="142">
        <f t="shared" si="51"/>
        <v>1.5358897417550099</v>
      </c>
      <c r="BJ93" s="142">
        <f t="shared" si="52"/>
        <v>4.2945227438978701</v>
      </c>
      <c r="BK93" s="19"/>
      <c r="BL93" s="19"/>
      <c r="BM93" s="142">
        <f t="shared" ca="1" si="53"/>
        <v>3725.2953335079487</v>
      </c>
      <c r="BN93" s="142">
        <f t="shared" ca="1" si="54"/>
        <v>37.252953335079489</v>
      </c>
      <c r="BO93" s="142">
        <f t="shared" ca="1" si="55"/>
        <v>3.7252953335079492E-23</v>
      </c>
      <c r="BP93" s="367">
        <f t="shared" ca="1" si="57"/>
        <v>1.0344936816086234</v>
      </c>
      <c r="BQ93" s="195"/>
      <c r="BR93" s="195"/>
      <c r="BS93" s="195"/>
      <c r="BT93" s="195"/>
      <c r="BU93" s="454"/>
      <c r="BV93" s="454"/>
      <c r="BW93" s="195"/>
      <c r="BX93" s="454"/>
      <c r="BY93" s="260"/>
      <c r="BZ93" s="195"/>
      <c r="CA93" s="19"/>
    </row>
    <row r="94" spans="1:79" x14ac:dyDescent="0.2">
      <c r="A94" s="42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19"/>
      <c r="AG94" s="472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19"/>
      <c r="AW94" s="218"/>
      <c r="AX94" s="195"/>
      <c r="AY94" s="195"/>
      <c r="AZ94" s="195"/>
      <c r="BA94" s="195"/>
      <c r="BB94" s="454"/>
      <c r="BC94" s="454"/>
      <c r="BD94" s="455"/>
      <c r="BE94" s="195"/>
      <c r="BF94" s="454"/>
      <c r="BG94" s="260"/>
      <c r="BH94" s="142">
        <f t="shared" si="56"/>
        <v>89</v>
      </c>
      <c r="BI94" s="142">
        <f t="shared" si="51"/>
        <v>1.5533430342749532</v>
      </c>
      <c r="BJ94" s="142">
        <f t="shared" si="52"/>
        <v>4.143361236783889</v>
      </c>
      <c r="BK94" s="19"/>
      <c r="BL94" s="19"/>
      <c r="BM94" s="142">
        <f t="shared" ca="1" si="53"/>
        <v>3594.1698765854335</v>
      </c>
      <c r="BN94" s="142">
        <f t="shared" ca="1" si="54"/>
        <v>35.941698765854333</v>
      </c>
      <c r="BO94" s="142">
        <f t="shared" ca="1" si="55"/>
        <v>3.5941698765854335E-23</v>
      </c>
      <c r="BP94" s="367">
        <f t="shared" ca="1" si="57"/>
        <v>0.99808087549785207</v>
      </c>
      <c r="BQ94" s="195"/>
      <c r="BR94" s="195"/>
      <c r="BS94" s="195"/>
      <c r="BT94" s="195"/>
      <c r="BU94" s="454"/>
      <c r="BV94" s="454"/>
      <c r="BW94" s="195"/>
      <c r="BX94" s="454"/>
      <c r="BY94" s="260"/>
      <c r="BZ94" s="195"/>
      <c r="CA94" s="19"/>
    </row>
    <row r="95" spans="1:79" x14ac:dyDescent="0.2">
      <c r="A95" s="42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19"/>
      <c r="AG95" s="472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19"/>
      <c r="AW95" s="218"/>
      <c r="AX95" s="195"/>
      <c r="AY95" s="195"/>
      <c r="AZ95" s="195"/>
      <c r="BA95" s="195"/>
      <c r="BB95" s="454"/>
      <c r="BC95" s="454"/>
      <c r="BD95" s="455"/>
      <c r="BE95" s="195"/>
      <c r="BF95" s="454"/>
      <c r="BG95" s="260"/>
      <c r="BH95" s="142">
        <f t="shared" si="56"/>
        <v>90</v>
      </c>
      <c r="BI95" s="142">
        <f t="shared" si="51"/>
        <v>1.5707963267948966</v>
      </c>
      <c r="BJ95" s="142">
        <f t="shared" si="52"/>
        <v>4.0000000000000018</v>
      </c>
      <c r="BK95" s="19"/>
      <c r="BL95" s="19"/>
      <c r="BM95" s="142">
        <f t="shared" ca="1" si="53"/>
        <v>3469.8107851926125</v>
      </c>
      <c r="BN95" s="142">
        <f t="shared" ca="1" si="54"/>
        <v>34.698107851926125</v>
      </c>
      <c r="BO95" s="142">
        <f t="shared" ca="1" si="55"/>
        <v>3.4698107851926126E-23</v>
      </c>
      <c r="BP95" s="367">
        <f t="shared" ca="1" si="57"/>
        <v>0.96354705125597118</v>
      </c>
      <c r="BQ95" s="195"/>
      <c r="BR95" s="195"/>
      <c r="BS95" s="195"/>
      <c r="BT95" s="195"/>
      <c r="BU95" s="454"/>
      <c r="BV95" s="454"/>
      <c r="BW95" s="195"/>
      <c r="BX95" s="454"/>
      <c r="BY95" s="260"/>
      <c r="BZ95" s="195"/>
      <c r="CA95" s="19"/>
    </row>
    <row r="96" spans="1:79" x14ac:dyDescent="0.2">
      <c r="A96" s="42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19"/>
      <c r="AG96" s="472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19"/>
      <c r="AW96" s="218"/>
      <c r="AX96" s="195"/>
      <c r="AY96" s="195"/>
      <c r="AZ96" s="195"/>
      <c r="BA96" s="195"/>
      <c r="BB96" s="454"/>
      <c r="BC96" s="454"/>
      <c r="BD96" s="455"/>
      <c r="BE96" s="195"/>
      <c r="BF96" s="454"/>
      <c r="BG96" s="260"/>
      <c r="BH96" s="142">
        <f t="shared" si="56"/>
        <v>91</v>
      </c>
      <c r="BI96" s="142">
        <f t="shared" si="51"/>
        <v>1.5882496193148399</v>
      </c>
      <c r="BJ96" s="142">
        <f t="shared" si="52"/>
        <v>3.8639525514872033</v>
      </c>
      <c r="BK96" s="19"/>
      <c r="BL96" s="19"/>
      <c r="BM96" s="142">
        <f t="shared" ca="1" si="53"/>
        <v>3351.7960591557016</v>
      </c>
      <c r="BN96" s="142">
        <f t="shared" ca="1" si="54"/>
        <v>33.517960591557014</v>
      </c>
      <c r="BO96" s="142">
        <f t="shared" ca="1" si="55"/>
        <v>3.3517960591557016E-23</v>
      </c>
      <c r="BP96" s="367">
        <f t="shared" ca="1" si="57"/>
        <v>0.93077502179461968</v>
      </c>
      <c r="BQ96" s="195"/>
      <c r="BR96" s="195"/>
      <c r="BS96" s="195"/>
      <c r="BT96" s="195"/>
      <c r="BU96" s="454"/>
      <c r="BV96" s="454"/>
      <c r="BW96" s="195"/>
      <c r="BX96" s="454"/>
      <c r="BY96" s="260"/>
      <c r="BZ96" s="195"/>
      <c r="CA96" s="19"/>
    </row>
    <row r="97" spans="1:79" x14ac:dyDescent="0.2">
      <c r="A97" s="42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19"/>
      <c r="AG97" s="472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19"/>
      <c r="AW97" s="218"/>
      <c r="AX97" s="195"/>
      <c r="AY97" s="195"/>
      <c r="AZ97" s="195"/>
      <c r="BA97" s="195"/>
      <c r="BB97" s="454"/>
      <c r="BC97" s="454"/>
      <c r="BD97" s="455"/>
      <c r="BE97" s="195"/>
      <c r="BF97" s="454"/>
      <c r="BG97" s="260"/>
      <c r="BH97" s="142">
        <f t="shared" si="56"/>
        <v>92</v>
      </c>
      <c r="BI97" s="142">
        <f t="shared" si="51"/>
        <v>1.6057029118347832</v>
      </c>
      <c r="BJ97" s="142">
        <f t="shared" si="52"/>
        <v>3.7347680928362337</v>
      </c>
      <c r="BK97" s="19"/>
      <c r="BL97" s="19"/>
      <c r="BM97" s="142">
        <f t="shared" ca="1" si="53"/>
        <v>3239.7346521791005</v>
      </c>
      <c r="BN97" s="142">
        <f t="shared" ca="1" si="54"/>
        <v>32.397346521791007</v>
      </c>
      <c r="BO97" s="142">
        <f t="shared" ca="1" si="55"/>
        <v>3.239734652179101E-23</v>
      </c>
      <c r="BP97" s="367">
        <f t="shared" ca="1" si="57"/>
        <v>0.89965619574430977</v>
      </c>
      <c r="BQ97" s="195"/>
      <c r="BR97" s="195"/>
      <c r="BS97" s="195"/>
      <c r="BT97" s="195"/>
      <c r="BU97" s="454"/>
      <c r="BV97" s="454"/>
      <c r="BW97" s="195"/>
      <c r="BX97" s="454"/>
      <c r="BY97" s="260"/>
      <c r="BZ97" s="195"/>
      <c r="CA97" s="19"/>
    </row>
    <row r="98" spans="1:79" x14ac:dyDescent="0.2">
      <c r="A98" s="42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9"/>
      <c r="AG98" s="472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19"/>
      <c r="AW98" s="218"/>
      <c r="AX98" s="195"/>
      <c r="AY98" s="195"/>
      <c r="AZ98" s="195"/>
      <c r="BA98" s="195"/>
      <c r="BB98" s="454"/>
      <c r="BC98" s="454"/>
      <c r="BD98" s="455"/>
      <c r="BE98" s="195"/>
      <c r="BF98" s="454"/>
      <c r="BG98" s="260"/>
      <c r="BH98" s="142">
        <f t="shared" si="56"/>
        <v>93</v>
      </c>
      <c r="BI98" s="142">
        <f t="shared" si="51"/>
        <v>1.6231562043547265</v>
      </c>
      <c r="BJ98" s="142">
        <f t="shared" si="52"/>
        <v>3.6120285306332343</v>
      </c>
      <c r="BK98" s="19"/>
      <c r="BL98" s="19"/>
      <c r="BM98" s="142">
        <f t="shared" ca="1" si="53"/>
        <v>3133.2638880036538</v>
      </c>
      <c r="BN98" s="142">
        <f t="shared" ca="1" si="54"/>
        <v>31.332638880036537</v>
      </c>
      <c r="BO98" s="142">
        <f t="shared" ca="1" si="55"/>
        <v>3.1332638880036539E-23</v>
      </c>
      <c r="BP98" s="367">
        <f t="shared" ca="1" si="57"/>
        <v>0.87008985993602228</v>
      </c>
      <c r="BQ98" s="195"/>
      <c r="BR98" s="195"/>
      <c r="BS98" s="195"/>
      <c r="BT98" s="195"/>
      <c r="BU98" s="454"/>
      <c r="BV98" s="454"/>
      <c r="BW98" s="195"/>
      <c r="BX98" s="454"/>
      <c r="BY98" s="260"/>
      <c r="BZ98" s="195"/>
      <c r="CA98" s="19"/>
    </row>
    <row r="99" spans="1:79" x14ac:dyDescent="0.2">
      <c r="A99" s="42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19"/>
      <c r="AG99" s="472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19"/>
      <c r="AW99" s="218"/>
      <c r="AX99" s="195"/>
      <c r="AY99" s="195"/>
      <c r="AZ99" s="195"/>
      <c r="BA99" s="195"/>
      <c r="BB99" s="454"/>
      <c r="BC99" s="454"/>
      <c r="BD99" s="455"/>
      <c r="BE99" s="195"/>
      <c r="BF99" s="454"/>
      <c r="BG99" s="260"/>
      <c r="BH99" s="142">
        <f t="shared" si="56"/>
        <v>94</v>
      </c>
      <c r="BI99" s="142">
        <f t="shared" si="51"/>
        <v>1.6406094968746698</v>
      </c>
      <c r="BJ99" s="142">
        <f t="shared" si="52"/>
        <v>3.4953457759050983</v>
      </c>
      <c r="BK99" s="19"/>
      <c r="BL99" s="19"/>
      <c r="BM99" s="142">
        <f t="shared" ca="1" si="53"/>
        <v>3032.0471178032362</v>
      </c>
      <c r="BN99" s="142">
        <f t="shared" ca="1" si="54"/>
        <v>30.320471178032363</v>
      </c>
      <c r="BO99" s="142">
        <f t="shared" ca="1" si="55"/>
        <v>3.0320471178032369E-23</v>
      </c>
      <c r="BP99" s="367">
        <f t="shared" ca="1" si="57"/>
        <v>0.84198252887334279</v>
      </c>
      <c r="BQ99" s="195"/>
      <c r="BR99" s="195"/>
      <c r="BS99" s="195"/>
      <c r="BT99" s="195"/>
      <c r="BU99" s="454"/>
      <c r="BV99" s="454"/>
      <c r="BW99" s="195"/>
      <c r="BX99" s="454"/>
      <c r="BY99" s="260"/>
      <c r="BZ99" s="195"/>
      <c r="CA99" s="19"/>
    </row>
    <row r="100" spans="1:79" x14ac:dyDescent="0.2">
      <c r="A100" s="42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19"/>
      <c r="AG100" s="472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19"/>
      <c r="AW100" s="218"/>
      <c r="AX100" s="195"/>
      <c r="AY100" s="195"/>
      <c r="AZ100" s="195"/>
      <c r="BA100" s="195"/>
      <c r="BB100" s="454"/>
      <c r="BC100" s="454"/>
      <c r="BD100" s="455"/>
      <c r="BE100" s="195"/>
      <c r="BF100" s="454"/>
      <c r="BG100" s="260"/>
      <c r="BH100" s="142">
        <f t="shared" si="56"/>
        <v>95</v>
      </c>
      <c r="BI100" s="142">
        <f t="shared" si="51"/>
        <v>1.6580627893946132</v>
      </c>
      <c r="BJ100" s="142">
        <f t="shared" si="52"/>
        <v>3.3843592930422601</v>
      </c>
      <c r="BK100" s="19"/>
      <c r="BL100" s="19"/>
      <c r="BM100" s="142">
        <f t="shared" ca="1" si="53"/>
        <v>2935.7715939912187</v>
      </c>
      <c r="BN100" s="142">
        <f t="shared" ca="1" si="54"/>
        <v>29.357715939912186</v>
      </c>
      <c r="BO100" s="142">
        <f t="shared" ca="1" si="55"/>
        <v>2.9357715939912191E-23</v>
      </c>
      <c r="BP100" s="367">
        <f t="shared" ca="1" si="57"/>
        <v>0.81524735430040296</v>
      </c>
      <c r="BQ100" s="195"/>
      <c r="BR100" s="195"/>
      <c r="BS100" s="195"/>
      <c r="BT100" s="195"/>
      <c r="BU100" s="454"/>
      <c r="BV100" s="454"/>
      <c r="BW100" s="195"/>
      <c r="BX100" s="454"/>
      <c r="BY100" s="260"/>
      <c r="BZ100" s="195"/>
      <c r="CA100" s="19"/>
    </row>
    <row r="101" spans="1:79" x14ac:dyDescent="0.2">
      <c r="A101" s="42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19"/>
      <c r="AG101" s="472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19"/>
      <c r="AW101" s="218"/>
      <c r="AX101" s="195"/>
      <c r="AY101" s="195"/>
      <c r="AZ101" s="195"/>
      <c r="BA101" s="195"/>
      <c r="BB101" s="454"/>
      <c r="BC101" s="454"/>
      <c r="BD101" s="455"/>
      <c r="BE101" s="195"/>
      <c r="BF101" s="454"/>
      <c r="BG101" s="260"/>
      <c r="BH101" s="142">
        <f t="shared" si="56"/>
        <v>96</v>
      </c>
      <c r="BI101" s="142">
        <f t="shared" si="51"/>
        <v>1.6755160819145565</v>
      </c>
      <c r="BJ101" s="142">
        <f t="shared" si="52"/>
        <v>3.2787338727895219</v>
      </c>
      <c r="BK101" s="19"/>
      <c r="BL101" s="19"/>
      <c r="BM101" s="142">
        <f t="shared" ca="1" si="53"/>
        <v>2844.1465383953555</v>
      </c>
      <c r="BN101" s="142">
        <f t="shared" ca="1" si="54"/>
        <v>28.441465383953556</v>
      </c>
      <c r="BO101" s="142">
        <f t="shared" ca="1" si="55"/>
        <v>2.8441465383953556E-23</v>
      </c>
      <c r="BP101" s="367">
        <f t="shared" ca="1" si="57"/>
        <v>0.78980358874485324</v>
      </c>
      <c r="BQ101" s="195"/>
      <c r="BR101" s="195"/>
      <c r="BS101" s="195"/>
      <c r="BT101" s="195"/>
      <c r="BU101" s="454"/>
      <c r="BV101" s="454"/>
      <c r="BW101" s="195"/>
      <c r="BX101" s="454"/>
      <c r="BY101" s="260"/>
      <c r="BZ101" s="195"/>
      <c r="CA101" s="19"/>
    </row>
    <row r="102" spans="1:79" x14ac:dyDescent="0.2">
      <c r="A102" s="42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19"/>
      <c r="AG102" s="472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19"/>
      <c r="AW102" s="218"/>
      <c r="AX102" s="195"/>
      <c r="AY102" s="195"/>
      <c r="AZ102" s="195"/>
      <c r="BA102" s="195"/>
      <c r="BB102" s="454"/>
      <c r="BC102" s="454"/>
      <c r="BD102" s="455"/>
      <c r="BE102" s="195"/>
      <c r="BF102" s="454"/>
      <c r="BG102" s="260"/>
      <c r="BH102" s="142">
        <f t="shared" si="56"/>
        <v>97</v>
      </c>
      <c r="BI102" s="142">
        <f t="shared" si="51"/>
        <v>1.6929693744344996</v>
      </c>
      <c r="BJ102" s="142">
        <f t="shared" si="52"/>
        <v>3.178157606718333</v>
      </c>
      <c r="BK102" s="19"/>
      <c r="BL102" s="19"/>
      <c r="BM102" s="142">
        <f t="shared" ca="1" si="53"/>
        <v>2756.9013852083021</v>
      </c>
      <c r="BN102" s="142">
        <f t="shared" ca="1" si="54"/>
        <v>27.569013852083021</v>
      </c>
      <c r="BO102" s="142">
        <f t="shared" ca="1" si="55"/>
        <v>2.7569013852083022E-23</v>
      </c>
      <c r="BP102" s="367">
        <f t="shared" ca="1" si="57"/>
        <v>0.76557609759504575</v>
      </c>
      <c r="BQ102" s="195"/>
      <c r="BR102" s="195"/>
      <c r="BS102" s="195"/>
      <c r="BT102" s="195"/>
      <c r="BU102" s="454"/>
      <c r="BV102" s="454"/>
      <c r="BW102" s="195"/>
      <c r="BX102" s="454"/>
      <c r="BY102" s="260"/>
      <c r="BZ102" s="195"/>
      <c r="CA102" s="19"/>
    </row>
    <row r="103" spans="1:79" x14ac:dyDescent="0.2">
      <c r="A103" s="42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19"/>
      <c r="AG103" s="472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19"/>
      <c r="AW103" s="218"/>
      <c r="AX103" s="195"/>
      <c r="AY103" s="195"/>
      <c r="AZ103" s="195"/>
      <c r="BA103" s="195"/>
      <c r="BB103" s="454"/>
      <c r="BC103" s="454"/>
      <c r="BD103" s="455"/>
      <c r="BE103" s="195"/>
      <c r="BF103" s="454"/>
      <c r="BG103" s="260"/>
      <c r="BH103" s="142">
        <f t="shared" si="56"/>
        <v>98</v>
      </c>
      <c r="BI103" s="142">
        <f t="shared" si="51"/>
        <v>1.7104226669544429</v>
      </c>
      <c r="BJ103" s="142">
        <f t="shared" si="52"/>
        <v>3.0823400430778309</v>
      </c>
      <c r="BK103" s="19"/>
      <c r="BL103" s="19"/>
      <c r="BM103" s="142">
        <f t="shared" ca="1" si="53"/>
        <v>2673.7841812756287</v>
      </c>
      <c r="BN103" s="142">
        <f t="shared" ca="1" si="54"/>
        <v>26.737841812756287</v>
      </c>
      <c r="BO103" s="142">
        <f t="shared" ca="1" si="55"/>
        <v>2.6737841812756289E-23</v>
      </c>
      <c r="BP103" s="367">
        <f t="shared" ca="1" si="57"/>
        <v>0.74249491486896146</v>
      </c>
      <c r="BQ103" s="195"/>
      <c r="BR103" s="195"/>
      <c r="BS103" s="195"/>
      <c r="BT103" s="195"/>
      <c r="BU103" s="454"/>
      <c r="BV103" s="454"/>
      <c r="BW103" s="195"/>
      <c r="BX103" s="454"/>
      <c r="BY103" s="260"/>
      <c r="BZ103" s="195"/>
      <c r="CA103" s="19"/>
    </row>
    <row r="104" spans="1:79" x14ac:dyDescent="0.2">
      <c r="A104" s="473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19"/>
      <c r="AG104" s="472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19"/>
      <c r="AW104" s="218"/>
      <c r="AX104" s="195"/>
      <c r="AY104" s="195"/>
      <c r="AZ104" s="195"/>
      <c r="BA104" s="195"/>
      <c r="BB104" s="454"/>
      <c r="BC104" s="454"/>
      <c r="BD104" s="455"/>
      <c r="BE104" s="195"/>
      <c r="BF104" s="454"/>
      <c r="BG104" s="260"/>
      <c r="BH104" s="142">
        <f t="shared" si="56"/>
        <v>99</v>
      </c>
      <c r="BI104" s="142">
        <f t="shared" si="51"/>
        <v>1.7278759594743862</v>
      </c>
      <c r="BJ104" s="142">
        <f t="shared" si="52"/>
        <v>2.9910105061103991</v>
      </c>
      <c r="BK104" s="19"/>
      <c r="BL104" s="19"/>
      <c r="BM104" s="142">
        <f t="shared" ca="1" si="53"/>
        <v>2594.5601281815684</v>
      </c>
      <c r="BN104" s="142">
        <f t="shared" ca="1" si="54"/>
        <v>25.945601281815684</v>
      </c>
      <c r="BO104" s="142">
        <f t="shared" ca="1" si="55"/>
        <v>2.5945601281815687E-23</v>
      </c>
      <c r="BP104" s="367">
        <f t="shared" ca="1" si="57"/>
        <v>0.72049483835957606</v>
      </c>
      <c r="BQ104" s="195"/>
      <c r="BR104" s="195"/>
      <c r="BS104" s="195"/>
      <c r="BT104" s="195"/>
      <c r="BU104" s="454"/>
      <c r="BV104" s="454"/>
      <c r="BW104" s="195"/>
      <c r="BX104" s="454"/>
      <c r="BY104" s="260"/>
      <c r="BZ104" s="195"/>
      <c r="CA104" s="19"/>
    </row>
    <row r="105" spans="1:79" x14ac:dyDescent="0.2">
      <c r="A105" s="427" t="s">
        <v>120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19"/>
      <c r="Y105" s="19"/>
      <c r="Z105" s="19"/>
      <c r="AA105" s="19"/>
      <c r="AB105" s="19"/>
      <c r="AC105" s="19"/>
      <c r="AD105" s="19"/>
      <c r="AE105" s="19"/>
      <c r="AF105" s="19"/>
      <c r="AG105" s="472"/>
      <c r="AH105" s="19"/>
      <c r="AI105" s="19"/>
      <c r="AJ105" s="19"/>
      <c r="AK105" s="19"/>
      <c r="AL105" s="19"/>
      <c r="AM105" s="19"/>
      <c r="AN105" s="48"/>
      <c r="AO105" s="48"/>
      <c r="AP105" s="48"/>
      <c r="AQ105" s="48"/>
      <c r="AR105" s="48"/>
      <c r="AS105" s="48"/>
      <c r="AT105" s="48"/>
      <c r="AU105" s="48"/>
      <c r="AV105" s="19"/>
      <c r="AW105" s="218"/>
      <c r="AX105" s="195"/>
      <c r="AY105" s="195"/>
      <c r="AZ105" s="195"/>
      <c r="BA105" s="195"/>
      <c r="BB105" s="454"/>
      <c r="BC105" s="454"/>
      <c r="BD105" s="455"/>
      <c r="BE105" s="195"/>
      <c r="BF105" s="454"/>
      <c r="BG105" s="260"/>
      <c r="BH105" s="142">
        <f t="shared" si="56"/>
        <v>100</v>
      </c>
      <c r="BI105" s="142">
        <f t="shared" si="51"/>
        <v>1.7453292519943295</v>
      </c>
      <c r="BJ105" s="142">
        <f t="shared" si="52"/>
        <v>2.9039165628482757</v>
      </c>
      <c r="BK105" s="19"/>
      <c r="BL105" s="19"/>
      <c r="BM105" s="142">
        <f t="shared" ca="1" si="53"/>
        <v>2519.0102522676011</v>
      </c>
      <c r="BN105" s="142">
        <f t="shared" ca="1" si="54"/>
        <v>25.19010252267601</v>
      </c>
      <c r="BO105" s="142">
        <f t="shared" ca="1" si="55"/>
        <v>2.5190102522676014E-23</v>
      </c>
      <c r="BP105" s="367">
        <f t="shared" ca="1" si="57"/>
        <v>0.69951506030645749</v>
      </c>
      <c r="BQ105" s="195"/>
      <c r="BR105" s="195"/>
      <c r="BS105" s="195"/>
      <c r="BT105" s="195"/>
      <c r="BU105" s="454"/>
      <c r="BV105" s="454"/>
      <c r="BW105" s="195"/>
      <c r="BX105" s="454"/>
      <c r="BY105" s="260"/>
      <c r="BZ105" s="195"/>
      <c r="CA105" s="19"/>
    </row>
    <row r="106" spans="1:79" x14ac:dyDescent="0.2">
      <c r="A106" s="42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19"/>
      <c r="Y106" s="19"/>
      <c r="Z106" s="195"/>
      <c r="AA106" s="19"/>
      <c r="AB106" s="19"/>
      <c r="AC106" s="19"/>
      <c r="AD106" s="19"/>
      <c r="AE106" s="19"/>
      <c r="AF106" s="19"/>
      <c r="AG106" s="472"/>
      <c r="AH106" s="19"/>
      <c r="AI106" s="19"/>
      <c r="AJ106" s="19"/>
      <c r="AK106" s="19"/>
      <c r="AL106" s="19"/>
      <c r="AM106" s="19"/>
      <c r="AN106" s="48"/>
      <c r="AO106" s="48"/>
      <c r="AP106" s="48"/>
      <c r="AQ106" s="48"/>
      <c r="AR106" s="48"/>
      <c r="AS106" s="48"/>
      <c r="AT106" s="48"/>
      <c r="AU106" s="48"/>
      <c r="AV106" s="19"/>
      <c r="AW106" s="218"/>
      <c r="AX106" s="195"/>
      <c r="AY106" s="195"/>
      <c r="AZ106" s="195"/>
      <c r="BA106" s="195"/>
      <c r="BB106" s="454"/>
      <c r="BC106" s="454"/>
      <c r="BD106" s="455"/>
      <c r="BE106" s="195"/>
      <c r="BF106" s="454"/>
      <c r="BG106" s="260"/>
      <c r="BH106" s="142">
        <f t="shared" si="56"/>
        <v>101</v>
      </c>
      <c r="BI106" s="142">
        <f t="shared" si="51"/>
        <v>1.7627825445142729</v>
      </c>
      <c r="BJ106" s="142">
        <f t="shared" si="52"/>
        <v>2.820822623113572</v>
      </c>
      <c r="BK106" s="19"/>
      <c r="BL106" s="19"/>
      <c r="BM106" s="142">
        <f t="shared" ca="1" si="53"/>
        <v>2446.930190198696</v>
      </c>
      <c r="BN106" s="142">
        <f t="shared" ca="1" si="54"/>
        <v>24.46930190198696</v>
      </c>
      <c r="BO106" s="142">
        <f t="shared" ca="1" si="55"/>
        <v>2.4469301901986963E-23</v>
      </c>
      <c r="BP106" s="367">
        <f t="shared" ca="1" si="57"/>
        <v>0.67949883015430368</v>
      </c>
      <c r="BQ106" s="195"/>
      <c r="BR106" s="195"/>
      <c r="BS106" s="195"/>
      <c r="BT106" s="195"/>
      <c r="BU106" s="454"/>
      <c r="BV106" s="454"/>
      <c r="BW106" s="195"/>
      <c r="BX106" s="454"/>
      <c r="BY106" s="260"/>
      <c r="BZ106" s="195"/>
      <c r="CA106" s="19"/>
    </row>
    <row r="107" spans="1:79" x14ac:dyDescent="0.2">
      <c r="A107" s="42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19"/>
      <c r="Y107" s="19"/>
      <c r="Z107" s="454"/>
      <c r="AA107" s="19"/>
      <c r="AB107" s="19"/>
      <c r="AC107" s="19"/>
      <c r="AD107" s="19"/>
      <c r="AE107" s="19"/>
      <c r="AF107" s="19"/>
      <c r="AG107" s="472"/>
      <c r="AH107" s="19"/>
      <c r="AI107" s="19"/>
      <c r="AJ107" s="19"/>
      <c r="AK107" s="19"/>
      <c r="AL107" s="19"/>
      <c r="AM107" s="19"/>
      <c r="AN107" s="48"/>
      <c r="AO107" s="48"/>
      <c r="AP107" s="48"/>
      <c r="AQ107" s="48"/>
      <c r="AR107" s="48"/>
      <c r="AS107" s="48"/>
      <c r="AT107" s="48"/>
      <c r="AU107" s="48"/>
      <c r="AV107" s="19"/>
      <c r="AW107" s="218"/>
      <c r="AX107" s="195"/>
      <c r="AY107" s="195"/>
      <c r="AZ107" s="195"/>
      <c r="BA107" s="195"/>
      <c r="BB107" s="454"/>
      <c r="BC107" s="454"/>
      <c r="BD107" s="455"/>
      <c r="BE107" s="195"/>
      <c r="BF107" s="454"/>
      <c r="BG107" s="260"/>
      <c r="BH107" s="142">
        <f t="shared" si="56"/>
        <v>102</v>
      </c>
      <c r="BI107" s="142">
        <f t="shared" si="51"/>
        <v>1.7802358370342162</v>
      </c>
      <c r="BJ107" s="142">
        <f t="shared" si="52"/>
        <v>2.7415086599528231</v>
      </c>
      <c r="BK107" s="19"/>
      <c r="BL107" s="19"/>
      <c r="BM107" s="142">
        <f t="shared" ca="1" si="53"/>
        <v>2378.129079000812</v>
      </c>
      <c r="BN107" s="142">
        <f t="shared" ca="1" si="54"/>
        <v>23.781290790008121</v>
      </c>
      <c r="BO107" s="142">
        <f t="shared" ca="1" si="55"/>
        <v>2.3781290790008124E-23</v>
      </c>
      <c r="BP107" s="367">
        <f t="shared" ca="1" si="57"/>
        <v>0.66039314632256274</v>
      </c>
      <c r="BQ107" s="195"/>
      <c r="BR107" s="195"/>
      <c r="BS107" s="195"/>
      <c r="BT107" s="195"/>
      <c r="BU107" s="454"/>
      <c r="BV107" s="454"/>
      <c r="BW107" s="195"/>
      <c r="BX107" s="454"/>
      <c r="BY107" s="260"/>
      <c r="BZ107" s="195"/>
      <c r="CA107" s="19"/>
    </row>
    <row r="108" spans="1:79" x14ac:dyDescent="0.2">
      <c r="A108" s="42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19"/>
      <c r="Y108" s="19"/>
      <c r="Z108" s="19"/>
      <c r="AA108" s="19"/>
      <c r="AB108" s="19"/>
      <c r="AC108" s="19"/>
      <c r="AD108" s="19"/>
      <c r="AE108" s="19"/>
      <c r="AF108" s="19"/>
      <c r="AG108" s="472"/>
      <c r="AH108" s="19"/>
      <c r="AI108" s="19"/>
      <c r="AJ108" s="19"/>
      <c r="AK108" s="19"/>
      <c r="AL108" s="19"/>
      <c r="AM108" s="19"/>
      <c r="AN108" s="48"/>
      <c r="AO108" s="48"/>
      <c r="AP108" s="48"/>
      <c r="AQ108" s="48"/>
      <c r="AR108" s="48"/>
      <c r="AS108" s="48"/>
      <c r="AT108" s="48"/>
      <c r="AU108" s="48"/>
      <c r="AV108" s="19"/>
      <c r="AW108" s="218"/>
      <c r="AX108" s="195"/>
      <c r="AY108" s="195"/>
      <c r="AZ108" s="195"/>
      <c r="BA108" s="195"/>
      <c r="BB108" s="454"/>
      <c r="BC108" s="454"/>
      <c r="BD108" s="455"/>
      <c r="BE108" s="195"/>
      <c r="BF108" s="454"/>
      <c r="BG108" s="260"/>
      <c r="BH108" s="142">
        <f t="shared" si="56"/>
        <v>103</v>
      </c>
      <c r="BI108" s="142">
        <f t="shared" si="51"/>
        <v>1.7976891295541595</v>
      </c>
      <c r="BJ108" s="142">
        <f t="shared" si="52"/>
        <v>2.6657690390735498</v>
      </c>
      <c r="BK108" s="19"/>
      <c r="BL108" s="19"/>
      <c r="BM108" s="142">
        <f t="shared" ca="1" si="53"/>
        <v>2312.4285406524864</v>
      </c>
      <c r="BN108" s="142">
        <f t="shared" ca="1" si="54"/>
        <v>23.124285406524862</v>
      </c>
      <c r="BO108" s="142">
        <f t="shared" ca="1" si="55"/>
        <v>2.3124285406524866E-23</v>
      </c>
      <c r="BP108" s="367">
        <f t="shared" ca="1" si="57"/>
        <v>0.64214847423219545</v>
      </c>
      <c r="BQ108" s="195"/>
      <c r="BR108" s="195"/>
      <c r="BS108" s="195"/>
      <c r="BT108" s="195"/>
      <c r="BU108" s="454"/>
      <c r="BV108" s="454"/>
      <c r="BW108" s="195"/>
      <c r="BX108" s="454"/>
      <c r="BY108" s="260"/>
      <c r="BZ108" s="195"/>
      <c r="CA108" s="19"/>
    </row>
    <row r="109" spans="1:79" x14ac:dyDescent="0.2">
      <c r="A109" s="42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19"/>
      <c r="Y109" s="19"/>
      <c r="Z109" s="19"/>
      <c r="AA109" s="19"/>
      <c r="AB109" s="19"/>
      <c r="AC109" s="19"/>
      <c r="AD109" s="19"/>
      <c r="AE109" s="19"/>
      <c r="AF109" s="19"/>
      <c r="AG109" s="472"/>
      <c r="AH109" s="19"/>
      <c r="AI109" s="19"/>
      <c r="AJ109" s="19"/>
      <c r="AK109" s="19"/>
      <c r="AL109" s="19"/>
      <c r="AM109" s="19"/>
      <c r="AN109" s="48"/>
      <c r="AO109" s="48"/>
      <c r="AP109" s="48"/>
      <c r="AQ109" s="48"/>
      <c r="AR109" s="48"/>
      <c r="AS109" s="48"/>
      <c r="AT109" s="48"/>
      <c r="AU109" s="48"/>
      <c r="AV109" s="19"/>
      <c r="AW109" s="218"/>
      <c r="AX109" s="195"/>
      <c r="AY109" s="195"/>
      <c r="AZ109" s="195"/>
      <c r="BA109" s="195"/>
      <c r="BB109" s="454"/>
      <c r="BC109" s="454"/>
      <c r="BD109" s="455"/>
      <c r="BE109" s="195"/>
      <c r="BF109" s="454"/>
      <c r="BG109" s="260"/>
      <c r="BH109" s="142">
        <f t="shared" si="56"/>
        <v>104</v>
      </c>
      <c r="BI109" s="142">
        <f t="shared" si="51"/>
        <v>1.8151424220741028</v>
      </c>
      <c r="BJ109" s="142">
        <f t="shared" si="52"/>
        <v>2.5934114470353244</v>
      </c>
      <c r="BK109" s="19"/>
      <c r="BL109" s="19"/>
      <c r="BM109" s="142">
        <f t="shared" ca="1" si="53"/>
        <v>2249.661752341286</v>
      </c>
      <c r="BN109" s="142">
        <f t="shared" ca="1" si="54"/>
        <v>22.496617523412862</v>
      </c>
      <c r="BO109" s="142">
        <f t="shared" ca="1" si="55"/>
        <v>2.2496617523412864E-23</v>
      </c>
      <c r="BP109" s="367">
        <f t="shared" ca="1" si="57"/>
        <v>0.62471848812109176</v>
      </c>
      <c r="BQ109" s="195"/>
      <c r="BR109" s="195"/>
      <c r="BS109" s="195"/>
      <c r="BT109" s="195"/>
      <c r="BU109" s="454"/>
      <c r="BV109" s="454"/>
      <c r="BW109" s="195"/>
      <c r="BX109" s="454"/>
      <c r="BY109" s="260"/>
      <c r="BZ109" s="195"/>
      <c r="CA109" s="19"/>
    </row>
    <row r="110" spans="1:79" x14ac:dyDescent="0.2">
      <c r="A110" s="42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19"/>
      <c r="Y110" s="19"/>
      <c r="Z110" s="19"/>
      <c r="AA110" s="19"/>
      <c r="AB110" s="19"/>
      <c r="AC110" s="19"/>
      <c r="AD110" s="19"/>
      <c r="AE110" s="19"/>
      <c r="AF110" s="19"/>
      <c r="AG110" s="472"/>
      <c r="AH110" s="19"/>
      <c r="AI110" s="19"/>
      <c r="AJ110" s="19"/>
      <c r="AK110" s="19"/>
      <c r="AL110" s="19"/>
      <c r="AM110" s="19"/>
      <c r="AN110" s="48"/>
      <c r="AO110" s="48"/>
      <c r="AP110" s="48"/>
      <c r="AQ110" s="48"/>
      <c r="AR110" s="48"/>
      <c r="AS110" s="48"/>
      <c r="AT110" s="48"/>
      <c r="AU110" s="48"/>
      <c r="AV110" s="19"/>
      <c r="AW110" s="218"/>
      <c r="AX110" s="195"/>
      <c r="AY110" s="195"/>
      <c r="AZ110" s="195"/>
      <c r="BA110" s="195"/>
      <c r="BB110" s="454"/>
      <c r="BC110" s="454"/>
      <c r="BD110" s="455"/>
      <c r="BE110" s="195"/>
      <c r="BF110" s="454"/>
      <c r="BG110" s="260"/>
      <c r="BH110" s="142">
        <f t="shared" si="56"/>
        <v>105</v>
      </c>
      <c r="BI110" s="142">
        <f t="shared" si="51"/>
        <v>1.8325957145940461</v>
      </c>
      <c r="BJ110" s="142">
        <f t="shared" si="52"/>
        <v>2.5242559089999617</v>
      </c>
      <c r="BK110" s="19"/>
      <c r="BL110" s="19"/>
      <c r="BM110" s="142">
        <f t="shared" ca="1" si="53"/>
        <v>2189.6725944085615</v>
      </c>
      <c r="BN110" s="142">
        <f t="shared" ca="1" si="54"/>
        <v>21.896725944085617</v>
      </c>
      <c r="BO110" s="142">
        <f t="shared" ca="1" si="55"/>
        <v>2.1896725944085618E-23</v>
      </c>
      <c r="BP110" s="367">
        <f t="shared" ca="1" si="57"/>
        <v>0.6080598344330933</v>
      </c>
      <c r="BQ110" s="195"/>
      <c r="BR110" s="195"/>
      <c r="BS110" s="195"/>
      <c r="BT110" s="195"/>
      <c r="BU110" s="454"/>
      <c r="BV110" s="454"/>
      <c r="BW110" s="195"/>
      <c r="BX110" s="454"/>
      <c r="BY110" s="260"/>
      <c r="BZ110" s="195"/>
      <c r="CA110" s="19"/>
    </row>
    <row r="111" spans="1:79" x14ac:dyDescent="0.2">
      <c r="A111" s="42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19"/>
      <c r="Y111" s="19"/>
      <c r="Z111" s="19"/>
      <c r="AA111" s="19"/>
      <c r="AB111" s="19"/>
      <c r="AC111" s="19"/>
      <c r="AD111" s="19"/>
      <c r="AE111" s="19"/>
      <c r="AF111" s="19"/>
      <c r="AG111" s="472"/>
      <c r="AH111" s="19"/>
      <c r="AI111" s="19"/>
      <c r="AJ111" s="19"/>
      <c r="AK111" s="19"/>
      <c r="AL111" s="19"/>
      <c r="AM111" s="19"/>
      <c r="AN111" s="48"/>
      <c r="AO111" s="48"/>
      <c r="AP111" s="48"/>
      <c r="AQ111" s="48"/>
      <c r="AR111" s="48"/>
      <c r="AS111" s="48"/>
      <c r="AT111" s="48"/>
      <c r="AU111" s="48"/>
      <c r="AV111" s="19"/>
      <c r="AW111" s="218"/>
      <c r="AX111" s="195"/>
      <c r="AY111" s="195"/>
      <c r="AZ111" s="195"/>
      <c r="BA111" s="195"/>
      <c r="BB111" s="454"/>
      <c r="BC111" s="454"/>
      <c r="BD111" s="455"/>
      <c r="BE111" s="195"/>
      <c r="BF111" s="454"/>
      <c r="BG111" s="260"/>
      <c r="BH111" s="142">
        <f t="shared" si="56"/>
        <v>106</v>
      </c>
      <c r="BI111" s="142">
        <f t="shared" si="51"/>
        <v>1.8500490071139892</v>
      </c>
      <c r="BJ111" s="142">
        <f t="shared" si="52"/>
        <v>2.4581338877806345</v>
      </c>
      <c r="BK111" s="19"/>
      <c r="BL111" s="19"/>
      <c r="BM111" s="142">
        <f t="shared" ca="1" si="53"/>
        <v>2132.3148688171723</v>
      </c>
      <c r="BN111" s="142">
        <f t="shared" ca="1" si="54"/>
        <v>21.323148688171724</v>
      </c>
      <c r="BO111" s="142">
        <f t="shared" ca="1" si="55"/>
        <v>2.1323148688171726E-23</v>
      </c>
      <c r="BP111" s="367">
        <f t="shared" ca="1" si="57"/>
        <v>0.59213191479085148</v>
      </c>
      <c r="BQ111" s="195"/>
      <c r="BR111" s="195"/>
      <c r="BS111" s="195"/>
      <c r="BT111" s="195"/>
      <c r="BU111" s="454"/>
      <c r="BV111" s="454"/>
      <c r="BW111" s="195"/>
      <c r="BX111" s="454"/>
      <c r="BY111" s="260"/>
      <c r="BZ111" s="195"/>
      <c r="CA111" s="19"/>
    </row>
    <row r="112" spans="1:79" x14ac:dyDescent="0.2">
      <c r="A112" s="427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19"/>
      <c r="Y112" s="19"/>
      <c r="Z112" s="19"/>
      <c r="AA112" s="19"/>
      <c r="AB112" s="19"/>
      <c r="AC112" s="19"/>
      <c r="AD112" s="19"/>
      <c r="AE112" s="19"/>
      <c r="AF112" s="19"/>
      <c r="AG112" s="472"/>
      <c r="AH112" s="19"/>
      <c r="AI112" s="19"/>
      <c r="AJ112" s="19"/>
      <c r="AK112" s="19"/>
      <c r="AL112" s="19"/>
      <c r="AM112" s="19"/>
      <c r="AN112" s="48"/>
      <c r="AO112" s="48"/>
      <c r="AP112" s="48"/>
      <c r="AQ112" s="48"/>
      <c r="AR112" s="48"/>
      <c r="AS112" s="48"/>
      <c r="AT112" s="48"/>
      <c r="AU112" s="48"/>
      <c r="AV112" s="19"/>
      <c r="AW112" s="218"/>
      <c r="AX112" s="195"/>
      <c r="AY112" s="195"/>
      <c r="AZ112" s="195"/>
      <c r="BA112" s="195"/>
      <c r="BB112" s="454"/>
      <c r="BC112" s="454"/>
      <c r="BD112" s="455"/>
      <c r="BE112" s="195"/>
      <c r="BF112" s="454"/>
      <c r="BG112" s="260"/>
      <c r="BH112" s="142">
        <f t="shared" si="56"/>
        <v>107</v>
      </c>
      <c r="BI112" s="142">
        <f t="shared" si="51"/>
        <v>1.8675022996339325</v>
      </c>
      <c r="BJ112" s="142">
        <f t="shared" si="52"/>
        <v>2.39488745676202</v>
      </c>
      <c r="BK112" s="19"/>
      <c r="BL112" s="19"/>
      <c r="BM112" s="142">
        <f t="shared" ca="1" si="53"/>
        <v>2077.4515816988401</v>
      </c>
      <c r="BN112" s="142">
        <f t="shared" ca="1" si="54"/>
        <v>20.774515816988401</v>
      </c>
      <c r="BO112" s="142">
        <f t="shared" ca="1" si="55"/>
        <v>2.0774515816988405E-23</v>
      </c>
      <c r="BP112" s="367">
        <f t="shared" ca="1" si="57"/>
        <v>0.57689668676323891</v>
      </c>
      <c r="BQ112" s="195"/>
      <c r="BR112" s="195"/>
      <c r="BS112" s="195"/>
      <c r="BT112" s="195"/>
      <c r="BU112" s="454"/>
      <c r="BV112" s="454"/>
      <c r="BW112" s="195"/>
      <c r="BX112" s="454"/>
      <c r="BY112" s="260"/>
      <c r="BZ112" s="195"/>
      <c r="CA112" s="19"/>
    </row>
    <row r="113" spans="1:79" x14ac:dyDescent="0.2">
      <c r="A113" s="427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19"/>
      <c r="Y113" s="19"/>
      <c r="Z113" s="19"/>
      <c r="AA113" s="19"/>
      <c r="AB113" s="19"/>
      <c r="AC113" s="19"/>
      <c r="AD113" s="19"/>
      <c r="AE113" s="19"/>
      <c r="AF113" s="19"/>
      <c r="AG113" s="472"/>
      <c r="AH113" s="19"/>
      <c r="AI113" s="19"/>
      <c r="AJ113" s="19"/>
      <c r="AK113" s="19"/>
      <c r="AL113" s="19"/>
      <c r="AM113" s="19"/>
      <c r="AN113" s="48"/>
      <c r="AO113" s="48"/>
      <c r="AP113" s="48"/>
      <c r="AQ113" s="48"/>
      <c r="AR113" s="48"/>
      <c r="AS113" s="48"/>
      <c r="AT113" s="48"/>
      <c r="AU113" s="48"/>
      <c r="AV113" s="19"/>
      <c r="AW113" s="218"/>
      <c r="AX113" s="195"/>
      <c r="AY113" s="195"/>
      <c r="AZ113" s="195"/>
      <c r="BA113" s="195"/>
      <c r="BB113" s="454"/>
      <c r="BC113" s="454"/>
      <c r="BD113" s="455"/>
      <c r="BE113" s="195"/>
      <c r="BF113" s="454"/>
      <c r="BG113" s="260"/>
      <c r="BH113" s="142">
        <f t="shared" si="56"/>
        <v>108</v>
      </c>
      <c r="BI113" s="142">
        <f t="shared" si="51"/>
        <v>1.8849555921538759</v>
      </c>
      <c r="BJ113" s="142">
        <f t="shared" si="52"/>
        <v>2.3343685400050473</v>
      </c>
      <c r="BK113" s="19"/>
      <c r="BL113" s="19"/>
      <c r="BM113" s="142">
        <f t="shared" ca="1" si="53"/>
        <v>2024.9542841809607</v>
      </c>
      <c r="BN113" s="142">
        <f t="shared" ca="1" si="54"/>
        <v>20.249542841809607</v>
      </c>
      <c r="BO113" s="142">
        <f t="shared" ca="1" si="55"/>
        <v>2.0249542841809608E-23</v>
      </c>
      <c r="BP113" s="367">
        <f t="shared" ca="1" si="57"/>
        <v>0.56231848081664226</v>
      </c>
      <c r="BQ113" s="195"/>
      <c r="BR113" s="195"/>
      <c r="BS113" s="195"/>
      <c r="BT113" s="195"/>
      <c r="BU113" s="454"/>
      <c r="BV113" s="454"/>
      <c r="BW113" s="195"/>
      <c r="BX113" s="454"/>
      <c r="BY113" s="260"/>
      <c r="BZ113" s="195"/>
      <c r="CA113" s="19"/>
    </row>
    <row r="114" spans="1:79" x14ac:dyDescent="0.2">
      <c r="A114" s="42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19"/>
      <c r="Y114" s="19"/>
      <c r="Z114" s="19"/>
      <c r="AA114" s="19"/>
      <c r="AB114" s="19"/>
      <c r="AC114" s="19"/>
      <c r="AD114" s="19"/>
      <c r="AE114" s="19"/>
      <c r="AF114" s="19"/>
      <c r="AG114" s="472"/>
      <c r="AH114" s="19"/>
      <c r="AI114" s="19"/>
      <c r="AJ114" s="19"/>
      <c r="AK114" s="19"/>
      <c r="AL114" s="19"/>
      <c r="AM114" s="19"/>
      <c r="AN114" s="48"/>
      <c r="AO114" s="48"/>
      <c r="AP114" s="48"/>
      <c r="AQ114" s="48"/>
      <c r="AR114" s="48"/>
      <c r="AS114" s="48"/>
      <c r="AT114" s="48"/>
      <c r="AU114" s="48"/>
      <c r="AV114" s="19"/>
      <c r="AW114" s="218"/>
      <c r="AX114" s="195"/>
      <c r="AY114" s="195"/>
      <c r="AZ114" s="195"/>
      <c r="BA114" s="195"/>
      <c r="BB114" s="454"/>
      <c r="BC114" s="454"/>
      <c r="BD114" s="455"/>
      <c r="BE114" s="195"/>
      <c r="BF114" s="454"/>
      <c r="BG114" s="260"/>
      <c r="BH114" s="142">
        <f t="shared" si="56"/>
        <v>109</v>
      </c>
      <c r="BI114" s="142">
        <f t="shared" si="51"/>
        <v>1.9024088846738192</v>
      </c>
      <c r="BJ114" s="142">
        <f t="shared" si="52"/>
        <v>2.2764382135112418</v>
      </c>
      <c r="BK114" s="19"/>
      <c r="BL114" s="19"/>
      <c r="BM114" s="142">
        <f t="shared" ca="1" si="53"/>
        <v>1974.7024662664767</v>
      </c>
      <c r="BN114" s="142">
        <f t="shared" ca="1" si="54"/>
        <v>19.747024662664767</v>
      </c>
      <c r="BO114" s="142">
        <f t="shared" ca="1" si="55"/>
        <v>1.9747024662664769E-23</v>
      </c>
      <c r="BP114" s="367">
        <f t="shared" ca="1" si="57"/>
        <v>0.5483638319987918</v>
      </c>
      <c r="BQ114" s="195"/>
      <c r="BR114" s="195"/>
      <c r="BS114" s="195"/>
      <c r="BT114" s="195"/>
      <c r="BU114" s="454"/>
      <c r="BV114" s="454"/>
      <c r="BW114" s="195"/>
      <c r="BX114" s="454"/>
      <c r="BY114" s="260"/>
      <c r="BZ114" s="195"/>
      <c r="CA114" s="19"/>
    </row>
    <row r="115" spans="1:79" x14ac:dyDescent="0.2">
      <c r="A115" s="427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19"/>
      <c r="Y115" s="19"/>
      <c r="Z115" s="19"/>
      <c r="AA115" s="19"/>
      <c r="AB115" s="19"/>
      <c r="AC115" s="19"/>
      <c r="AD115" s="19"/>
      <c r="AE115" s="19"/>
      <c r="AF115" s="19"/>
      <c r="AG115" s="472"/>
      <c r="AH115" s="19"/>
      <c r="AI115" s="19"/>
      <c r="AJ115" s="19"/>
      <c r="AK115" s="19"/>
      <c r="AL115" s="19"/>
      <c r="AM115" s="19"/>
      <c r="AN115" s="48"/>
      <c r="AO115" s="48"/>
      <c r="AP115" s="48"/>
      <c r="AQ115" s="48"/>
      <c r="AR115" s="48"/>
      <c r="AS115" s="48"/>
      <c r="AT115" s="48"/>
      <c r="AU115" s="48"/>
      <c r="AV115" s="19"/>
      <c r="AW115" s="218"/>
      <c r="AX115" s="195"/>
      <c r="AY115" s="195"/>
      <c r="AZ115" s="195"/>
      <c r="BA115" s="195"/>
      <c r="BB115" s="454"/>
      <c r="BC115" s="454"/>
      <c r="BD115" s="455"/>
      <c r="BE115" s="195"/>
      <c r="BF115" s="454"/>
      <c r="BG115" s="260"/>
      <c r="BH115" s="142">
        <f t="shared" si="56"/>
        <v>110</v>
      </c>
      <c r="BI115" s="142">
        <f t="shared" si="51"/>
        <v>1.9198621771937625</v>
      </c>
      <c r="BJ115" s="142">
        <f t="shared" si="52"/>
        <v>2.220966062212157</v>
      </c>
      <c r="BK115" s="19"/>
      <c r="BL115" s="19"/>
      <c r="BM115" s="142">
        <f t="shared" ca="1" si="53"/>
        <v>1926.5829990526265</v>
      </c>
      <c r="BN115" s="142">
        <f t="shared" ca="1" si="54"/>
        <v>19.265829990526264</v>
      </c>
      <c r="BO115" s="142">
        <f t="shared" ca="1" si="55"/>
        <v>1.9265829990526265E-23</v>
      </c>
      <c r="BP115" s="367">
        <f t="shared" ca="1" si="57"/>
        <v>0.53500132504602704</v>
      </c>
      <c r="BQ115" s="195"/>
      <c r="BR115" s="195"/>
      <c r="BS115" s="195"/>
      <c r="BT115" s="195"/>
      <c r="BU115" s="454"/>
      <c r="BV115" s="454"/>
      <c r="BW115" s="195"/>
      <c r="BX115" s="454"/>
      <c r="BY115" s="260"/>
      <c r="BZ115" s="195"/>
      <c r="CA115" s="19"/>
    </row>
    <row r="116" spans="1:79" x14ac:dyDescent="0.2">
      <c r="A116" s="427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19"/>
      <c r="Y116" s="19"/>
      <c r="Z116" s="19"/>
      <c r="AA116" s="19"/>
      <c r="AB116" s="19"/>
      <c r="AC116" s="19"/>
      <c r="AD116" s="19"/>
      <c r="AE116" s="19"/>
      <c r="AF116" s="19"/>
      <c r="AG116" s="472"/>
      <c r="AH116" s="19"/>
      <c r="AI116" s="19"/>
      <c r="AJ116" s="19"/>
      <c r="AK116" s="19"/>
      <c r="AL116" s="19"/>
      <c r="AM116" s="19"/>
      <c r="AN116" s="48"/>
      <c r="AO116" s="48"/>
      <c r="AP116" s="48"/>
      <c r="AQ116" s="48"/>
      <c r="AR116" s="48"/>
      <c r="AS116" s="48"/>
      <c r="AT116" s="48"/>
      <c r="AU116" s="48"/>
      <c r="AV116" s="19"/>
      <c r="AW116" s="218"/>
      <c r="AX116" s="195"/>
      <c r="AY116" s="195"/>
      <c r="AZ116" s="195"/>
      <c r="BA116" s="195"/>
      <c r="BB116" s="454"/>
      <c r="BC116" s="454"/>
      <c r="BD116" s="455"/>
      <c r="BE116" s="195"/>
      <c r="BF116" s="454"/>
      <c r="BG116" s="260"/>
      <c r="BH116" s="142">
        <f t="shared" si="56"/>
        <v>111</v>
      </c>
      <c r="BI116" s="142">
        <f t="shared" si="51"/>
        <v>1.9373154697137058</v>
      </c>
      <c r="BJ116" s="142">
        <f t="shared" si="52"/>
        <v>2.1678295877773142</v>
      </c>
      <c r="BK116" s="19"/>
      <c r="BL116" s="19"/>
      <c r="BM116" s="142">
        <f t="shared" ca="1" si="53"/>
        <v>1880.4896210323443</v>
      </c>
      <c r="BN116" s="142">
        <f t="shared" ca="1" si="54"/>
        <v>18.804896210323442</v>
      </c>
      <c r="BO116" s="142">
        <f t="shared" ca="1" si="55"/>
        <v>1.8804896210323443E-23</v>
      </c>
      <c r="BP116" s="367">
        <f t="shared" ca="1" si="57"/>
        <v>0.52220145173206933</v>
      </c>
      <c r="BQ116" s="195"/>
      <c r="BR116" s="195"/>
      <c r="BS116" s="195"/>
      <c r="BT116" s="195"/>
      <c r="BU116" s="454"/>
      <c r="BV116" s="454"/>
      <c r="BW116" s="195"/>
      <c r="BX116" s="454"/>
      <c r="BY116" s="260"/>
      <c r="BZ116" s="195"/>
      <c r="CA116" s="19"/>
    </row>
    <row r="117" spans="1:79" x14ac:dyDescent="0.2">
      <c r="A117" s="427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19"/>
      <c r="Y117" s="19"/>
      <c r="Z117" s="19"/>
      <c r="AA117" s="19"/>
      <c r="AB117" s="19"/>
      <c r="AC117" s="19"/>
      <c r="AD117" s="19"/>
      <c r="AE117" s="19"/>
      <c r="AF117" s="19"/>
      <c r="AG117" s="472"/>
      <c r="AH117" s="19"/>
      <c r="AI117" s="19"/>
      <c r="AJ117" s="19"/>
      <c r="AK117" s="19"/>
      <c r="AL117" s="19"/>
      <c r="AM117" s="19"/>
      <c r="AN117" s="48"/>
      <c r="AO117" s="48"/>
      <c r="AP117" s="48"/>
      <c r="AQ117" s="48"/>
      <c r="AR117" s="48"/>
      <c r="AS117" s="48"/>
      <c r="AT117" s="48"/>
      <c r="AU117" s="48"/>
      <c r="AV117" s="19"/>
      <c r="AW117" s="218"/>
      <c r="AX117" s="195"/>
      <c r="AY117" s="195"/>
      <c r="AZ117" s="195"/>
      <c r="BA117" s="195"/>
      <c r="BB117" s="454"/>
      <c r="BC117" s="454"/>
      <c r="BD117" s="455"/>
      <c r="BE117" s="195"/>
      <c r="BF117" s="454"/>
      <c r="BG117" s="260"/>
      <c r="BH117" s="142">
        <f t="shared" si="56"/>
        <v>112</v>
      </c>
      <c r="BI117" s="142">
        <f t="shared" si="51"/>
        <v>1.9547687622336491</v>
      </c>
      <c r="BJ117" s="142">
        <f t="shared" si="52"/>
        <v>2.1169136628064242</v>
      </c>
      <c r="BK117" s="19"/>
      <c r="BL117" s="19"/>
      <c r="BM117" s="142">
        <f t="shared" ca="1" si="53"/>
        <v>1836.3224646318313</v>
      </c>
      <c r="BN117" s="142">
        <f t="shared" ca="1" si="54"/>
        <v>18.363224646318312</v>
      </c>
      <c r="BO117" s="142">
        <f t="shared" ca="1" si="55"/>
        <v>1.8363224646318314E-23</v>
      </c>
      <c r="BP117" s="367">
        <f t="shared" ca="1" si="57"/>
        <v>0.50993647939015163</v>
      </c>
      <c r="BQ117" s="195"/>
      <c r="BR117" s="195"/>
      <c r="BS117" s="195"/>
      <c r="BT117" s="195"/>
      <c r="BU117" s="454"/>
      <c r="BV117" s="454"/>
      <c r="BW117" s="195"/>
      <c r="BX117" s="454"/>
      <c r="BY117" s="260"/>
      <c r="BZ117" s="195"/>
      <c r="CA117" s="19"/>
    </row>
    <row r="118" spans="1:79" x14ac:dyDescent="0.2">
      <c r="A118" s="427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19"/>
      <c r="Y118" s="19"/>
      <c r="Z118" s="19"/>
      <c r="AA118" s="19"/>
      <c r="AB118" s="19"/>
      <c r="AC118" s="19"/>
      <c r="AD118" s="19"/>
      <c r="AE118" s="19"/>
      <c r="AF118" s="19"/>
      <c r="AG118" s="472"/>
      <c r="AH118" s="19"/>
      <c r="AI118" s="19"/>
      <c r="AJ118" s="19"/>
      <c r="AK118" s="19"/>
      <c r="AL118" s="19"/>
      <c r="AM118" s="19"/>
      <c r="AN118" s="48"/>
      <c r="AO118" s="48"/>
      <c r="AP118" s="48"/>
      <c r="AQ118" s="48"/>
      <c r="AR118" s="48"/>
      <c r="AS118" s="48"/>
      <c r="AT118" s="48"/>
      <c r="AU118" s="48"/>
      <c r="AV118" s="19"/>
      <c r="AW118" s="218"/>
      <c r="AX118" s="195"/>
      <c r="AY118" s="195"/>
      <c r="AZ118" s="195"/>
      <c r="BA118" s="195"/>
      <c r="BB118" s="454"/>
      <c r="BC118" s="454"/>
      <c r="BD118" s="455"/>
      <c r="BE118" s="195"/>
      <c r="BF118" s="454"/>
      <c r="BG118" s="260"/>
      <c r="BH118" s="142">
        <f t="shared" si="56"/>
        <v>113</v>
      </c>
      <c r="BI118" s="142">
        <f t="shared" si="51"/>
        <v>1.9722220547535925</v>
      </c>
      <c r="BJ118" s="142">
        <f t="shared" si="52"/>
        <v>2.068110027394741</v>
      </c>
      <c r="BK118" s="19"/>
      <c r="BL118" s="19"/>
      <c r="BM118" s="142">
        <f t="shared" ca="1" si="53"/>
        <v>1793.9876195048148</v>
      </c>
      <c r="BN118" s="142">
        <f t="shared" ca="1" si="54"/>
        <v>17.939876195048146</v>
      </c>
      <c r="BO118" s="142">
        <f t="shared" ca="1" si="55"/>
        <v>1.7939876195048147E-23</v>
      </c>
      <c r="BP118" s="367">
        <f t="shared" ca="1" si="57"/>
        <v>0.49818032964227688</v>
      </c>
      <c r="BQ118" s="195"/>
      <c r="BR118" s="195"/>
      <c r="BS118" s="195"/>
      <c r="BT118" s="195"/>
      <c r="BU118" s="454"/>
      <c r="BV118" s="454"/>
      <c r="BW118" s="195"/>
      <c r="BX118" s="454"/>
      <c r="BY118" s="260"/>
      <c r="BZ118" s="195"/>
      <c r="CA118" s="19"/>
    </row>
    <row r="119" spans="1:79" x14ac:dyDescent="0.2">
      <c r="A119" s="42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19"/>
      <c r="Y119" s="19"/>
      <c r="Z119" s="19"/>
      <c r="AA119" s="19"/>
      <c r="AB119" s="19"/>
      <c r="AC119" s="19"/>
      <c r="AD119" s="19"/>
      <c r="AE119" s="19"/>
      <c r="AF119" s="19"/>
      <c r="AG119" s="472"/>
      <c r="AH119" s="19"/>
      <c r="AI119" s="19"/>
      <c r="AJ119" s="19"/>
      <c r="AK119" s="19"/>
      <c r="AL119" s="19"/>
      <c r="AM119" s="19"/>
      <c r="AN119" s="48"/>
      <c r="AO119" s="48"/>
      <c r="AP119" s="48"/>
      <c r="AQ119" s="48"/>
      <c r="AR119" s="48"/>
      <c r="AS119" s="48"/>
      <c r="AT119" s="48"/>
      <c r="AU119" s="48"/>
      <c r="AV119" s="19"/>
      <c r="AW119" s="218"/>
      <c r="AX119" s="195"/>
      <c r="AY119" s="195"/>
      <c r="AZ119" s="195"/>
      <c r="BA119" s="195"/>
      <c r="BB119" s="454"/>
      <c r="BC119" s="454"/>
      <c r="BD119" s="455"/>
      <c r="BE119" s="195"/>
      <c r="BF119" s="454"/>
      <c r="BG119" s="260"/>
      <c r="BH119" s="142">
        <f t="shared" si="56"/>
        <v>114</v>
      </c>
      <c r="BI119" s="142">
        <f t="shared" si="51"/>
        <v>1.9896753472735358</v>
      </c>
      <c r="BJ119" s="142">
        <f t="shared" si="52"/>
        <v>2.0213168244398605</v>
      </c>
      <c r="BK119" s="19"/>
      <c r="BL119" s="19"/>
      <c r="BM119" s="142">
        <f t="shared" ca="1" si="53"/>
        <v>1753.3967294331769</v>
      </c>
      <c r="BN119" s="142">
        <f t="shared" ca="1" si="54"/>
        <v>17.53396729433177</v>
      </c>
      <c r="BO119" s="142">
        <f t="shared" ca="1" si="55"/>
        <v>1.7533967294331773E-23</v>
      </c>
      <c r="BP119" s="367">
        <f t="shared" ca="1" si="57"/>
        <v>0.48690846646077762</v>
      </c>
      <c r="BQ119" s="195"/>
      <c r="BR119" s="195"/>
      <c r="BS119" s="195"/>
      <c r="BT119" s="195"/>
      <c r="BU119" s="454"/>
      <c r="BV119" s="454"/>
      <c r="BW119" s="195"/>
      <c r="BX119" s="454"/>
      <c r="BY119" s="260"/>
      <c r="BZ119" s="195"/>
      <c r="CA119" s="19"/>
    </row>
    <row r="120" spans="1:79" x14ac:dyDescent="0.2">
      <c r="A120" s="42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19"/>
      <c r="Y120" s="19"/>
      <c r="Z120" s="19"/>
      <c r="AA120" s="19"/>
      <c r="AB120" s="19"/>
      <c r="AC120" s="19"/>
      <c r="AD120" s="19"/>
      <c r="AE120" s="19"/>
      <c r="AF120" s="19"/>
      <c r="AG120" s="472"/>
      <c r="AH120" s="19"/>
      <c r="AI120" s="19"/>
      <c r="AJ120" s="19"/>
      <c r="AK120" s="19"/>
      <c r="AL120" s="19"/>
      <c r="AM120" s="19"/>
      <c r="AN120" s="48"/>
      <c r="AO120" s="48"/>
      <c r="AP120" s="48"/>
      <c r="AQ120" s="48"/>
      <c r="AR120" s="48"/>
      <c r="AS120" s="48"/>
      <c r="AT120" s="48"/>
      <c r="AU120" s="48"/>
      <c r="AV120" s="19"/>
      <c r="AW120" s="218"/>
      <c r="AX120" s="195"/>
      <c r="AY120" s="195"/>
      <c r="AZ120" s="195"/>
      <c r="BA120" s="195"/>
      <c r="BB120" s="454"/>
      <c r="BC120" s="454"/>
      <c r="BD120" s="455"/>
      <c r="BE120" s="195"/>
      <c r="BF120" s="454"/>
      <c r="BG120" s="260"/>
      <c r="BH120" s="142">
        <f t="shared" si="56"/>
        <v>115</v>
      </c>
      <c r="BI120" s="142">
        <f t="shared" si="51"/>
        <v>2.0071286397934789</v>
      </c>
      <c r="BJ120" s="142">
        <f t="shared" si="52"/>
        <v>1.9764381703987615</v>
      </c>
      <c r="BK120" s="19"/>
      <c r="BL120" s="19"/>
      <c r="BM120" s="142">
        <f t="shared" ca="1" si="53"/>
        <v>1714.4666199789935</v>
      </c>
      <c r="BN120" s="142">
        <f t="shared" ca="1" si="54"/>
        <v>17.144666199789935</v>
      </c>
      <c r="BO120" s="142">
        <f t="shared" ca="1" si="55"/>
        <v>1.7144666199789937E-23</v>
      </c>
      <c r="BP120" s="367">
        <f t="shared" ca="1" si="57"/>
        <v>0.47609779276936814</v>
      </c>
      <c r="BQ120" s="195"/>
      <c r="BR120" s="195"/>
      <c r="BS120" s="195"/>
      <c r="BT120" s="195"/>
      <c r="BU120" s="454"/>
      <c r="BV120" s="454"/>
      <c r="BW120" s="195"/>
      <c r="BX120" s="454"/>
      <c r="BY120" s="260"/>
      <c r="BZ120" s="195"/>
      <c r="CA120" s="19"/>
    </row>
    <row r="121" spans="1:79" x14ac:dyDescent="0.2">
      <c r="A121" s="427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19"/>
      <c r="Y121" s="19"/>
      <c r="Z121" s="19"/>
      <c r="AA121" s="19"/>
      <c r="AB121" s="19"/>
      <c r="AC121" s="19"/>
      <c r="AD121" s="19"/>
      <c r="AE121" s="19"/>
      <c r="AF121" s="19"/>
      <c r="AG121" s="472"/>
      <c r="AH121" s="19"/>
      <c r="AI121" s="19"/>
      <c r="AJ121" s="19"/>
      <c r="AK121" s="19"/>
      <c r="AL121" s="19"/>
      <c r="AM121" s="19"/>
      <c r="AN121" s="48"/>
      <c r="AO121" s="48"/>
      <c r="AP121" s="48"/>
      <c r="AQ121" s="48"/>
      <c r="AR121" s="48"/>
      <c r="AS121" s="48"/>
      <c r="AT121" s="48"/>
      <c r="AU121" s="48"/>
      <c r="AV121" s="19"/>
      <c r="AW121" s="218"/>
      <c r="AX121" s="195"/>
      <c r="AY121" s="195"/>
      <c r="AZ121" s="195"/>
      <c r="BA121" s="195"/>
      <c r="BB121" s="454"/>
      <c r="BC121" s="454"/>
      <c r="BD121" s="455"/>
      <c r="BE121" s="195"/>
      <c r="BF121" s="454"/>
      <c r="BG121" s="260"/>
      <c r="BH121" s="142">
        <f t="shared" si="56"/>
        <v>116</v>
      </c>
      <c r="BI121" s="142">
        <f t="shared" si="51"/>
        <v>2.0245819323134224</v>
      </c>
      <c r="BJ121" s="142">
        <f t="shared" si="52"/>
        <v>1.9333837585098335</v>
      </c>
      <c r="BK121" s="19"/>
      <c r="BL121" s="19"/>
      <c r="BM121" s="142">
        <f t="shared" ca="1" si="53"/>
        <v>1677.1189542984116</v>
      </c>
      <c r="BN121" s="142">
        <f t="shared" ca="1" si="54"/>
        <v>16.771189542984118</v>
      </c>
      <c r="BO121" s="142">
        <f t="shared" ca="1" si="55"/>
        <v>1.6771189542984118E-23</v>
      </c>
      <c r="BP121" s="367">
        <f t="shared" ca="1" si="57"/>
        <v>0.46572655486458397</v>
      </c>
      <c r="BQ121" s="195"/>
      <c r="BR121" s="195"/>
      <c r="BS121" s="195"/>
      <c r="BT121" s="195"/>
      <c r="BU121" s="454"/>
      <c r="BV121" s="454"/>
      <c r="BW121" s="195"/>
      <c r="BX121" s="454"/>
      <c r="BY121" s="260"/>
      <c r="BZ121" s="195"/>
      <c r="CA121" s="19"/>
    </row>
    <row r="122" spans="1:79" x14ac:dyDescent="0.2">
      <c r="A122" s="427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19"/>
      <c r="Y122" s="19"/>
      <c r="Z122" s="19"/>
      <c r="AA122" s="19"/>
      <c r="AB122" s="19"/>
      <c r="AC122" s="19"/>
      <c r="AD122" s="19"/>
      <c r="AE122" s="19"/>
      <c r="AF122" s="19"/>
      <c r="AG122" s="472"/>
      <c r="AH122" s="19"/>
      <c r="AI122" s="19"/>
      <c r="AJ122" s="19"/>
      <c r="AK122" s="19"/>
      <c r="AL122" s="19"/>
      <c r="AM122" s="19"/>
      <c r="AN122" s="48"/>
      <c r="AO122" s="48"/>
      <c r="AP122" s="48"/>
      <c r="AQ122" s="48"/>
      <c r="AR122" s="48"/>
      <c r="AS122" s="48"/>
      <c r="AT122" s="48"/>
      <c r="AU122" s="48"/>
      <c r="AV122" s="19"/>
      <c r="AW122" s="218"/>
      <c r="AX122" s="195"/>
      <c r="AY122" s="195"/>
      <c r="AZ122" s="195"/>
      <c r="BA122" s="195"/>
      <c r="BB122" s="454"/>
      <c r="BC122" s="454"/>
      <c r="BD122" s="455"/>
      <c r="BE122" s="195"/>
      <c r="BF122" s="454"/>
      <c r="BG122" s="260"/>
      <c r="BH122" s="142">
        <f t="shared" si="56"/>
        <v>117</v>
      </c>
      <c r="BI122" s="142">
        <f t="shared" si="51"/>
        <v>2.0420352248333655</v>
      </c>
      <c r="BJ122" s="142">
        <f t="shared" si="52"/>
        <v>1.892068491769815</v>
      </c>
      <c r="BK122" s="19"/>
      <c r="BL122" s="19"/>
      <c r="BM122" s="142">
        <f t="shared" ca="1" si="53"/>
        <v>1641.2799147665053</v>
      </c>
      <c r="BN122" s="142">
        <f t="shared" ca="1" si="54"/>
        <v>16.412799147665051</v>
      </c>
      <c r="BO122" s="142">
        <f t="shared" ca="1" si="55"/>
        <v>1.6412799147665054E-23</v>
      </c>
      <c r="BP122" s="367">
        <f t="shared" ca="1" si="57"/>
        <v>0.45577425400478427</v>
      </c>
      <c r="BQ122" s="195"/>
      <c r="BR122" s="195"/>
      <c r="BS122" s="195"/>
      <c r="BT122" s="195"/>
      <c r="BU122" s="454"/>
      <c r="BV122" s="454"/>
      <c r="BW122" s="195"/>
      <c r="BX122" s="454"/>
      <c r="BY122" s="260"/>
      <c r="BZ122" s="195"/>
      <c r="CA122" s="19"/>
    </row>
    <row r="123" spans="1:79" x14ac:dyDescent="0.2">
      <c r="A123" s="42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19"/>
      <c r="Y123" s="19"/>
      <c r="Z123" s="19"/>
      <c r="AA123" s="19"/>
      <c r="AB123" s="19"/>
      <c r="AC123" s="19"/>
      <c r="AD123" s="19"/>
      <c r="AE123" s="19"/>
      <c r="AF123" s="19"/>
      <c r="AG123" s="472"/>
      <c r="AH123" s="19"/>
      <c r="AI123" s="19"/>
      <c r="AJ123" s="19"/>
      <c r="AK123" s="19"/>
      <c r="AL123" s="19"/>
      <c r="AM123" s="19"/>
      <c r="AN123" s="48"/>
      <c r="AO123" s="48"/>
      <c r="AP123" s="48"/>
      <c r="AQ123" s="48"/>
      <c r="AR123" s="48"/>
      <c r="AS123" s="48"/>
      <c r="AT123" s="48"/>
      <c r="AU123" s="48"/>
      <c r="AV123" s="19"/>
      <c r="AW123" s="218"/>
      <c r="AX123" s="195"/>
      <c r="AY123" s="195"/>
      <c r="AZ123" s="195"/>
      <c r="BA123" s="195"/>
      <c r="BB123" s="454"/>
      <c r="BC123" s="454"/>
      <c r="BD123" s="455"/>
      <c r="BE123" s="195"/>
      <c r="BF123" s="454"/>
      <c r="BG123" s="260"/>
      <c r="BH123" s="142">
        <f t="shared" si="56"/>
        <v>118</v>
      </c>
      <c r="BI123" s="142">
        <f t="shared" si="51"/>
        <v>2.0594885173533091</v>
      </c>
      <c r="BJ123" s="142">
        <f t="shared" si="52"/>
        <v>1.8524121432031986</v>
      </c>
      <c r="BK123" s="19"/>
      <c r="BL123" s="19"/>
      <c r="BM123" s="142">
        <f t="shared" ca="1" si="53"/>
        <v>1606.8799082770545</v>
      </c>
      <c r="BN123" s="142">
        <f t="shared" ca="1" si="54"/>
        <v>16.068799082770546</v>
      </c>
      <c r="BO123" s="142">
        <f t="shared" ca="1" si="55"/>
        <v>1.6068799082770548E-23</v>
      </c>
      <c r="BP123" s="367">
        <f t="shared" ca="1" si="57"/>
        <v>0.44622156457354883</v>
      </c>
      <c r="BQ123" s="195"/>
      <c r="BR123" s="195"/>
      <c r="BS123" s="195"/>
      <c r="BT123" s="195"/>
      <c r="BU123" s="454"/>
      <c r="BV123" s="454"/>
      <c r="BW123" s="195"/>
      <c r="BX123" s="454"/>
      <c r="BY123" s="260"/>
      <c r="BZ123" s="195"/>
      <c r="CA123" s="19"/>
    </row>
    <row r="124" spans="1:79" x14ac:dyDescent="0.2">
      <c r="A124" s="427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19"/>
      <c r="Y124" s="19"/>
      <c r="Z124" s="19"/>
      <c r="AA124" s="19"/>
      <c r="AB124" s="19"/>
      <c r="AC124" s="19"/>
      <c r="AD124" s="19"/>
      <c r="AE124" s="19"/>
      <c r="AF124" s="19"/>
      <c r="AG124" s="472"/>
      <c r="AH124" s="19"/>
      <c r="AI124" s="19"/>
      <c r="AJ124" s="19"/>
      <c r="AK124" s="19"/>
      <c r="AL124" s="19"/>
      <c r="AM124" s="19"/>
      <c r="AN124" s="48"/>
      <c r="AO124" s="48"/>
      <c r="AP124" s="48"/>
      <c r="AQ124" s="48"/>
      <c r="AR124" s="48"/>
      <c r="AS124" s="48"/>
      <c r="AT124" s="48"/>
      <c r="AU124" s="48"/>
      <c r="AV124" s="19"/>
      <c r="AW124" s="218"/>
      <c r="AX124" s="195"/>
      <c r="AY124" s="195"/>
      <c r="AZ124" s="195"/>
      <c r="BA124" s="195"/>
      <c r="BB124" s="454"/>
      <c r="BC124" s="454"/>
      <c r="BD124" s="455"/>
      <c r="BE124" s="195"/>
      <c r="BF124" s="454"/>
      <c r="BG124" s="260"/>
      <c r="BH124" s="142">
        <f t="shared" si="56"/>
        <v>119</v>
      </c>
      <c r="BI124" s="142">
        <f t="shared" si="51"/>
        <v>2.0769418098732522</v>
      </c>
      <c r="BJ124" s="142">
        <f t="shared" si="52"/>
        <v>1.8143390411848461</v>
      </c>
      <c r="BK124" s="19"/>
      <c r="BL124" s="19"/>
      <c r="BM124" s="142">
        <f t="shared" ca="1" si="53"/>
        <v>1573.8532932748001</v>
      </c>
      <c r="BN124" s="142">
        <f t="shared" ca="1" si="54"/>
        <v>15.738532932748001</v>
      </c>
      <c r="BO124" s="142">
        <f t="shared" ca="1" si="55"/>
        <v>1.5738532932748004E-23</v>
      </c>
      <c r="BP124" s="367">
        <f t="shared" ca="1" si="57"/>
        <v>0.43705025827806099</v>
      </c>
      <c r="BQ124" s="195"/>
      <c r="BR124" s="195"/>
      <c r="BS124" s="195"/>
      <c r="BT124" s="195"/>
      <c r="BU124" s="454"/>
      <c r="BV124" s="454"/>
      <c r="BW124" s="195"/>
      <c r="BX124" s="454"/>
      <c r="BY124" s="260"/>
      <c r="BZ124" s="195"/>
      <c r="CA124" s="19"/>
    </row>
    <row r="125" spans="1:79" x14ac:dyDescent="0.2">
      <c r="A125" s="427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19"/>
      <c r="Y125" s="19"/>
      <c r="Z125" s="19"/>
      <c r="AA125" s="19"/>
      <c r="AB125" s="19"/>
      <c r="AC125" s="19"/>
      <c r="AD125" s="19"/>
      <c r="AE125" s="19"/>
      <c r="AF125" s="19"/>
      <c r="AG125" s="472"/>
      <c r="AH125" s="19"/>
      <c r="AI125" s="19"/>
      <c r="AJ125" s="19"/>
      <c r="AK125" s="19"/>
      <c r="AL125" s="19"/>
      <c r="AM125" s="19"/>
      <c r="AN125" s="48"/>
      <c r="AO125" s="48"/>
      <c r="AP125" s="48"/>
      <c r="AQ125" s="48"/>
      <c r="AR125" s="48"/>
      <c r="AS125" s="48"/>
      <c r="AT125" s="48"/>
      <c r="AU125" s="48"/>
      <c r="AV125" s="19"/>
      <c r="AW125" s="218"/>
      <c r="AX125" s="195"/>
      <c r="AY125" s="195"/>
      <c r="AZ125" s="195"/>
      <c r="BA125" s="195"/>
      <c r="BB125" s="454"/>
      <c r="BC125" s="454"/>
      <c r="BD125" s="455"/>
      <c r="BE125" s="195"/>
      <c r="BF125" s="454"/>
      <c r="BG125" s="260"/>
      <c r="BH125" s="142">
        <f t="shared" si="56"/>
        <v>120</v>
      </c>
      <c r="BI125" s="142">
        <f t="shared" si="51"/>
        <v>2.0943951023931953</v>
      </c>
      <c r="BJ125" s="142">
        <f t="shared" si="52"/>
        <v>1.7777777777777786</v>
      </c>
      <c r="BK125" s="19"/>
      <c r="BL125" s="19"/>
      <c r="BM125" s="142">
        <f t="shared" ca="1" si="53"/>
        <v>1542.1381267522722</v>
      </c>
      <c r="BN125" s="142">
        <f t="shared" ca="1" si="54"/>
        <v>15.421381267522722</v>
      </c>
      <c r="BO125" s="142">
        <f t="shared" ca="1" si="55"/>
        <v>1.5421381267522725E-23</v>
      </c>
      <c r="BP125" s="367">
        <f t="shared" ca="1" si="57"/>
        <v>0.42824313389154273</v>
      </c>
      <c r="BQ125" s="195"/>
      <c r="BR125" s="195"/>
      <c r="BS125" s="195"/>
      <c r="BT125" s="195"/>
      <c r="BU125" s="454"/>
      <c r="BV125" s="454"/>
      <c r="BW125" s="195"/>
      <c r="BX125" s="454"/>
      <c r="BY125" s="260"/>
      <c r="BZ125" s="195"/>
      <c r="CA125" s="19"/>
    </row>
    <row r="126" spans="1:79" x14ac:dyDescent="0.2">
      <c r="A126" s="42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19"/>
      <c r="Y126" s="19"/>
      <c r="Z126" s="19"/>
      <c r="AA126" s="19"/>
      <c r="AB126" s="19"/>
      <c r="AC126" s="19"/>
      <c r="AD126" s="19"/>
      <c r="AE126" s="19"/>
      <c r="AF126" s="19"/>
      <c r="AG126" s="472"/>
      <c r="AH126" s="19"/>
      <c r="AI126" s="19"/>
      <c r="AJ126" s="19"/>
      <c r="AK126" s="19"/>
      <c r="AL126" s="19"/>
      <c r="AM126" s="19"/>
      <c r="AN126" s="48"/>
      <c r="AO126" s="48"/>
      <c r="AP126" s="48"/>
      <c r="AQ126" s="48"/>
      <c r="AR126" s="48"/>
      <c r="AS126" s="48"/>
      <c r="AT126" s="48"/>
      <c r="AU126" s="48"/>
      <c r="AV126" s="19"/>
      <c r="AW126" s="218"/>
      <c r="AX126" s="195"/>
      <c r="AY126" s="195"/>
      <c r="AZ126" s="195"/>
      <c r="BA126" s="195"/>
      <c r="BB126" s="454"/>
      <c r="BC126" s="454"/>
      <c r="BD126" s="455"/>
      <c r="BE126" s="195"/>
      <c r="BF126" s="454"/>
      <c r="BG126" s="260"/>
      <c r="BH126" s="142">
        <f t="shared" si="56"/>
        <v>121</v>
      </c>
      <c r="BI126" s="142">
        <f t="shared" si="51"/>
        <v>2.1118483949131388</v>
      </c>
      <c r="BJ126" s="142">
        <f t="shared" si="52"/>
        <v>1.7426609382297933</v>
      </c>
      <c r="BK126" s="19"/>
      <c r="BL126" s="19"/>
      <c r="BM126" s="142">
        <f t="shared" ca="1" si="53"/>
        <v>1511.6759296009029</v>
      </c>
      <c r="BN126" s="142">
        <f t="shared" ca="1" si="54"/>
        <v>15.116759296009029</v>
      </c>
      <c r="BO126" s="142">
        <f t="shared" ca="1" si="55"/>
        <v>1.511675929600903E-23</v>
      </c>
      <c r="BP126" s="367">
        <f t="shared" ca="1" si="57"/>
        <v>0.41978395209257019</v>
      </c>
      <c r="BQ126" s="195"/>
      <c r="BR126" s="195"/>
      <c r="BS126" s="195"/>
      <c r="BT126" s="195"/>
      <c r="BU126" s="454"/>
      <c r="BV126" s="454"/>
      <c r="BW126" s="195"/>
      <c r="BX126" s="454"/>
      <c r="BY126" s="260"/>
      <c r="BZ126" s="195"/>
      <c r="CA126" s="19"/>
    </row>
    <row r="127" spans="1:79" x14ac:dyDescent="0.2">
      <c r="A127" s="42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19"/>
      <c r="Y127" s="19"/>
      <c r="Z127" s="19"/>
      <c r="AA127" s="19"/>
      <c r="AB127" s="19"/>
      <c r="AC127" s="19"/>
      <c r="AD127" s="19"/>
      <c r="AE127" s="19"/>
      <c r="AF127" s="19"/>
      <c r="AG127" s="472"/>
      <c r="AH127" s="19"/>
      <c r="AI127" s="19"/>
      <c r="AJ127" s="19"/>
      <c r="AK127" s="19"/>
      <c r="AL127" s="19"/>
      <c r="AM127" s="19"/>
      <c r="AN127" s="48"/>
      <c r="AO127" s="48"/>
      <c r="AP127" s="48"/>
      <c r="AQ127" s="48"/>
      <c r="AR127" s="48"/>
      <c r="AS127" s="48"/>
      <c r="AT127" s="48"/>
      <c r="AU127" s="48"/>
      <c r="AV127" s="19"/>
      <c r="AW127" s="218"/>
      <c r="AX127" s="195"/>
      <c r="AY127" s="195"/>
      <c r="AZ127" s="195"/>
      <c r="BA127" s="195"/>
      <c r="BB127" s="454"/>
      <c r="BC127" s="454"/>
      <c r="BD127" s="455"/>
      <c r="BE127" s="195"/>
      <c r="BF127" s="454"/>
      <c r="BG127" s="260"/>
      <c r="BH127" s="142">
        <f t="shared" si="56"/>
        <v>122</v>
      </c>
      <c r="BI127" s="142">
        <f t="shared" si="51"/>
        <v>2.1293016874330819</v>
      </c>
      <c r="BJ127" s="142">
        <f t="shared" si="52"/>
        <v>1.7089248499366618</v>
      </c>
      <c r="BK127" s="19"/>
      <c r="BL127" s="19"/>
      <c r="BM127" s="142">
        <f t="shared" ca="1" si="53"/>
        <v>1482.4114688484733</v>
      </c>
      <c r="BN127" s="142">
        <f t="shared" ca="1" si="54"/>
        <v>14.824114688484734</v>
      </c>
      <c r="BO127" s="142">
        <f t="shared" ca="1" si="55"/>
        <v>1.4824114688484735E-23</v>
      </c>
      <c r="BP127" s="367">
        <f t="shared" ca="1" si="57"/>
        <v>0.4116573749936307</v>
      </c>
      <c r="BQ127" s="195"/>
      <c r="BR127" s="195"/>
      <c r="BS127" s="195"/>
      <c r="BT127" s="195"/>
      <c r="BU127" s="454"/>
      <c r="BV127" s="454"/>
      <c r="BW127" s="195"/>
      <c r="BX127" s="454"/>
      <c r="BY127" s="260"/>
      <c r="BZ127" s="195"/>
      <c r="CA127" s="19"/>
    </row>
    <row r="128" spans="1:79" x14ac:dyDescent="0.2">
      <c r="A128" s="427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19"/>
      <c r="Y128" s="19"/>
      <c r="Z128" s="19"/>
      <c r="AA128" s="19"/>
      <c r="AB128" s="19"/>
      <c r="AC128" s="19"/>
      <c r="AD128" s="19"/>
      <c r="AE128" s="19"/>
      <c r="AF128" s="19"/>
      <c r="AG128" s="472"/>
      <c r="AH128" s="19"/>
      <c r="AI128" s="19"/>
      <c r="AJ128" s="19"/>
      <c r="AK128" s="19"/>
      <c r="AL128" s="19"/>
      <c r="AM128" s="19"/>
      <c r="AN128" s="48"/>
      <c r="AO128" s="48"/>
      <c r="AP128" s="48"/>
      <c r="AQ128" s="48"/>
      <c r="AR128" s="48"/>
      <c r="AS128" s="48"/>
      <c r="AT128" s="48"/>
      <c r="AU128" s="48"/>
      <c r="AV128" s="19"/>
      <c r="AW128" s="218"/>
      <c r="AX128" s="195"/>
      <c r="AY128" s="195"/>
      <c r="AZ128" s="195"/>
      <c r="BA128" s="195"/>
      <c r="BB128" s="454"/>
      <c r="BC128" s="454"/>
      <c r="BD128" s="455"/>
      <c r="BE128" s="195"/>
      <c r="BF128" s="454"/>
      <c r="BG128" s="260"/>
      <c r="BH128" s="142">
        <f t="shared" si="56"/>
        <v>123</v>
      </c>
      <c r="BI128" s="142">
        <f t="shared" si="51"/>
        <v>2.1467549799530254</v>
      </c>
      <c r="BJ128" s="142">
        <f t="shared" si="52"/>
        <v>1.6765093493280361</v>
      </c>
      <c r="BK128" s="19"/>
      <c r="BL128" s="19"/>
      <c r="BM128" s="142">
        <f t="shared" ca="1" si="53"/>
        <v>1454.2925554436665</v>
      </c>
      <c r="BN128" s="142">
        <f t="shared" ca="1" si="54"/>
        <v>14.542925554436666</v>
      </c>
      <c r="BO128" s="142">
        <f t="shared" ca="1" si="55"/>
        <v>1.4542925554436666E-23</v>
      </c>
      <c r="BP128" s="367">
        <f t="shared" ca="1" si="57"/>
        <v>0.40384890998702383</v>
      </c>
      <c r="BQ128" s="195"/>
      <c r="BR128" s="195"/>
      <c r="BS128" s="195"/>
      <c r="BT128" s="195"/>
      <c r="BU128" s="454"/>
      <c r="BV128" s="454"/>
      <c r="BW128" s="195"/>
      <c r="BX128" s="454"/>
      <c r="BY128" s="260"/>
      <c r="BZ128" s="195"/>
      <c r="CA128" s="19"/>
    </row>
    <row r="129" spans="1:79" x14ac:dyDescent="0.2">
      <c r="A129" s="42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19"/>
      <c r="Y129" s="19"/>
      <c r="Z129" s="19"/>
      <c r="AA129" s="19"/>
      <c r="AB129" s="19"/>
      <c r="AC129" s="19"/>
      <c r="AD129" s="19"/>
      <c r="AE129" s="19"/>
      <c r="AF129" s="19"/>
      <c r="AG129" s="472"/>
      <c r="AH129" s="19"/>
      <c r="AI129" s="19"/>
      <c r="AJ129" s="19"/>
      <c r="AK129" s="19"/>
      <c r="AL129" s="19"/>
      <c r="AM129" s="19"/>
      <c r="AN129" s="48"/>
      <c r="AO129" s="48"/>
      <c r="AP129" s="48"/>
      <c r="AQ129" s="48"/>
      <c r="AR129" s="48"/>
      <c r="AS129" s="48"/>
      <c r="AT129" s="48"/>
      <c r="AU129" s="48"/>
      <c r="AV129" s="19"/>
      <c r="AW129" s="218"/>
      <c r="AX129" s="195"/>
      <c r="AY129" s="195"/>
      <c r="AZ129" s="195"/>
      <c r="BA129" s="195"/>
      <c r="BB129" s="454"/>
      <c r="BC129" s="454"/>
      <c r="BD129" s="455"/>
      <c r="BE129" s="195"/>
      <c r="BF129" s="454"/>
      <c r="BG129" s="260"/>
      <c r="BH129" s="142">
        <f t="shared" si="56"/>
        <v>124</v>
      </c>
      <c r="BI129" s="142">
        <f t="shared" si="51"/>
        <v>2.1642082724729685</v>
      </c>
      <c r="BJ129" s="142">
        <f t="shared" si="52"/>
        <v>1.6453575652665728</v>
      </c>
      <c r="BK129" s="19"/>
      <c r="BL129" s="19"/>
      <c r="BM129" s="142">
        <f t="shared" ca="1" si="53"/>
        <v>1427.2698563650524</v>
      </c>
      <c r="BN129" s="142">
        <f t="shared" ca="1" si="54"/>
        <v>14.272698563650524</v>
      </c>
      <c r="BO129" s="142">
        <f t="shared" ca="1" si="55"/>
        <v>1.4272698563650524E-23</v>
      </c>
      <c r="BP129" s="367">
        <f t="shared" ca="1" si="57"/>
        <v>0.39634485756857735</v>
      </c>
      <c r="BQ129" s="195"/>
      <c r="BR129" s="195"/>
      <c r="BS129" s="195"/>
      <c r="BT129" s="195"/>
      <c r="BU129" s="454"/>
      <c r="BV129" s="454"/>
      <c r="BW129" s="195"/>
      <c r="BX129" s="454"/>
      <c r="BY129" s="260"/>
      <c r="BZ129" s="195"/>
      <c r="CA129" s="19"/>
    </row>
    <row r="130" spans="1:79" x14ac:dyDescent="0.2">
      <c r="A130" s="427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19"/>
      <c r="Y130" s="19"/>
      <c r="Z130" s="19"/>
      <c r="AA130" s="19"/>
      <c r="AB130" s="19"/>
      <c r="AC130" s="19"/>
      <c r="AD130" s="19"/>
      <c r="AE130" s="19"/>
      <c r="AF130" s="19"/>
      <c r="AG130" s="472"/>
      <c r="AH130" s="19"/>
      <c r="AI130" s="19"/>
      <c r="AJ130" s="19"/>
      <c r="AK130" s="19"/>
      <c r="AL130" s="19"/>
      <c r="AM130" s="19"/>
      <c r="AN130" s="48"/>
      <c r="AO130" s="48"/>
      <c r="AP130" s="48"/>
      <c r="AQ130" s="48"/>
      <c r="AR130" s="48"/>
      <c r="AS130" s="48"/>
      <c r="AT130" s="48"/>
      <c r="AU130" s="48"/>
      <c r="AV130" s="19"/>
      <c r="AW130" s="218"/>
      <c r="AX130" s="195"/>
      <c r="AY130" s="195"/>
      <c r="AZ130" s="195"/>
      <c r="BA130" s="195"/>
      <c r="BB130" s="454"/>
      <c r="BC130" s="454"/>
      <c r="BD130" s="455"/>
      <c r="BE130" s="195"/>
      <c r="BF130" s="454"/>
      <c r="BG130" s="260"/>
      <c r="BH130" s="142">
        <f t="shared" si="56"/>
        <v>125</v>
      </c>
      <c r="BI130" s="142">
        <f t="shared" si="51"/>
        <v>2.1816615649929121</v>
      </c>
      <c r="BJ130" s="142">
        <f t="shared" si="52"/>
        <v>1.6154157176723274</v>
      </c>
      <c r="BK130" s="19"/>
      <c r="BL130" s="19"/>
      <c r="BM130" s="142">
        <f t="shared" ca="1" si="53"/>
        <v>1401.2967199372758</v>
      </c>
      <c r="BN130" s="142">
        <f t="shared" ca="1" si="54"/>
        <v>14.012967199372758</v>
      </c>
      <c r="BO130" s="142">
        <f t="shared" ca="1" si="55"/>
        <v>1.401296719937276E-23</v>
      </c>
      <c r="BP130" s="367">
        <f t="shared" ca="1" si="57"/>
        <v>0.38913226282892971</v>
      </c>
      <c r="BQ130" s="195"/>
      <c r="BR130" s="195"/>
      <c r="BS130" s="195"/>
      <c r="BT130" s="195"/>
      <c r="BU130" s="454"/>
      <c r="BV130" s="454"/>
      <c r="BW130" s="195"/>
      <c r="BX130" s="454"/>
      <c r="BY130" s="260"/>
      <c r="BZ130" s="195"/>
      <c r="CA130" s="19"/>
    </row>
    <row r="131" spans="1:79" x14ac:dyDescent="0.2">
      <c r="A131" s="42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19"/>
      <c r="Y131" s="19"/>
      <c r="Z131" s="19"/>
      <c r="AA131" s="19"/>
      <c r="AB131" s="19"/>
      <c r="AC131" s="19"/>
      <c r="AD131" s="19"/>
      <c r="AE131" s="19"/>
      <c r="AF131" s="19"/>
      <c r="AG131" s="472"/>
      <c r="AH131" s="19"/>
      <c r="AI131" s="19"/>
      <c r="AJ131" s="19"/>
      <c r="AK131" s="19"/>
      <c r="AL131" s="19"/>
      <c r="AM131" s="19"/>
      <c r="AN131" s="48"/>
      <c r="AO131" s="48"/>
      <c r="AP131" s="48"/>
      <c r="AQ131" s="48"/>
      <c r="AR131" s="48"/>
      <c r="AS131" s="48"/>
      <c r="AT131" s="48"/>
      <c r="AU131" s="48"/>
      <c r="AV131" s="19"/>
      <c r="AW131" s="218"/>
      <c r="AX131" s="195"/>
      <c r="AY131" s="195"/>
      <c r="AZ131" s="195"/>
      <c r="BA131" s="195"/>
      <c r="BB131" s="454"/>
      <c r="BC131" s="454"/>
      <c r="BD131" s="455"/>
      <c r="BE131" s="195"/>
      <c r="BF131" s="454"/>
      <c r="BG131" s="260"/>
      <c r="BH131" s="142">
        <f t="shared" si="56"/>
        <v>126</v>
      </c>
      <c r="BI131" s="142">
        <f t="shared" si="51"/>
        <v>2.1991148575128552</v>
      </c>
      <c r="BJ131" s="142">
        <f t="shared" si="52"/>
        <v>1.5866329301948654</v>
      </c>
      <c r="BK131" s="19"/>
      <c r="BL131" s="19"/>
      <c r="BM131" s="142">
        <f t="shared" ca="1" si="53"/>
        <v>1376.3290133329749</v>
      </c>
      <c r="BN131" s="142">
        <f t="shared" ca="1" si="54"/>
        <v>13.763290133329749</v>
      </c>
      <c r="BO131" s="142">
        <f t="shared" ca="1" si="55"/>
        <v>1.376329013332975E-23</v>
      </c>
      <c r="BP131" s="367">
        <f t="shared" ca="1" si="57"/>
        <v>0.3821988703287208</v>
      </c>
      <c r="BQ131" s="195"/>
      <c r="BR131" s="195"/>
      <c r="BS131" s="195"/>
      <c r="BT131" s="195"/>
      <c r="BU131" s="454"/>
      <c r="BV131" s="454"/>
      <c r="BW131" s="195"/>
      <c r="BX131" s="454"/>
      <c r="BY131" s="260"/>
      <c r="BZ131" s="195"/>
      <c r="CA131" s="19"/>
    </row>
    <row r="132" spans="1:79" x14ac:dyDescent="0.2">
      <c r="A132" s="427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5"/>
      <c r="AH132" s="474"/>
      <c r="AI132" s="474"/>
      <c r="AJ132" s="474"/>
      <c r="AK132" s="474"/>
      <c r="AL132" s="19"/>
      <c r="AM132" s="19"/>
      <c r="AN132" s="48"/>
      <c r="AO132" s="48"/>
      <c r="AP132" s="48"/>
      <c r="AQ132" s="48"/>
      <c r="AR132" s="48"/>
      <c r="AS132" s="48"/>
      <c r="AT132" s="48"/>
      <c r="AU132" s="48"/>
      <c r="AV132" s="19"/>
      <c r="AW132" s="218"/>
      <c r="AX132" s="195"/>
      <c r="AY132" s="195"/>
      <c r="AZ132" s="195"/>
      <c r="BA132" s="195"/>
      <c r="BB132" s="454"/>
      <c r="BC132" s="454"/>
      <c r="BD132" s="455"/>
      <c r="BE132" s="195"/>
      <c r="BF132" s="454"/>
      <c r="BG132" s="260"/>
      <c r="BH132" s="142">
        <f t="shared" si="56"/>
        <v>127</v>
      </c>
      <c r="BI132" s="142">
        <f t="shared" si="51"/>
        <v>2.2165681500327987</v>
      </c>
      <c r="BJ132" s="142">
        <f t="shared" si="52"/>
        <v>1.5589610558554821</v>
      </c>
      <c r="BK132" s="19"/>
      <c r="BL132" s="19"/>
      <c r="BM132" s="142">
        <f t="shared" ca="1" si="53"/>
        <v>1352.324971325653</v>
      </c>
      <c r="BN132" s="142">
        <f t="shared" ca="1" si="54"/>
        <v>13.523249713256529</v>
      </c>
      <c r="BO132" s="142">
        <f t="shared" ca="1" si="55"/>
        <v>1.3523249713256532E-23</v>
      </c>
      <c r="BP132" s="367">
        <f t="shared" ca="1" si="57"/>
        <v>0.37553308209811109</v>
      </c>
      <c r="BQ132" s="195"/>
      <c r="BR132" s="195"/>
      <c r="BS132" s="195"/>
      <c r="BT132" s="195"/>
      <c r="BU132" s="454"/>
      <c r="BV132" s="454"/>
      <c r="BW132" s="195"/>
      <c r="BX132" s="454"/>
      <c r="BY132" s="260"/>
      <c r="BZ132" s="195"/>
      <c r="CA132" s="19"/>
    </row>
    <row r="133" spans="1:79" x14ac:dyDescent="0.2">
      <c r="A133" s="42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74"/>
      <c r="Y133" s="474"/>
      <c r="Z133" s="474"/>
      <c r="AA133" s="474"/>
      <c r="AB133" s="474"/>
      <c r="AC133" s="474"/>
      <c r="AD133" s="474"/>
      <c r="AE133" s="474"/>
      <c r="AF133" s="474"/>
      <c r="AG133" s="475"/>
      <c r="AH133" s="474"/>
      <c r="AI133" s="474"/>
      <c r="AJ133" s="474"/>
      <c r="AK133" s="474"/>
      <c r="AL133" s="19"/>
      <c r="AM133" s="19"/>
      <c r="AN133" s="48"/>
      <c r="AO133" s="48"/>
      <c r="AP133" s="48"/>
      <c r="AQ133" s="48"/>
      <c r="AR133" s="48"/>
      <c r="AS133" s="48"/>
      <c r="AT133" s="48"/>
      <c r="AU133" s="48"/>
      <c r="AV133" s="19"/>
      <c r="AW133" s="218"/>
      <c r="AX133" s="195"/>
      <c r="AY133" s="195"/>
      <c r="AZ133" s="195"/>
      <c r="BA133" s="195"/>
      <c r="BB133" s="454"/>
      <c r="BC133" s="454"/>
      <c r="BD133" s="455"/>
      <c r="BE133" s="195"/>
      <c r="BF133" s="454"/>
      <c r="BG133" s="260"/>
      <c r="BH133" s="142">
        <f t="shared" si="56"/>
        <v>128</v>
      </c>
      <c r="BI133" s="142">
        <f t="shared" si="51"/>
        <v>2.2340214425527418</v>
      </c>
      <c r="BJ133" s="142">
        <f t="shared" si="52"/>
        <v>1.5323545146728759</v>
      </c>
      <c r="BK133" s="19"/>
      <c r="BL133" s="19"/>
      <c r="BM133" s="142">
        <f t="shared" ca="1" si="53"/>
        <v>1329.2450554376335</v>
      </c>
      <c r="BN133" s="142">
        <f t="shared" ca="1" si="54"/>
        <v>13.292450554376336</v>
      </c>
      <c r="BO133" s="142">
        <f t="shared" ca="1" si="55"/>
        <v>1.3292450554376338E-23</v>
      </c>
      <c r="BP133" s="367">
        <f t="shared" ca="1" si="57"/>
        <v>0.36912391852295595</v>
      </c>
      <c r="BQ133" s="195"/>
      <c r="BR133" s="195"/>
      <c r="BS133" s="195"/>
      <c r="BT133" s="195"/>
      <c r="BU133" s="454"/>
      <c r="BV133" s="454"/>
      <c r="BW133" s="195"/>
      <c r="BX133" s="454"/>
      <c r="BY133" s="260"/>
      <c r="BZ133" s="195"/>
      <c r="CA133" s="19"/>
    </row>
    <row r="134" spans="1:79" x14ac:dyDescent="0.2">
      <c r="A134" s="42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74"/>
      <c r="Y134" s="474"/>
      <c r="Z134" s="474"/>
      <c r="AA134" s="474"/>
      <c r="AB134" s="474"/>
      <c r="AC134" s="474"/>
      <c r="AD134" s="474"/>
      <c r="AE134" s="474"/>
      <c r="AF134" s="474"/>
      <c r="AG134" s="475"/>
      <c r="AH134" s="474"/>
      <c r="AI134" s="474"/>
      <c r="AJ134" s="474"/>
      <c r="AK134" s="474"/>
      <c r="AL134" s="19"/>
      <c r="AM134" s="19"/>
      <c r="AN134" s="48"/>
      <c r="AO134" s="48"/>
      <c r="AP134" s="48"/>
      <c r="AQ134" s="48"/>
      <c r="AR134" s="48"/>
      <c r="AS134" s="48"/>
      <c r="AT134" s="48"/>
      <c r="AU134" s="48"/>
      <c r="AV134" s="19"/>
      <c r="AW134" s="218"/>
      <c r="AX134" s="195"/>
      <c r="AY134" s="195"/>
      <c r="AZ134" s="195"/>
      <c r="BA134" s="195"/>
      <c r="BB134" s="454"/>
      <c r="BC134" s="454"/>
      <c r="BD134" s="455"/>
      <c r="BE134" s="195"/>
      <c r="BF134" s="454"/>
      <c r="BG134" s="260"/>
      <c r="BH134" s="142">
        <f t="shared" si="56"/>
        <v>129</v>
      </c>
      <c r="BI134" s="142">
        <f t="shared" ref="BI134:BI186" si="58">RADIANS(BH134)</f>
        <v>2.2514747350726849</v>
      </c>
      <c r="BJ134" s="142">
        <f t="shared" ref="BJ134:BJ186" si="59">SIN(BI134/2)^-4</f>
        <v>1.5067701423680857</v>
      </c>
      <c r="BK134" s="19"/>
      <c r="BL134" s="19"/>
      <c r="BM134" s="142">
        <f t="shared" ref="BM134:BM186" ca="1" si="60">$BK$5*$N$19*BJ134</f>
        <v>1307.0518226987474</v>
      </c>
      <c r="BN134" s="142">
        <f t="shared" ref="BN134:BN186" ca="1" si="61">BM134/100</f>
        <v>13.070518226987474</v>
      </c>
      <c r="BO134" s="142">
        <f t="shared" ref="BO134:BO186" ca="1" si="62">BN134*10^-24</f>
        <v>1.3070518226987475E-23</v>
      </c>
      <c r="BP134" s="367">
        <f t="shared" ca="1" si="57"/>
        <v>0.36296098189982706</v>
      </c>
      <c r="BQ134" s="195"/>
      <c r="BR134" s="195"/>
      <c r="BS134" s="195"/>
      <c r="BT134" s="195"/>
      <c r="BU134" s="454"/>
      <c r="BV134" s="454"/>
      <c r="BW134" s="195"/>
      <c r="BX134" s="454"/>
      <c r="BY134" s="260"/>
      <c r="BZ134" s="195"/>
      <c r="CA134" s="19"/>
    </row>
    <row r="135" spans="1:79" x14ac:dyDescent="0.2">
      <c r="A135" s="427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19"/>
      <c r="Y135" s="19"/>
      <c r="Z135" s="19"/>
      <c r="AA135" s="19"/>
      <c r="AB135" s="19"/>
      <c r="AC135" s="19"/>
      <c r="AD135" s="19"/>
      <c r="AE135" s="19"/>
      <c r="AF135" s="19"/>
      <c r="AG135" s="472"/>
      <c r="AH135" s="19"/>
      <c r="AI135" s="19"/>
      <c r="AJ135" s="19"/>
      <c r="AK135" s="19"/>
      <c r="AL135" s="19"/>
      <c r="AM135" s="19"/>
      <c r="AN135" s="48"/>
      <c r="AO135" s="48"/>
      <c r="AP135" s="48"/>
      <c r="AQ135" s="48"/>
      <c r="AR135" s="48"/>
      <c r="AS135" s="48"/>
      <c r="AT135" s="48"/>
      <c r="AU135" s="48"/>
      <c r="AV135" s="19"/>
      <c r="AW135" s="218"/>
      <c r="AX135" s="195"/>
      <c r="AY135" s="195"/>
      <c r="AZ135" s="195"/>
      <c r="BA135" s="195"/>
      <c r="BB135" s="454"/>
      <c r="BC135" s="454"/>
      <c r="BD135" s="455"/>
      <c r="BE135" s="195"/>
      <c r="BF135" s="454"/>
      <c r="BG135" s="260"/>
      <c r="BH135" s="142">
        <f t="shared" ref="BH135:BH186" si="63">BH134+1</f>
        <v>130</v>
      </c>
      <c r="BI135" s="142">
        <f t="shared" si="58"/>
        <v>2.2689280275926285</v>
      </c>
      <c r="BJ135" s="142">
        <f t="shared" si="59"/>
        <v>1.4821670493196619</v>
      </c>
      <c r="BK135" s="19"/>
      <c r="BL135" s="19"/>
      <c r="BM135" s="142">
        <f t="shared" ca="1" si="60"/>
        <v>1285.709803296618</v>
      </c>
      <c r="BN135" s="142">
        <f t="shared" ca="1" si="61"/>
        <v>12.85709803296618</v>
      </c>
      <c r="BO135" s="142">
        <f t="shared" ca="1" si="62"/>
        <v>1.285709803296618E-23</v>
      </c>
      <c r="BP135" s="367">
        <f t="shared" ref="BP135:BP186" ca="1" si="64">$K$16*$K$17*BO135*$BL$5*($K$18/100)</f>
        <v>0.3570344224601808</v>
      </c>
      <c r="BQ135" s="195"/>
      <c r="BR135" s="195"/>
      <c r="BS135" s="195"/>
      <c r="BT135" s="195"/>
      <c r="BU135" s="454"/>
      <c r="BV135" s="454"/>
      <c r="BW135" s="195"/>
      <c r="BX135" s="454"/>
      <c r="BY135" s="260"/>
      <c r="BZ135" s="195"/>
      <c r="CA135" s="19"/>
    </row>
    <row r="136" spans="1:79" x14ac:dyDescent="0.2">
      <c r="A136" s="42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19"/>
      <c r="AG136" s="472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19"/>
      <c r="AW136" s="218"/>
      <c r="AX136" s="195"/>
      <c r="AY136" s="195"/>
      <c r="AZ136" s="195"/>
      <c r="BA136" s="195"/>
      <c r="BB136" s="454"/>
      <c r="BC136" s="454"/>
      <c r="BD136" s="455"/>
      <c r="BE136" s="195"/>
      <c r="BF136" s="454"/>
      <c r="BG136" s="260"/>
      <c r="BH136" s="142">
        <f t="shared" si="63"/>
        <v>131</v>
      </c>
      <c r="BI136" s="142">
        <f t="shared" si="58"/>
        <v>2.2863813201125716</v>
      </c>
      <c r="BJ136" s="142">
        <f t="shared" si="59"/>
        <v>1.4585064890083375</v>
      </c>
      <c r="BK136" s="19"/>
      <c r="BL136" s="19"/>
      <c r="BM136" s="142">
        <f t="shared" ca="1" si="60"/>
        <v>1265.1853864586344</v>
      </c>
      <c r="BN136" s="142">
        <f t="shared" ca="1" si="61"/>
        <v>12.651853864586345</v>
      </c>
      <c r="BO136" s="142">
        <f t="shared" ca="1" si="62"/>
        <v>1.2651853864586347E-23</v>
      </c>
      <c r="BP136" s="367">
        <f t="shared" ca="1" si="64"/>
        <v>0.35133490668042067</v>
      </c>
      <c r="BQ136" s="195"/>
      <c r="BR136" s="195"/>
      <c r="BS136" s="195"/>
      <c r="BT136" s="195"/>
      <c r="BU136" s="454"/>
      <c r="BV136" s="454"/>
      <c r="BW136" s="195"/>
      <c r="BX136" s="454"/>
      <c r="BY136" s="260"/>
      <c r="BZ136" s="195"/>
      <c r="CA136" s="19"/>
    </row>
    <row r="137" spans="1:79" x14ac:dyDescent="0.2">
      <c r="A137" s="427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19"/>
      <c r="AG137" s="472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19"/>
      <c r="AW137" s="218"/>
      <c r="AX137" s="195"/>
      <c r="AY137" s="195"/>
      <c r="AZ137" s="195"/>
      <c r="BA137" s="195"/>
      <c r="BB137" s="454"/>
      <c r="BC137" s="454"/>
      <c r="BD137" s="455"/>
      <c r="BE137" s="195"/>
      <c r="BF137" s="454"/>
      <c r="BG137" s="260"/>
      <c r="BH137" s="142">
        <f t="shared" si="63"/>
        <v>132</v>
      </c>
      <c r="BI137" s="142">
        <f t="shared" si="58"/>
        <v>2.3038346126325151</v>
      </c>
      <c r="BJ137" s="142">
        <f t="shared" si="59"/>
        <v>1.4357517352527081</v>
      </c>
      <c r="BK137" s="19"/>
      <c r="BL137" s="19"/>
      <c r="BM137" s="142">
        <f t="shared" ca="1" si="60"/>
        <v>1245.4467139597132</v>
      </c>
      <c r="BN137" s="142">
        <f t="shared" ca="1" si="61"/>
        <v>12.454467139597131</v>
      </c>
      <c r="BO137" s="142">
        <f t="shared" ca="1" si="62"/>
        <v>1.2454467139597133E-23</v>
      </c>
      <c r="BP137" s="367">
        <f t="shared" ca="1" si="64"/>
        <v>0.34585358770959751</v>
      </c>
      <c r="BQ137" s="195"/>
      <c r="BR137" s="195"/>
      <c r="BS137" s="195"/>
      <c r="BT137" s="195"/>
      <c r="BU137" s="454"/>
      <c r="BV137" s="454"/>
      <c r="BW137" s="195"/>
      <c r="BX137" s="454"/>
      <c r="BY137" s="260"/>
      <c r="BZ137" s="195"/>
      <c r="CA137" s="19"/>
    </row>
    <row r="138" spans="1:79" x14ac:dyDescent="0.2">
      <c r="A138" s="42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19"/>
      <c r="AG138" s="472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19"/>
      <c r="AW138" s="218"/>
      <c r="AX138" s="195"/>
      <c r="AY138" s="195"/>
      <c r="AZ138" s="195"/>
      <c r="BA138" s="195"/>
      <c r="BB138" s="454"/>
      <c r="BC138" s="454"/>
      <c r="BD138" s="455"/>
      <c r="BE138" s="195"/>
      <c r="BF138" s="454"/>
      <c r="BG138" s="260"/>
      <c r="BH138" s="142">
        <f t="shared" si="63"/>
        <v>133</v>
      </c>
      <c r="BI138" s="142">
        <f t="shared" si="58"/>
        <v>2.3212879051524582</v>
      </c>
      <c r="BJ138" s="142">
        <f t="shared" si="59"/>
        <v>1.4138679675941954</v>
      </c>
      <c r="BK138" s="19"/>
      <c r="BL138" s="19"/>
      <c r="BM138" s="142">
        <f t="shared" ca="1" si="60"/>
        <v>1226.4635806991741</v>
      </c>
      <c r="BN138" s="142">
        <f t="shared" ca="1" si="61"/>
        <v>12.264635806991741</v>
      </c>
      <c r="BO138" s="142">
        <f t="shared" ca="1" si="62"/>
        <v>1.2264635806991743E-23</v>
      </c>
      <c r="BP138" s="367">
        <f t="shared" ca="1" si="64"/>
        <v>0.34058207776016491</v>
      </c>
      <c r="BQ138" s="195"/>
      <c r="BR138" s="195"/>
      <c r="BS138" s="195"/>
      <c r="BT138" s="195"/>
      <c r="BU138" s="454"/>
      <c r="BV138" s="454"/>
      <c r="BW138" s="195"/>
      <c r="BX138" s="454"/>
      <c r="BY138" s="260"/>
      <c r="BZ138" s="195"/>
      <c r="CA138" s="19"/>
    </row>
    <row r="139" spans="1:79" x14ac:dyDescent="0.2">
      <c r="A139" s="42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19"/>
      <c r="AG139" s="472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19"/>
      <c r="AW139" s="218"/>
      <c r="AX139" s="195"/>
      <c r="AY139" s="195"/>
      <c r="AZ139" s="195"/>
      <c r="BA139" s="195"/>
      <c r="BB139" s="454"/>
      <c r="BC139" s="454"/>
      <c r="BD139" s="455"/>
      <c r="BE139" s="195"/>
      <c r="BF139" s="454"/>
      <c r="BG139" s="260"/>
      <c r="BH139" s="142">
        <f t="shared" si="63"/>
        <v>134</v>
      </c>
      <c r="BI139" s="142">
        <f t="shared" si="58"/>
        <v>2.3387411976724017</v>
      </c>
      <c r="BJ139" s="142">
        <f t="shared" si="59"/>
        <v>1.3928221642413117</v>
      </c>
      <c r="BK139" s="19"/>
      <c r="BL139" s="19"/>
      <c r="BM139" s="142">
        <f t="shared" ca="1" si="60"/>
        <v>1208.2073418349544</v>
      </c>
      <c r="BN139" s="142">
        <f t="shared" ca="1" si="61"/>
        <v>12.082073418349545</v>
      </c>
      <c r="BO139" s="142">
        <f t="shared" ca="1" si="62"/>
        <v>1.2082073418349546E-23</v>
      </c>
      <c r="BP139" s="367">
        <f t="shared" ca="1" si="64"/>
        <v>0.33551242231966882</v>
      </c>
      <c r="BQ139" s="195"/>
      <c r="BR139" s="195"/>
      <c r="BS139" s="195"/>
      <c r="BT139" s="195"/>
      <c r="BU139" s="454"/>
      <c r="BV139" s="454"/>
      <c r="BW139" s="195"/>
      <c r="BX139" s="454"/>
      <c r="BY139" s="260"/>
      <c r="BZ139" s="195"/>
      <c r="CA139" s="19"/>
    </row>
    <row r="140" spans="1:79" x14ac:dyDescent="0.2">
      <c r="A140" s="427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19"/>
      <c r="AG140" s="472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19"/>
      <c r="AW140" s="218"/>
      <c r="AX140" s="195"/>
      <c r="AY140" s="195"/>
      <c r="AZ140" s="195"/>
      <c r="BA140" s="195"/>
      <c r="BB140" s="454"/>
      <c r="BC140" s="454"/>
      <c r="BD140" s="455"/>
      <c r="BE140" s="195"/>
      <c r="BF140" s="454"/>
      <c r="BG140" s="260"/>
      <c r="BH140" s="461">
        <f t="shared" si="63"/>
        <v>135</v>
      </c>
      <c r="BI140" s="461">
        <f t="shared" si="58"/>
        <v>2.3561944901923448</v>
      </c>
      <c r="BJ140" s="461">
        <f t="shared" si="59"/>
        <v>1.3725830020304792</v>
      </c>
      <c r="BK140" s="462"/>
      <c r="BL140" s="462"/>
      <c r="BM140" s="461">
        <f t="shared" ca="1" si="60"/>
        <v>1190.6508260043522</v>
      </c>
      <c r="BN140" s="461">
        <f t="shared" ca="1" si="61"/>
        <v>11.906508260043521</v>
      </c>
      <c r="BO140" s="461">
        <f t="shared" ca="1" si="62"/>
        <v>1.1906508260043522E-23</v>
      </c>
      <c r="BP140" s="476">
        <f t="shared" ca="1" si="64"/>
        <v>0.33063707605263409</v>
      </c>
      <c r="BQ140" s="195"/>
      <c r="BR140" s="195"/>
      <c r="BS140" s="195"/>
      <c r="BT140" s="195"/>
      <c r="BU140" s="454"/>
      <c r="BV140" s="454"/>
      <c r="BW140" s="195"/>
      <c r="BX140" s="454"/>
      <c r="BY140" s="260"/>
      <c r="BZ140" s="195"/>
      <c r="CA140" s="19"/>
    </row>
    <row r="141" spans="1:79" x14ac:dyDescent="0.2">
      <c r="A141" s="42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19"/>
      <c r="AG141" s="472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19"/>
      <c r="AW141" s="218"/>
      <c r="AX141" s="195"/>
      <c r="AY141" s="195"/>
      <c r="AZ141" s="195"/>
      <c r="BA141" s="195"/>
      <c r="BB141" s="454"/>
      <c r="BC141" s="454"/>
      <c r="BD141" s="455"/>
      <c r="BE141" s="195"/>
      <c r="BF141" s="454"/>
      <c r="BG141" s="260"/>
      <c r="BH141" s="142">
        <f t="shared" si="63"/>
        <v>136</v>
      </c>
      <c r="BI141" s="142">
        <f t="shared" si="58"/>
        <v>2.3736477827122884</v>
      </c>
      <c r="BJ141" s="142">
        <f t="shared" si="59"/>
        <v>1.3531207629038575</v>
      </c>
      <c r="BK141" s="19"/>
      <c r="BL141" s="19"/>
      <c r="BM141" s="142">
        <f t="shared" ca="1" si="60"/>
        <v>1173.7682541979648</v>
      </c>
      <c r="BN141" s="142">
        <f t="shared" ca="1" si="61"/>
        <v>11.737682541979648</v>
      </c>
      <c r="BO141" s="142">
        <f t="shared" ca="1" si="62"/>
        <v>1.173768254197965E-23</v>
      </c>
      <c r="BP141" s="367">
        <f t="shared" ca="1" si="64"/>
        <v>0.32594888027231045</v>
      </c>
      <c r="BQ141" s="195"/>
      <c r="BR141" s="195"/>
      <c r="BS141" s="195"/>
      <c r="BT141" s="195"/>
      <c r="BU141" s="454"/>
      <c r="BV141" s="454"/>
      <c r="BW141" s="195"/>
      <c r="BX141" s="454"/>
      <c r="BY141" s="260"/>
      <c r="BZ141" s="195"/>
      <c r="CA141" s="19"/>
    </row>
    <row r="142" spans="1:79" x14ac:dyDescent="0.2">
      <c r="A142" s="427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19"/>
      <c r="AG142" s="472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19"/>
      <c r="AW142" s="218"/>
      <c r="AX142" s="195"/>
      <c r="AY142" s="195"/>
      <c r="AZ142" s="195"/>
      <c r="BA142" s="195"/>
      <c r="BB142" s="454"/>
      <c r="BC142" s="454"/>
      <c r="BD142" s="455"/>
      <c r="BE142" s="195"/>
      <c r="BF142" s="454"/>
      <c r="BG142" s="260"/>
      <c r="BH142" s="142">
        <f t="shared" si="63"/>
        <v>137</v>
      </c>
      <c r="BI142" s="142">
        <f t="shared" si="58"/>
        <v>2.3911010752322315</v>
      </c>
      <c r="BJ142" s="142">
        <f t="shared" si="59"/>
        <v>1.3344072464440668</v>
      </c>
      <c r="BK142" s="19"/>
      <c r="BL142" s="19"/>
      <c r="BM142" s="142">
        <f t="shared" ca="1" si="60"/>
        <v>1157.5351638876994</v>
      </c>
      <c r="BN142" s="142">
        <f t="shared" ca="1" si="61"/>
        <v>11.575351638876993</v>
      </c>
      <c r="BO142" s="142">
        <f t="shared" ca="1" si="62"/>
        <v>1.1575351638876995E-23</v>
      </c>
      <c r="BP142" s="367">
        <f t="shared" ca="1" si="64"/>
        <v>0.32144104187144501</v>
      </c>
      <c r="BQ142" s="195"/>
      <c r="BR142" s="195"/>
      <c r="BS142" s="195"/>
      <c r="BT142" s="195"/>
      <c r="BU142" s="454"/>
      <c r="BV142" s="454"/>
      <c r="BW142" s="195"/>
      <c r="BX142" s="454"/>
      <c r="BY142" s="260"/>
      <c r="BZ142" s="195"/>
      <c r="CA142" s="19"/>
    </row>
    <row r="143" spans="1:79" x14ac:dyDescent="0.2">
      <c r="A143" s="42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19"/>
      <c r="AG143" s="472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19"/>
      <c r="AW143" s="218"/>
      <c r="AX143" s="195"/>
      <c r="AY143" s="195"/>
      <c r="AZ143" s="195"/>
      <c r="BA143" s="195"/>
      <c r="BB143" s="454"/>
      <c r="BC143" s="454"/>
      <c r="BD143" s="455"/>
      <c r="BE143" s="195"/>
      <c r="BF143" s="454"/>
      <c r="BG143" s="260"/>
      <c r="BH143" s="142">
        <f t="shared" si="63"/>
        <v>138</v>
      </c>
      <c r="BI143" s="142">
        <f t="shared" si="58"/>
        <v>2.4085543677521746</v>
      </c>
      <c r="BJ143" s="142">
        <f t="shared" si="59"/>
        <v>1.3164156880418083</v>
      </c>
      <c r="BK143" s="19"/>
      <c r="BL143" s="19"/>
      <c r="BM143" s="142">
        <f t="shared" ca="1" si="60"/>
        <v>1141.9283380410545</v>
      </c>
      <c r="BN143" s="142">
        <f t="shared" ca="1" si="61"/>
        <v>11.419283380410546</v>
      </c>
      <c r="BO143" s="142">
        <f t="shared" ca="1" si="62"/>
        <v>1.1419283380410548E-23</v>
      </c>
      <c r="BP143" s="367">
        <f t="shared" ca="1" si="64"/>
        <v>0.31710711360994609</v>
      </c>
      <c r="BQ143" s="195"/>
      <c r="BR143" s="195"/>
      <c r="BS143" s="195"/>
      <c r="BT143" s="195"/>
      <c r="BU143" s="454"/>
      <c r="BV143" s="454"/>
      <c r="BW143" s="195"/>
      <c r="BX143" s="454"/>
      <c r="BY143" s="260"/>
      <c r="BZ143" s="195"/>
      <c r="CA143" s="19"/>
    </row>
    <row r="144" spans="1:79" x14ac:dyDescent="0.2">
      <c r="A144" s="42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19"/>
      <c r="AG144" s="472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19"/>
      <c r="AW144" s="218"/>
      <c r="AX144" s="195"/>
      <c r="AY144" s="195"/>
      <c r="AZ144" s="195"/>
      <c r="BA144" s="195"/>
      <c r="BB144" s="454"/>
      <c r="BC144" s="454"/>
      <c r="BD144" s="455"/>
      <c r="BE144" s="195"/>
      <c r="BF144" s="454"/>
      <c r="BG144" s="260"/>
      <c r="BH144" s="142">
        <f t="shared" si="63"/>
        <v>139</v>
      </c>
      <c r="BI144" s="142">
        <f t="shared" si="58"/>
        <v>2.4260076602721181</v>
      </c>
      <c r="BJ144" s="142">
        <f t="shared" si="59"/>
        <v>1.2991206823054462</v>
      </c>
      <c r="BK144" s="19"/>
      <c r="BL144" s="19"/>
      <c r="BM144" s="142">
        <f t="shared" ca="1" si="60"/>
        <v>1126.9257386825552</v>
      </c>
      <c r="BN144" s="142">
        <f t="shared" ca="1" si="61"/>
        <v>11.269257386825553</v>
      </c>
      <c r="BO144" s="142">
        <f t="shared" ca="1" si="62"/>
        <v>1.1269257386825553E-23</v>
      </c>
      <c r="BP144" s="367">
        <f t="shared" ca="1" si="64"/>
        <v>0.31294097566526435</v>
      </c>
      <c r="BQ144" s="195"/>
      <c r="BR144" s="195"/>
      <c r="BS144" s="195"/>
      <c r="BT144" s="195"/>
      <c r="BU144" s="454"/>
      <c r="BV144" s="454"/>
      <c r="BW144" s="195"/>
      <c r="BX144" s="454"/>
      <c r="BY144" s="260"/>
      <c r="BZ144" s="195"/>
      <c r="CA144" s="19"/>
    </row>
    <row r="145" spans="1:79" x14ac:dyDescent="0.2">
      <c r="A145" s="42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19"/>
      <c r="AG145" s="472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19"/>
      <c r="AW145" s="218"/>
      <c r="AX145" s="195"/>
      <c r="AY145" s="195"/>
      <c r="AZ145" s="195"/>
      <c r="BA145" s="195"/>
      <c r="BB145" s="454"/>
      <c r="BC145" s="454"/>
      <c r="BD145" s="455"/>
      <c r="BE145" s="195"/>
      <c r="BF145" s="454"/>
      <c r="BG145" s="260"/>
      <c r="BH145" s="142">
        <f t="shared" si="63"/>
        <v>140</v>
      </c>
      <c r="BI145" s="142">
        <f t="shared" si="58"/>
        <v>2.4434609527920612</v>
      </c>
      <c r="BJ145" s="142">
        <f t="shared" si="59"/>
        <v>1.2824981113518898</v>
      </c>
      <c r="BK145" s="19"/>
      <c r="BL145" s="19"/>
      <c r="BM145" s="142">
        <f t="shared" ca="1" si="60"/>
        <v>1112.5064446894855</v>
      </c>
      <c r="BN145" s="142">
        <f t="shared" ca="1" si="61"/>
        <v>11.125064446894855</v>
      </c>
      <c r="BO145" s="142">
        <f t="shared" ca="1" si="62"/>
        <v>1.1125064446894857E-23</v>
      </c>
      <c r="BP145" s="367">
        <f t="shared" ca="1" si="64"/>
        <v>0.30893681835861636</v>
      </c>
      <c r="BQ145" s="195"/>
      <c r="BR145" s="195"/>
      <c r="BS145" s="195"/>
      <c r="BT145" s="195"/>
      <c r="BU145" s="454"/>
      <c r="BV145" s="454"/>
      <c r="BW145" s="195"/>
      <c r="BX145" s="454"/>
      <c r="BY145" s="260"/>
      <c r="BZ145" s="195"/>
      <c r="CA145" s="19"/>
    </row>
    <row r="146" spans="1:79" x14ac:dyDescent="0.2">
      <c r="A146" s="42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19"/>
      <c r="AG146" s="472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19"/>
      <c r="AW146" s="218"/>
      <c r="AX146" s="195"/>
      <c r="AY146" s="195"/>
      <c r="AZ146" s="195"/>
      <c r="BA146" s="195"/>
      <c r="BB146" s="454"/>
      <c r="BC146" s="454"/>
      <c r="BD146" s="455"/>
      <c r="BE146" s="195"/>
      <c r="BF146" s="454"/>
      <c r="BG146" s="260"/>
      <c r="BH146" s="142">
        <f t="shared" si="63"/>
        <v>141</v>
      </c>
      <c r="BI146" s="142">
        <f t="shared" si="58"/>
        <v>2.4609142453120048</v>
      </c>
      <c r="BJ146" s="142">
        <f t="shared" si="59"/>
        <v>1.2665250776458836</v>
      </c>
      <c r="BK146" s="19"/>
      <c r="BL146" s="19"/>
      <c r="BM146" s="142">
        <f t="shared" ca="1" si="60"/>
        <v>1098.650593533149</v>
      </c>
      <c r="BN146" s="142">
        <f t="shared" ca="1" si="61"/>
        <v>10.98650593533149</v>
      </c>
      <c r="BO146" s="142">
        <f t="shared" ca="1" si="62"/>
        <v>1.0986505935331491E-23</v>
      </c>
      <c r="BP146" s="367">
        <f t="shared" ca="1" si="64"/>
        <v>0.30508912597685761</v>
      </c>
      <c r="BQ146" s="195"/>
      <c r="BR146" s="195"/>
      <c r="BS146" s="195"/>
      <c r="BT146" s="195"/>
      <c r="BU146" s="454"/>
      <c r="BV146" s="454"/>
      <c r="BW146" s="195"/>
      <c r="BX146" s="454"/>
      <c r="BY146" s="260"/>
      <c r="BZ146" s="195"/>
      <c r="CA146" s="19"/>
    </row>
    <row r="147" spans="1:79" x14ac:dyDescent="0.2">
      <c r="A147" s="42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19"/>
      <c r="AG147" s="472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19"/>
      <c r="AW147" s="218"/>
      <c r="AX147" s="195"/>
      <c r="AY147" s="195"/>
      <c r="AZ147" s="195"/>
      <c r="BA147" s="195"/>
      <c r="BB147" s="454"/>
      <c r="BC147" s="454"/>
      <c r="BD147" s="455"/>
      <c r="BE147" s="195"/>
      <c r="BF147" s="454"/>
      <c r="BG147" s="260"/>
      <c r="BH147" s="142">
        <f t="shared" si="63"/>
        <v>142</v>
      </c>
      <c r="BI147" s="142">
        <f t="shared" si="58"/>
        <v>2.4783675378319479</v>
      </c>
      <c r="BJ147" s="142">
        <f t="shared" si="59"/>
        <v>1.2511798410802941</v>
      </c>
      <c r="BK147" s="19"/>
      <c r="BL147" s="19"/>
      <c r="BM147" s="142">
        <f t="shared" ca="1" si="60"/>
        <v>1085.3393266989954</v>
      </c>
      <c r="BN147" s="142">
        <f t="shared" ca="1" si="61"/>
        <v>10.853393266989954</v>
      </c>
      <c r="BO147" s="142">
        <f t="shared" ca="1" si="62"/>
        <v>1.0853393266989955E-23</v>
      </c>
      <c r="BP147" s="367">
        <f t="shared" ca="1" si="64"/>
        <v>0.30139266161595785</v>
      </c>
      <c r="BQ147" s="195"/>
      <c r="BR147" s="195"/>
      <c r="BS147" s="195"/>
      <c r="BT147" s="195"/>
      <c r="BU147" s="454"/>
      <c r="BV147" s="454"/>
      <c r="BW147" s="195"/>
      <c r="BX147" s="454"/>
      <c r="BY147" s="260"/>
      <c r="BZ147" s="195"/>
      <c r="CA147" s="19"/>
    </row>
    <row r="148" spans="1:79" x14ac:dyDescent="0.2">
      <c r="A148" s="42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19"/>
      <c r="AG148" s="472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19"/>
      <c r="AW148" s="218"/>
      <c r="AX148" s="195"/>
      <c r="AY148" s="195"/>
      <c r="AZ148" s="195"/>
      <c r="BA148" s="195"/>
      <c r="BB148" s="454"/>
      <c r="BC148" s="454"/>
      <c r="BD148" s="455"/>
      <c r="BE148" s="195"/>
      <c r="BF148" s="454"/>
      <c r="BG148" s="260"/>
      <c r="BH148" s="142">
        <f t="shared" si="63"/>
        <v>143</v>
      </c>
      <c r="BI148" s="142">
        <f t="shared" si="58"/>
        <v>2.4958208303518914</v>
      </c>
      <c r="BJ148" s="142">
        <f t="shared" si="59"/>
        <v>1.2364417600133526</v>
      </c>
      <c r="BK148" s="19"/>
      <c r="BL148" s="19"/>
      <c r="BM148" s="142">
        <f t="shared" ca="1" si="60"/>
        <v>1072.5547385392163</v>
      </c>
      <c r="BN148" s="142">
        <f t="shared" ca="1" si="61"/>
        <v>10.725547385392163</v>
      </c>
      <c r="BO148" s="142">
        <f t="shared" ca="1" si="62"/>
        <v>1.0725547385392164E-23</v>
      </c>
      <c r="BP148" s="367">
        <f t="shared" ca="1" si="64"/>
        <v>0.29784245297765222</v>
      </c>
      <c r="BQ148" s="195"/>
      <c r="BR148" s="195"/>
      <c r="BS148" s="195"/>
      <c r="BT148" s="195"/>
      <c r="BU148" s="454"/>
      <c r="BV148" s="454"/>
      <c r="BW148" s="195"/>
      <c r="BX148" s="454"/>
      <c r="BY148" s="260"/>
      <c r="BZ148" s="195"/>
      <c r="CA148" s="19"/>
    </row>
    <row r="149" spans="1:79" x14ac:dyDescent="0.2">
      <c r="A149" s="42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19"/>
      <c r="AG149" s="472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19"/>
      <c r="AW149" s="218"/>
      <c r="AX149" s="195"/>
      <c r="AY149" s="195"/>
      <c r="AZ149" s="195"/>
      <c r="BA149" s="195"/>
      <c r="BB149" s="454"/>
      <c r="BC149" s="454"/>
      <c r="BD149" s="455"/>
      <c r="BE149" s="195"/>
      <c r="BF149" s="454"/>
      <c r="BG149" s="260"/>
      <c r="BH149" s="142">
        <f t="shared" si="63"/>
        <v>144</v>
      </c>
      <c r="BI149" s="142">
        <f t="shared" si="58"/>
        <v>2.5132741228718345</v>
      </c>
      <c r="BJ149" s="142">
        <f t="shared" si="59"/>
        <v>1.2222912360003368</v>
      </c>
      <c r="BK149" s="19"/>
      <c r="BL149" s="19"/>
      <c r="BM149" s="142">
        <f t="shared" ca="1" si="60"/>
        <v>1060.279828330094</v>
      </c>
      <c r="BN149" s="142">
        <f t="shared" ca="1" si="61"/>
        <v>10.60279828330094</v>
      </c>
      <c r="BO149" s="142">
        <f t="shared" ca="1" si="62"/>
        <v>1.0602798283300942E-23</v>
      </c>
      <c r="BP149" s="367">
        <f t="shared" ca="1" si="64"/>
        <v>0.29443377905603513</v>
      </c>
      <c r="BQ149" s="195"/>
      <c r="BR149" s="195"/>
      <c r="BS149" s="195"/>
      <c r="BT149" s="195"/>
      <c r="BU149" s="454"/>
      <c r="BV149" s="454"/>
      <c r="BW149" s="195"/>
      <c r="BX149" s="454"/>
      <c r="BY149" s="260"/>
      <c r="BZ149" s="195"/>
      <c r="CA149" s="19"/>
    </row>
    <row r="150" spans="1:79" x14ac:dyDescent="0.2">
      <c r="A150" s="42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19"/>
      <c r="AG150" s="472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19"/>
      <c r="AW150" s="218"/>
      <c r="AX150" s="195"/>
      <c r="AY150" s="195"/>
      <c r="AZ150" s="195"/>
      <c r="BA150" s="195"/>
      <c r="BB150" s="454"/>
      <c r="BC150" s="454"/>
      <c r="BD150" s="455"/>
      <c r="BE150" s="195"/>
      <c r="BF150" s="454"/>
      <c r="BG150" s="260"/>
      <c r="BH150" s="142">
        <f t="shared" si="63"/>
        <v>145</v>
      </c>
      <c r="BI150" s="142">
        <f t="shared" si="58"/>
        <v>2.530727415391778</v>
      </c>
      <c r="BJ150" s="142">
        <f t="shared" si="59"/>
        <v>1.2087096619768853</v>
      </c>
      <c r="BK150" s="19"/>
      <c r="BL150" s="19"/>
      <c r="BM150" s="142">
        <f t="shared" ca="1" si="60"/>
        <v>1048.4984553234781</v>
      </c>
      <c r="BN150" s="142">
        <f t="shared" ca="1" si="61"/>
        <v>10.484984553234781</v>
      </c>
      <c r="BO150" s="142">
        <f t="shared" ca="1" si="62"/>
        <v>1.0484984553234783E-23</v>
      </c>
      <c r="BP150" s="367">
        <f t="shared" ca="1" si="64"/>
        <v>0.29116215765560732</v>
      </c>
      <c r="BQ150" s="195"/>
      <c r="BR150" s="195"/>
      <c r="BS150" s="195"/>
      <c r="BT150" s="195"/>
      <c r="BU150" s="454"/>
      <c r="BV150" s="454"/>
      <c r="BW150" s="195"/>
      <c r="BX150" s="454"/>
      <c r="BY150" s="260"/>
      <c r="BZ150" s="195"/>
      <c r="CA150" s="19"/>
    </row>
    <row r="151" spans="1:79" x14ac:dyDescent="0.2">
      <c r="A151" s="42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19"/>
      <c r="AG151" s="472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19"/>
      <c r="AW151" s="218"/>
      <c r="AX151" s="195"/>
      <c r="AY151" s="195"/>
      <c r="AZ151" s="195"/>
      <c r="BA151" s="195"/>
      <c r="BB151" s="454"/>
      <c r="BC151" s="454"/>
      <c r="BD151" s="455"/>
      <c r="BE151" s="195"/>
      <c r="BF151" s="454"/>
      <c r="BG151" s="260"/>
      <c r="BH151" s="142">
        <f t="shared" si="63"/>
        <v>146</v>
      </c>
      <c r="BI151" s="142">
        <f t="shared" si="58"/>
        <v>2.5481807079117211</v>
      </c>
      <c r="BJ151" s="142">
        <f t="shared" si="59"/>
        <v>1.1956793736693683</v>
      </c>
      <c r="BK151" s="19"/>
      <c r="BL151" s="19"/>
      <c r="BM151" s="142">
        <f t="shared" ca="1" si="60"/>
        <v>1037.19529659758</v>
      </c>
      <c r="BN151" s="142">
        <f t="shared" ca="1" si="61"/>
        <v>10.371952965975799</v>
      </c>
      <c r="BO151" s="142">
        <f t="shared" ca="1" si="62"/>
        <v>1.0371952965975801E-23</v>
      </c>
      <c r="BP151" s="367">
        <f t="shared" ca="1" si="64"/>
        <v>0.28802333368667643</v>
      </c>
      <c r="BQ151" s="195"/>
      <c r="BR151" s="195"/>
      <c r="BS151" s="195"/>
      <c r="BT151" s="195"/>
      <c r="BU151" s="454"/>
      <c r="BV151" s="454"/>
      <c r="BW151" s="195"/>
      <c r="BX151" s="454"/>
      <c r="BY151" s="260"/>
      <c r="BZ151" s="195"/>
      <c r="CA151" s="19"/>
    </row>
    <row r="152" spans="1:79" x14ac:dyDescent="0.2">
      <c r="A152" s="42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19"/>
      <c r="AG152" s="472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19"/>
      <c r="AW152" s="218"/>
      <c r="AX152" s="195"/>
      <c r="AY152" s="195"/>
      <c r="AZ152" s="195"/>
      <c r="BA152" s="195"/>
      <c r="BB152" s="454"/>
      <c r="BC152" s="454"/>
      <c r="BD152" s="455"/>
      <c r="BE152" s="195"/>
      <c r="BF152" s="454"/>
      <c r="BG152" s="260"/>
      <c r="BH152" s="142">
        <f t="shared" si="63"/>
        <v>147</v>
      </c>
      <c r="BI152" s="142">
        <f t="shared" si="58"/>
        <v>2.5656340004316642</v>
      </c>
      <c r="BJ152" s="142">
        <f t="shared" si="59"/>
        <v>1.1831836040244237</v>
      </c>
      <c r="BK152" s="19"/>
      <c r="BL152" s="19"/>
      <c r="BM152" s="142">
        <f t="shared" ca="1" si="60"/>
        <v>1026.3558075267522</v>
      </c>
      <c r="BN152" s="142">
        <f t="shared" ca="1" si="61"/>
        <v>10.263558075267522</v>
      </c>
      <c r="BO152" s="142">
        <f t="shared" ca="1" si="62"/>
        <v>1.0263558075267522E-23</v>
      </c>
      <c r="BP152" s="367">
        <f t="shared" ca="1" si="64"/>
        <v>0.28501326818803635</v>
      </c>
      <c r="BQ152" s="195"/>
      <c r="BR152" s="195"/>
      <c r="BS152" s="195"/>
      <c r="BT152" s="195"/>
      <c r="BU152" s="454"/>
      <c r="BV152" s="454"/>
      <c r="BW152" s="195"/>
      <c r="BX152" s="454"/>
      <c r="BY152" s="260"/>
      <c r="BZ152" s="195"/>
      <c r="CA152" s="19"/>
    </row>
    <row r="153" spans="1:79" x14ac:dyDescent="0.2">
      <c r="A153" s="42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19"/>
      <c r="AG153" s="472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19"/>
      <c r="AW153" s="218"/>
      <c r="AX153" s="195"/>
      <c r="AY153" s="195"/>
      <c r="AZ153" s="195"/>
      <c r="BA153" s="195"/>
      <c r="BB153" s="454"/>
      <c r="BC153" s="454"/>
      <c r="BD153" s="455"/>
      <c r="BE153" s="195"/>
      <c r="BF153" s="454"/>
      <c r="BG153" s="260"/>
      <c r="BH153" s="142">
        <f t="shared" si="63"/>
        <v>148</v>
      </c>
      <c r="BI153" s="142">
        <f t="shared" si="58"/>
        <v>2.5830872929516078</v>
      </c>
      <c r="BJ153" s="142">
        <f t="shared" si="59"/>
        <v>1.171206440465242</v>
      </c>
      <c r="BK153" s="19"/>
      <c r="BL153" s="19"/>
      <c r="BM153" s="142">
        <f t="shared" ca="1" si="60"/>
        <v>1015.9661847033361</v>
      </c>
      <c r="BN153" s="142">
        <f t="shared" ca="1" si="61"/>
        <v>10.159661847033361</v>
      </c>
      <c r="BO153" s="142">
        <f t="shared" ca="1" si="62"/>
        <v>1.0159661847033362E-23</v>
      </c>
      <c r="BP153" s="367">
        <f t="shared" ca="1" si="64"/>
        <v>0.28212812803057141</v>
      </c>
      <c r="BQ153" s="195"/>
      <c r="BR153" s="195"/>
      <c r="BS153" s="195"/>
      <c r="BT153" s="195"/>
      <c r="BU153" s="454"/>
      <c r="BV153" s="454"/>
      <c r="BW153" s="195"/>
      <c r="BX153" s="454"/>
      <c r="BY153" s="260"/>
      <c r="BZ153" s="195"/>
      <c r="CA153" s="19"/>
    </row>
    <row r="154" spans="1:79" x14ac:dyDescent="0.2">
      <c r="A154" s="42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19"/>
      <c r="AG154" s="472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19"/>
      <c r="AW154" s="218"/>
      <c r="AX154" s="195"/>
      <c r="AY154" s="195"/>
      <c r="AZ154" s="195"/>
      <c r="BA154" s="195"/>
      <c r="BB154" s="454"/>
      <c r="BC154" s="454"/>
      <c r="BD154" s="455"/>
      <c r="BE154" s="195"/>
      <c r="BF154" s="454"/>
      <c r="BG154" s="260"/>
      <c r="BH154" s="142">
        <f t="shared" si="63"/>
        <v>149</v>
      </c>
      <c r="BI154" s="142">
        <f t="shared" si="58"/>
        <v>2.6005405854715509</v>
      </c>
      <c r="BJ154" s="142">
        <f t="shared" si="59"/>
        <v>1.1597327847963574</v>
      </c>
      <c r="BK154" s="19"/>
      <c r="BL154" s="19"/>
      <c r="BM154" s="142">
        <f t="shared" ca="1" si="60"/>
        <v>1006.0133311569656</v>
      </c>
      <c r="BN154" s="142">
        <f t="shared" ca="1" si="61"/>
        <v>10.060133311569656</v>
      </c>
      <c r="BO154" s="142">
        <f t="shared" ca="1" si="62"/>
        <v>1.0060133311569656E-23</v>
      </c>
      <c r="BP154" s="367">
        <f t="shared" ca="1" si="64"/>
        <v>0.27936427625885141</v>
      </c>
      <c r="BQ154" s="195"/>
      <c r="BR154" s="195"/>
      <c r="BS154" s="195"/>
      <c r="BT154" s="195"/>
      <c r="BU154" s="454"/>
      <c r="BV154" s="454"/>
      <c r="BW154" s="195"/>
      <c r="BX154" s="454"/>
      <c r="BY154" s="260"/>
      <c r="BZ154" s="195"/>
      <c r="CA154" s="19"/>
    </row>
    <row r="155" spans="1:79" x14ac:dyDescent="0.2">
      <c r="A155" s="42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19"/>
      <c r="AG155" s="472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19"/>
      <c r="AW155" s="218"/>
      <c r="AX155" s="195"/>
      <c r="AY155" s="195"/>
      <c r="AZ155" s="195"/>
      <c r="BA155" s="195"/>
      <c r="BB155" s="454"/>
      <c r="BC155" s="454"/>
      <c r="BD155" s="455"/>
      <c r="BE155" s="195"/>
      <c r="BF155" s="454"/>
      <c r="BG155" s="260"/>
      <c r="BH155" s="142">
        <f t="shared" si="63"/>
        <v>150</v>
      </c>
      <c r="BI155" s="142">
        <f t="shared" si="58"/>
        <v>2.6179938779914944</v>
      </c>
      <c r="BJ155" s="142">
        <f t="shared" si="59"/>
        <v>1.148748315591853</v>
      </c>
      <c r="BK155" s="19"/>
      <c r="BL155" s="19"/>
      <c r="BM155" s="142">
        <f t="shared" ca="1" si="60"/>
        <v>996.48482372811418</v>
      </c>
      <c r="BN155" s="142">
        <f t="shared" ca="1" si="61"/>
        <v>9.9648482372811422</v>
      </c>
      <c r="BO155" s="142">
        <f t="shared" ca="1" si="62"/>
        <v>9.9648482372811437E-24</v>
      </c>
      <c r="BP155" s="367">
        <f t="shared" ca="1" si="64"/>
        <v>0.27671826303094832</v>
      </c>
      <c r="BQ155" s="195"/>
      <c r="BR155" s="195"/>
      <c r="BS155" s="195"/>
      <c r="BT155" s="195"/>
      <c r="BU155" s="454"/>
      <c r="BV155" s="454"/>
      <c r="BW155" s="195"/>
      <c r="BX155" s="454"/>
      <c r="BY155" s="260"/>
      <c r="BZ155" s="195"/>
      <c r="CA155" s="19"/>
    </row>
    <row r="156" spans="1:79" x14ac:dyDescent="0.2">
      <c r="A156" s="42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19"/>
      <c r="AG156" s="472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19"/>
      <c r="AW156" s="218"/>
      <c r="AX156" s="195"/>
      <c r="AY156" s="195"/>
      <c r="AZ156" s="195"/>
      <c r="BA156" s="195"/>
      <c r="BB156" s="454"/>
      <c r="BC156" s="454"/>
      <c r="BD156" s="455"/>
      <c r="BE156" s="195"/>
      <c r="BF156" s="454"/>
      <c r="BG156" s="260"/>
      <c r="BH156" s="142">
        <f t="shared" si="63"/>
        <v>151</v>
      </c>
      <c r="BI156" s="142">
        <f t="shared" si="58"/>
        <v>2.6354471705114375</v>
      </c>
      <c r="BJ156" s="142">
        <f t="shared" si="59"/>
        <v>1.1382394529140019</v>
      </c>
      <c r="BK156" s="19"/>
      <c r="BL156" s="19"/>
      <c r="BM156" s="142">
        <f t="shared" ca="1" si="60"/>
        <v>987.36888246318517</v>
      </c>
      <c r="BN156" s="142">
        <f t="shared" ca="1" si="61"/>
        <v>9.8736888246318522</v>
      </c>
      <c r="BO156" s="142">
        <f t="shared" ca="1" si="62"/>
        <v>9.8736888246318535E-24</v>
      </c>
      <c r="BP156" s="367">
        <f t="shared" ca="1" si="64"/>
        <v>0.27418681711962406</v>
      </c>
      <c r="BQ156" s="195"/>
      <c r="BR156" s="195"/>
      <c r="BS156" s="195"/>
      <c r="BT156" s="195"/>
      <c r="BU156" s="454"/>
      <c r="BV156" s="454"/>
      <c r="BW156" s="195"/>
      <c r="BX156" s="454"/>
      <c r="BY156" s="260"/>
      <c r="BZ156" s="195"/>
      <c r="CA156" s="19"/>
    </row>
    <row r="157" spans="1:79" x14ac:dyDescent="0.2">
      <c r="A157" s="42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19"/>
      <c r="AG157" s="472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19"/>
      <c r="AW157" s="218"/>
      <c r="AX157" s="195"/>
      <c r="AY157" s="195"/>
      <c r="AZ157" s="195"/>
      <c r="BA157" s="195"/>
      <c r="BB157" s="454"/>
      <c r="BC157" s="454"/>
      <c r="BD157" s="455"/>
      <c r="BE157" s="195"/>
      <c r="BF157" s="454"/>
      <c r="BG157" s="260"/>
      <c r="BH157" s="506">
        <f t="shared" si="63"/>
        <v>152</v>
      </c>
      <c r="BI157" s="506">
        <f t="shared" si="58"/>
        <v>2.6529004630313811</v>
      </c>
      <c r="BJ157" s="506">
        <f t="shared" si="59"/>
        <v>1.1281933252205474</v>
      </c>
      <c r="BK157" s="507"/>
      <c r="BL157" s="507"/>
      <c r="BM157" s="506">
        <f t="shared" ca="1" si="60"/>
        <v>978.65434190814256</v>
      </c>
      <c r="BN157" s="506">
        <f t="shared" ca="1" si="61"/>
        <v>9.7865434190814256</v>
      </c>
      <c r="BO157" s="506">
        <f t="shared" ca="1" si="62"/>
        <v>9.7865434190814262E-24</v>
      </c>
      <c r="BP157" s="508">
        <f t="shared" ca="1" si="64"/>
        <v>0.27176683794073175</v>
      </c>
      <c r="BQ157" s="195"/>
      <c r="BR157" s="195"/>
      <c r="BS157" s="195"/>
      <c r="BT157" s="195"/>
      <c r="BU157" s="454"/>
      <c r="BV157" s="454"/>
      <c r="BW157" s="195"/>
      <c r="BX157" s="454"/>
      <c r="BY157" s="260"/>
      <c r="BZ157" s="195"/>
      <c r="CA157" s="19"/>
    </row>
    <row r="158" spans="1:79" x14ac:dyDescent="0.2">
      <c r="A158" s="42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19"/>
      <c r="AG158" s="472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19"/>
      <c r="AW158" s="218"/>
      <c r="AX158" s="195"/>
      <c r="AY158" s="195"/>
      <c r="AZ158" s="195"/>
      <c r="BA158" s="195"/>
      <c r="BB158" s="454"/>
      <c r="BC158" s="454"/>
      <c r="BD158" s="455"/>
      <c r="BE158" s="195"/>
      <c r="BF158" s="454"/>
      <c r="BG158" s="260"/>
      <c r="BH158" s="142">
        <f t="shared" si="63"/>
        <v>153</v>
      </c>
      <c r="BI158" s="142">
        <f t="shared" si="58"/>
        <v>2.6703537555513241</v>
      </c>
      <c r="BJ158" s="142">
        <f t="shared" si="59"/>
        <v>1.1185977383292143</v>
      </c>
      <c r="BK158" s="19"/>
      <c r="BL158" s="19"/>
      <c r="BM158" s="142">
        <f t="shared" ca="1" si="60"/>
        <v>970.33062418669249</v>
      </c>
      <c r="BN158" s="142">
        <f t="shared" ca="1" si="61"/>
        <v>9.7033062418669243</v>
      </c>
      <c r="BO158" s="142">
        <f t="shared" ca="1" si="62"/>
        <v>9.7033062418669252E-24</v>
      </c>
      <c r="BP158" s="367">
        <f t="shared" ca="1" si="64"/>
        <v>0.26945538807717806</v>
      </c>
      <c r="BQ158" s="195"/>
      <c r="BR158" s="195"/>
      <c r="BS158" s="195"/>
      <c r="BT158" s="195"/>
      <c r="BU158" s="454"/>
      <c r="BV158" s="454"/>
      <c r="BW158" s="195"/>
      <c r="BX158" s="454"/>
      <c r="BY158" s="260"/>
      <c r="BZ158" s="195"/>
      <c r="CA158" s="19"/>
    </row>
    <row r="159" spans="1:79" x14ac:dyDescent="0.2">
      <c r="A159" s="42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19"/>
      <c r="AG159" s="472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19"/>
      <c r="AW159" s="218"/>
      <c r="AX159" s="195"/>
      <c r="AY159" s="195"/>
      <c r="AZ159" s="195"/>
      <c r="BA159" s="195"/>
      <c r="BB159" s="454"/>
      <c r="BC159" s="454"/>
      <c r="BD159" s="455"/>
      <c r="BE159" s="195"/>
      <c r="BF159" s="454"/>
      <c r="BG159" s="260"/>
      <c r="BH159" s="142">
        <f t="shared" si="63"/>
        <v>154</v>
      </c>
      <c r="BI159" s="142">
        <f t="shared" si="58"/>
        <v>2.6878070480712677</v>
      </c>
      <c r="BJ159" s="142">
        <f t="shared" si="59"/>
        <v>1.1094411463175986</v>
      </c>
      <c r="BK159" s="19"/>
      <c r="BL159" s="19"/>
      <c r="BM159" s="142">
        <f t="shared" ca="1" si="60"/>
        <v>962.38771375731437</v>
      </c>
      <c r="BN159" s="142">
        <f t="shared" ca="1" si="61"/>
        <v>9.6238771375731442</v>
      </c>
      <c r="BO159" s="142">
        <f t="shared" ca="1" si="62"/>
        <v>9.6238771375731453E-24</v>
      </c>
      <c r="BP159" s="367">
        <f t="shared" ca="1" si="64"/>
        <v>0.26724968626909157</v>
      </c>
      <c r="BQ159" s="195"/>
      <c r="BR159" s="195"/>
      <c r="BS159" s="195"/>
      <c r="BT159" s="195"/>
      <c r="BU159" s="454"/>
      <c r="BV159" s="454"/>
      <c r="BW159" s="195"/>
      <c r="BX159" s="454"/>
      <c r="BY159" s="260"/>
      <c r="BZ159" s="195"/>
      <c r="CA159" s="19"/>
    </row>
    <row r="160" spans="1:79" x14ac:dyDescent="0.2">
      <c r="A160" s="42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19"/>
      <c r="AG160" s="472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19"/>
      <c r="AW160" s="218"/>
      <c r="AX160" s="195"/>
      <c r="AY160" s="195"/>
      <c r="AZ160" s="195"/>
      <c r="BA160" s="195"/>
      <c r="BB160" s="454"/>
      <c r="BC160" s="454"/>
      <c r="BD160" s="455"/>
      <c r="BE160" s="195"/>
      <c r="BF160" s="454"/>
      <c r="BG160" s="260"/>
      <c r="BH160" s="142">
        <f t="shared" si="63"/>
        <v>155</v>
      </c>
      <c r="BI160" s="142">
        <f t="shared" si="58"/>
        <v>2.7052603405912108</v>
      </c>
      <c r="BJ160" s="142">
        <f t="shared" si="59"/>
        <v>1.1007126242454952</v>
      </c>
      <c r="BK160" s="19"/>
      <c r="BL160" s="19"/>
      <c r="BM160" s="142">
        <f t="shared" ca="1" si="60"/>
        <v>954.81613375117036</v>
      </c>
      <c r="BN160" s="142">
        <f t="shared" ca="1" si="61"/>
        <v>9.5481613375117043</v>
      </c>
      <c r="BO160" s="142">
        <f t="shared" ca="1" si="62"/>
        <v>9.5481613375117048E-24</v>
      </c>
      <c r="BP160" s="367">
        <f t="shared" ca="1" si="64"/>
        <v>0.26514710084299203</v>
      </c>
      <c r="BQ160" s="195"/>
      <c r="BR160" s="195"/>
      <c r="BS160" s="195"/>
      <c r="BT160" s="195"/>
      <c r="BU160" s="454"/>
      <c r="BV160" s="454"/>
      <c r="BW160" s="195"/>
      <c r="BX160" s="454"/>
      <c r="BY160" s="260"/>
      <c r="BZ160" s="195"/>
      <c r="CA160" s="19"/>
    </row>
    <row r="161" spans="1:79" x14ac:dyDescent="0.2">
      <c r="A161" s="42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19"/>
      <c r="AG161" s="472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19"/>
      <c r="AW161" s="218"/>
      <c r="AX161" s="195"/>
      <c r="AY161" s="195"/>
      <c r="AZ161" s="195"/>
      <c r="BA161" s="195"/>
      <c r="BB161" s="454"/>
      <c r="BC161" s="454"/>
      <c r="BD161" s="455"/>
      <c r="BE161" s="195"/>
      <c r="BF161" s="454"/>
      <c r="BG161" s="260"/>
      <c r="BH161" s="142">
        <f t="shared" si="63"/>
        <v>156</v>
      </c>
      <c r="BI161" s="142">
        <f t="shared" si="58"/>
        <v>2.7227136331111539</v>
      </c>
      <c r="BJ161" s="142">
        <f t="shared" si="59"/>
        <v>1.0924018425949449</v>
      </c>
      <c r="BK161" s="19"/>
      <c r="BL161" s="19"/>
      <c r="BM161" s="142">
        <f t="shared" ca="1" si="60"/>
        <v>947.60692380005526</v>
      </c>
      <c r="BN161" s="142">
        <f t="shared" ca="1" si="61"/>
        <v>9.4760692380005533</v>
      </c>
      <c r="BO161" s="142">
        <f t="shared" ca="1" si="62"/>
        <v>9.4760692380005547E-24</v>
      </c>
      <c r="BP161" s="367">
        <f t="shared" ca="1" si="64"/>
        <v>0.26314514355473712</v>
      </c>
      <c r="BQ161" s="195"/>
      <c r="BR161" s="195"/>
      <c r="BS161" s="195"/>
      <c r="BT161" s="195"/>
      <c r="BU161" s="454"/>
      <c r="BV161" s="454"/>
      <c r="BW161" s="195"/>
      <c r="BX161" s="454"/>
      <c r="BY161" s="260"/>
      <c r="BZ161" s="195"/>
      <c r="CA161" s="19"/>
    </row>
    <row r="162" spans="1:79" x14ac:dyDescent="0.2">
      <c r="A162" s="42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19"/>
      <c r="AG162" s="472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19"/>
      <c r="AW162" s="218"/>
      <c r="AX162" s="195"/>
      <c r="AY162" s="195"/>
      <c r="AZ162" s="195"/>
      <c r="BA162" s="195"/>
      <c r="BB162" s="454"/>
      <c r="BC162" s="454"/>
      <c r="BD162" s="455"/>
      <c r="BE162" s="195"/>
      <c r="BF162" s="454"/>
      <c r="BG162" s="260"/>
      <c r="BH162" s="142">
        <f t="shared" si="63"/>
        <v>157</v>
      </c>
      <c r="BI162" s="142">
        <f t="shared" si="58"/>
        <v>2.7401669256310974</v>
      </c>
      <c r="BJ162" s="142">
        <f t="shared" si="59"/>
        <v>1.0844990433309309</v>
      </c>
      <c r="BK162" s="19"/>
      <c r="BL162" s="19"/>
      <c r="BM162" s="142">
        <f t="shared" ca="1" si="60"/>
        <v>940.75161927018326</v>
      </c>
      <c r="BN162" s="142">
        <f t="shared" ca="1" si="61"/>
        <v>9.4075161927018325</v>
      </c>
      <c r="BO162" s="142">
        <f t="shared" ca="1" si="62"/>
        <v>9.407516192701834E-24</v>
      </c>
      <c r="BP162" s="367">
        <f t="shared" ca="1" si="64"/>
        <v>0.26124146382285995</v>
      </c>
      <c r="BQ162" s="195"/>
      <c r="BR162" s="195"/>
      <c r="BS162" s="195"/>
      <c r="BT162" s="195"/>
      <c r="BU162" s="454"/>
      <c r="BV162" s="454"/>
      <c r="BW162" s="195"/>
      <c r="BX162" s="454"/>
      <c r="BY162" s="260"/>
      <c r="BZ162" s="195"/>
      <c r="CA162" s="19"/>
    </row>
    <row r="163" spans="1:79" x14ac:dyDescent="0.2">
      <c r="A163" s="42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19"/>
      <c r="AG163" s="472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19"/>
      <c r="AW163" s="218"/>
      <c r="AX163" s="195"/>
      <c r="AY163" s="195"/>
      <c r="AZ163" s="195"/>
      <c r="BA163" s="195"/>
      <c r="BB163" s="454"/>
      <c r="BC163" s="454"/>
      <c r="BD163" s="455"/>
      <c r="BE163" s="195"/>
      <c r="BF163" s="454"/>
      <c r="BG163" s="260"/>
      <c r="BH163" s="142">
        <f t="shared" si="63"/>
        <v>158</v>
      </c>
      <c r="BI163" s="142">
        <f t="shared" si="58"/>
        <v>2.7576202181510405</v>
      </c>
      <c r="BJ163" s="142">
        <f t="shared" si="59"/>
        <v>1.0769950174927747</v>
      </c>
      <c r="BK163" s="19"/>
      <c r="BL163" s="19"/>
      <c r="BM163" s="142">
        <f t="shared" ca="1" si="60"/>
        <v>934.24223182378364</v>
      </c>
      <c r="BN163" s="142">
        <f t="shared" ca="1" si="61"/>
        <v>9.342422318237837</v>
      </c>
      <c r="BO163" s="142">
        <f t="shared" ca="1" si="62"/>
        <v>9.3424223182378379E-24</v>
      </c>
      <c r="BP163" s="367">
        <f t="shared" ca="1" si="64"/>
        <v>0.25943384333063402</v>
      </c>
      <c r="BQ163" s="195"/>
      <c r="BR163" s="195"/>
      <c r="BS163" s="195"/>
      <c r="BT163" s="195"/>
      <c r="BU163" s="454"/>
      <c r="BV163" s="454"/>
      <c r="BW163" s="195"/>
      <c r="BX163" s="454"/>
      <c r="BY163" s="260"/>
      <c r="BZ163" s="195"/>
      <c r="CA163" s="19"/>
    </row>
    <row r="164" spans="1:79" x14ac:dyDescent="0.2">
      <c r="A164" s="42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19"/>
      <c r="AG164" s="472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19"/>
      <c r="AW164" s="218"/>
      <c r="AX164" s="195"/>
      <c r="AY164" s="195"/>
      <c r="AZ164" s="195"/>
      <c r="BA164" s="195"/>
      <c r="BB164" s="454"/>
      <c r="BC164" s="454"/>
      <c r="BD164" s="455"/>
      <c r="BE164" s="195"/>
      <c r="BF164" s="454"/>
      <c r="BG164" s="260"/>
      <c r="BH164" s="142">
        <f t="shared" si="63"/>
        <v>159</v>
      </c>
      <c r="BI164" s="142">
        <f t="shared" si="58"/>
        <v>2.7750735106709841</v>
      </c>
      <c r="BJ164" s="142">
        <f t="shared" si="59"/>
        <v>1.0698810842328621</v>
      </c>
      <c r="BK164" s="19"/>
      <c r="BL164" s="19"/>
      <c r="BM164" s="142">
        <f t="shared" ca="1" si="60"/>
        <v>928.07123123618737</v>
      </c>
      <c r="BN164" s="142">
        <f t="shared" ca="1" si="61"/>
        <v>9.2807123123618744</v>
      </c>
      <c r="BO164" s="142">
        <f t="shared" ca="1" si="62"/>
        <v>9.2807123123618756E-24</v>
      </c>
      <c r="BP164" s="367">
        <f t="shared" ca="1" si="64"/>
        <v>0.25772019097677884</v>
      </c>
      <c r="BQ164" s="195"/>
      <c r="BR164" s="195"/>
      <c r="BS164" s="195"/>
      <c r="BT164" s="195"/>
      <c r="BU164" s="454"/>
      <c r="BV164" s="454"/>
      <c r="BW164" s="195"/>
      <c r="BX164" s="454"/>
      <c r="BY164" s="260"/>
      <c r="BZ164" s="195"/>
      <c r="CA164" s="19"/>
    </row>
    <row r="165" spans="1:79" x14ac:dyDescent="0.2">
      <c r="A165" s="42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19"/>
      <c r="AG165" s="472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19"/>
      <c r="AW165" s="218"/>
      <c r="AX165" s="195"/>
      <c r="AY165" s="195"/>
      <c r="AZ165" s="195"/>
      <c r="BA165" s="195"/>
      <c r="BB165" s="454"/>
      <c r="BC165" s="454"/>
      <c r="BD165" s="455"/>
      <c r="BE165" s="195"/>
      <c r="BF165" s="454"/>
      <c r="BG165" s="260"/>
      <c r="BH165" s="142">
        <f t="shared" si="63"/>
        <v>160</v>
      </c>
      <c r="BI165" s="142">
        <f t="shared" si="58"/>
        <v>2.7925268031909272</v>
      </c>
      <c r="BJ165" s="142">
        <f t="shared" si="59"/>
        <v>1.0631490712255169</v>
      </c>
      <c r="BK165" s="19"/>
      <c r="BL165" s="19"/>
      <c r="BM165" s="142">
        <f t="shared" ca="1" si="60"/>
        <v>922.23152840145156</v>
      </c>
      <c r="BN165" s="142">
        <f t="shared" ca="1" si="61"/>
        <v>9.2223152840145151</v>
      </c>
      <c r="BO165" s="142">
        <f t="shared" ca="1" si="62"/>
        <v>9.2223152840145164E-24</v>
      </c>
      <c r="BP165" s="367">
        <f t="shared" ca="1" si="64"/>
        <v>0.25609853815621769</v>
      </c>
      <c r="BQ165" s="195"/>
      <c r="BR165" s="195"/>
      <c r="BS165" s="195"/>
      <c r="BT165" s="195"/>
      <c r="BU165" s="454"/>
      <c r="BV165" s="454"/>
      <c r="BW165" s="195"/>
      <c r="BX165" s="454"/>
      <c r="BY165" s="260"/>
      <c r="BZ165" s="195"/>
      <c r="CA165" s="19"/>
    </row>
    <row r="166" spans="1:79" x14ac:dyDescent="0.2">
      <c r="A166" s="42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19"/>
      <c r="AG166" s="472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19"/>
      <c r="AW166" s="218"/>
      <c r="AX166" s="195"/>
      <c r="AY166" s="195"/>
      <c r="AZ166" s="195"/>
      <c r="BA166" s="195"/>
      <c r="BB166" s="454"/>
      <c r="BC166" s="454"/>
      <c r="BD166" s="455"/>
      <c r="BE166" s="195"/>
      <c r="BF166" s="454"/>
      <c r="BG166" s="260"/>
      <c r="BH166" s="142">
        <f t="shared" si="63"/>
        <v>161</v>
      </c>
      <c r="BI166" s="142">
        <f t="shared" si="58"/>
        <v>2.8099800957108707</v>
      </c>
      <c r="BJ166" s="142">
        <f t="shared" si="59"/>
        <v>1.0567912963745414</v>
      </c>
      <c r="BK166" s="19"/>
      <c r="BL166" s="19"/>
      <c r="BM166" s="142">
        <f t="shared" ca="1" si="60"/>
        <v>916.71645946451622</v>
      </c>
      <c r="BN166" s="142">
        <f t="shared" ca="1" si="61"/>
        <v>9.167164594645163</v>
      </c>
      <c r="BO166" s="142">
        <f t="shared" ca="1" si="62"/>
        <v>9.1671645946451646E-24</v>
      </c>
      <c r="BP166" s="367">
        <f t="shared" ca="1" si="64"/>
        <v>0.25456703435366607</v>
      </c>
      <c r="BQ166" s="195"/>
      <c r="BR166" s="195"/>
      <c r="BS166" s="195"/>
      <c r="BT166" s="195"/>
      <c r="BU166" s="454"/>
      <c r="BV166" s="454"/>
      <c r="BW166" s="195"/>
      <c r="BX166" s="454"/>
      <c r="BY166" s="260"/>
      <c r="BZ166" s="195"/>
      <c r="CA166" s="19"/>
    </row>
    <row r="167" spans="1:79" x14ac:dyDescent="0.2">
      <c r="A167" s="42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19"/>
      <c r="AG167" s="472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19"/>
      <c r="AW167" s="218"/>
      <c r="AX167" s="195"/>
      <c r="AY167" s="195"/>
      <c r="AZ167" s="195"/>
      <c r="BA167" s="195"/>
      <c r="BB167" s="454"/>
      <c r="BC167" s="454"/>
      <c r="BD167" s="455"/>
      <c r="BE167" s="195"/>
      <c r="BF167" s="454"/>
      <c r="BG167" s="260"/>
      <c r="BH167" s="142">
        <f t="shared" si="63"/>
        <v>162</v>
      </c>
      <c r="BI167" s="142">
        <f t="shared" si="58"/>
        <v>2.8274333882308138</v>
      </c>
      <c r="BJ167" s="142">
        <f t="shared" si="59"/>
        <v>1.0508005507533364</v>
      </c>
      <c r="BK167" s="19"/>
      <c r="BL167" s="19"/>
      <c r="BM167" s="142">
        <f t="shared" ca="1" si="60"/>
        <v>911.51977102256558</v>
      </c>
      <c r="BN167" s="142">
        <f t="shared" ca="1" si="61"/>
        <v>9.1151977102256563</v>
      </c>
      <c r="BO167" s="142">
        <f t="shared" ca="1" si="62"/>
        <v>9.1151977102256566E-24</v>
      </c>
      <c r="BP167" s="367">
        <f t="shared" ca="1" si="64"/>
        <v>0.25312394303413183</v>
      </c>
      <c r="BQ167" s="195"/>
      <c r="BR167" s="195"/>
      <c r="BS167" s="195"/>
      <c r="BT167" s="195"/>
      <c r="BU167" s="454"/>
      <c r="BV167" s="454"/>
      <c r="BW167" s="195"/>
      <c r="BX167" s="454"/>
      <c r="BY167" s="260"/>
      <c r="BZ167" s="195"/>
      <c r="CA167" s="19"/>
    </row>
    <row r="168" spans="1:79" x14ac:dyDescent="0.2">
      <c r="A168" s="42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19"/>
      <c r="AG168" s="472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19"/>
      <c r="AW168" s="218"/>
      <c r="AX168" s="195"/>
      <c r="AY168" s="195"/>
      <c r="AZ168" s="195"/>
      <c r="BA168" s="195"/>
      <c r="BB168" s="454"/>
      <c r="BC168" s="454"/>
      <c r="BD168" s="455"/>
      <c r="BE168" s="195"/>
      <c r="BF168" s="454"/>
      <c r="BG168" s="260"/>
      <c r="BH168" s="142">
        <f t="shared" si="63"/>
        <v>163</v>
      </c>
      <c r="BI168" s="142">
        <f t="shared" si="58"/>
        <v>2.8448866807507573</v>
      </c>
      <c r="BJ168" s="142">
        <f t="shared" si="59"/>
        <v>1.0451700827164723</v>
      </c>
      <c r="BK168" s="19"/>
      <c r="BL168" s="19"/>
      <c r="BM168" s="142">
        <f t="shared" ca="1" si="60"/>
        <v>906.63560634256726</v>
      </c>
      <c r="BN168" s="142">
        <f t="shared" ca="1" si="61"/>
        <v>9.0663560634256726</v>
      </c>
      <c r="BO168" s="142">
        <f t="shared" ca="1" si="62"/>
        <v>9.0663560634256742E-24</v>
      </c>
      <c r="BP168" s="367">
        <f t="shared" ca="1" si="64"/>
        <v>0.25176763781560402</v>
      </c>
      <c r="BQ168" s="195"/>
      <c r="BR168" s="195"/>
      <c r="BS168" s="195"/>
      <c r="BT168" s="195"/>
      <c r="BU168" s="454"/>
      <c r="BV168" s="454"/>
      <c r="BW168" s="195"/>
      <c r="BX168" s="454"/>
      <c r="BY168" s="260"/>
      <c r="BZ168" s="195"/>
      <c r="CA168" s="19"/>
    </row>
    <row r="169" spans="1:79" x14ac:dyDescent="0.2">
      <c r="A169" s="42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19"/>
      <c r="AG169" s="472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19"/>
      <c r="AW169" s="218"/>
      <c r="AX169" s="195"/>
      <c r="AY169" s="195"/>
      <c r="AZ169" s="195"/>
      <c r="BA169" s="195"/>
      <c r="BB169" s="454"/>
      <c r="BC169" s="454"/>
      <c r="BD169" s="455"/>
      <c r="BE169" s="195"/>
      <c r="BF169" s="454"/>
      <c r="BG169" s="260"/>
      <c r="BH169" s="142">
        <f t="shared" si="63"/>
        <v>164</v>
      </c>
      <c r="BI169" s="142">
        <f t="shared" si="58"/>
        <v>2.8623399732707004</v>
      </c>
      <c r="BJ169" s="142">
        <f t="shared" si="59"/>
        <v>1.0398935831263136</v>
      </c>
      <c r="BK169" s="19"/>
      <c r="BL169" s="19"/>
      <c r="BM169" s="142">
        <f t="shared" ca="1" si="60"/>
        <v>902.05849254606801</v>
      </c>
      <c r="BN169" s="142">
        <f t="shared" ca="1" si="61"/>
        <v>9.02058492546068</v>
      </c>
      <c r="BO169" s="142">
        <f t="shared" ca="1" si="62"/>
        <v>9.0205849254606816E-24</v>
      </c>
      <c r="BP169" s="367">
        <f t="shared" ca="1" si="64"/>
        <v>0.25049659891034132</v>
      </c>
      <c r="BQ169" s="195"/>
      <c r="BR169" s="195"/>
      <c r="BS169" s="195"/>
      <c r="BT169" s="195"/>
      <c r="BU169" s="454"/>
      <c r="BV169" s="454"/>
      <c r="BW169" s="195"/>
      <c r="BX169" s="454"/>
      <c r="BY169" s="260"/>
      <c r="BZ169" s="195"/>
      <c r="CA169" s="19"/>
    </row>
    <row r="170" spans="1:79" x14ac:dyDescent="0.2">
      <c r="A170" s="42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19"/>
      <c r="AG170" s="472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19"/>
      <c r="AW170" s="218"/>
      <c r="AX170" s="195"/>
      <c r="AY170" s="195"/>
      <c r="AZ170" s="195"/>
      <c r="BA170" s="195"/>
      <c r="BB170" s="454"/>
      <c r="BC170" s="454"/>
      <c r="BD170" s="455"/>
      <c r="BE170" s="195"/>
      <c r="BF170" s="454"/>
      <c r="BG170" s="260"/>
      <c r="BH170" s="142">
        <f t="shared" si="63"/>
        <v>165</v>
      </c>
      <c r="BI170" s="142">
        <f t="shared" si="58"/>
        <v>2.8797932657906435</v>
      </c>
      <c r="BJ170" s="142">
        <f t="shared" si="59"/>
        <v>1.0349651716426573</v>
      </c>
      <c r="BK170" s="19"/>
      <c r="BL170" s="19"/>
      <c r="BM170" s="142">
        <f t="shared" ca="1" si="60"/>
        <v>897.7833287161036</v>
      </c>
      <c r="BN170" s="142">
        <f t="shared" ca="1" si="61"/>
        <v>8.9778332871610367</v>
      </c>
      <c r="BO170" s="142">
        <f t="shared" ca="1" si="62"/>
        <v>8.9778332871610382E-24</v>
      </c>
      <c r="BP170" s="367">
        <f t="shared" ca="1" si="64"/>
        <v>0.24930940982222813</v>
      </c>
      <c r="BQ170" s="195"/>
      <c r="BR170" s="195"/>
      <c r="BS170" s="195"/>
      <c r="BT170" s="195"/>
      <c r="BU170" s="454"/>
      <c r="BV170" s="454"/>
      <c r="BW170" s="195"/>
      <c r="BX170" s="454"/>
      <c r="BY170" s="260"/>
      <c r="BZ170" s="195"/>
      <c r="CA170" s="19"/>
    </row>
    <row r="171" spans="1:79" x14ac:dyDescent="0.2">
      <c r="A171" s="42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19"/>
      <c r="AG171" s="472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19"/>
      <c r="AW171" s="218"/>
      <c r="AX171" s="195"/>
      <c r="AY171" s="195"/>
      <c r="AZ171" s="195"/>
      <c r="BA171" s="195"/>
      <c r="BB171" s="454"/>
      <c r="BC171" s="454"/>
      <c r="BD171" s="455"/>
      <c r="BE171" s="195"/>
      <c r="BF171" s="454"/>
      <c r="BG171" s="260"/>
      <c r="BH171" s="142">
        <f t="shared" si="63"/>
        <v>166</v>
      </c>
      <c r="BI171" s="142">
        <f t="shared" si="58"/>
        <v>2.8972465583105871</v>
      </c>
      <c r="BJ171" s="142">
        <f t="shared" si="59"/>
        <v>1.0303793840274804</v>
      </c>
      <c r="BK171" s="19"/>
      <c r="BL171" s="19"/>
      <c r="BM171" s="142">
        <f t="shared" ca="1" si="60"/>
        <v>893.80537488466769</v>
      </c>
      <c r="BN171" s="142">
        <f t="shared" ca="1" si="61"/>
        <v>8.9380537488466771</v>
      </c>
      <c r="BO171" s="142">
        <f t="shared" ca="1" si="62"/>
        <v>8.9380537488466784E-24</v>
      </c>
      <c r="BP171" s="367">
        <f t="shared" ca="1" si="64"/>
        <v>0.24820475428865557</v>
      </c>
      <c r="BQ171" s="195"/>
      <c r="BR171" s="195"/>
      <c r="BS171" s="195"/>
      <c r="BT171" s="195"/>
      <c r="BU171" s="454"/>
      <c r="BV171" s="454"/>
      <c r="BW171" s="195"/>
      <c r="BX171" s="454"/>
      <c r="BY171" s="260"/>
      <c r="BZ171" s="195"/>
      <c r="CA171" s="19"/>
    </row>
    <row r="172" spans="1:79" x14ac:dyDescent="0.2">
      <c r="A172" s="42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19"/>
      <c r="AG172" s="472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19"/>
      <c r="AW172" s="218"/>
      <c r="AX172" s="195"/>
      <c r="AY172" s="195"/>
      <c r="AZ172" s="195"/>
      <c r="BA172" s="195"/>
      <c r="BB172" s="454"/>
      <c r="BC172" s="454"/>
      <c r="BD172" s="455"/>
      <c r="BE172" s="195"/>
      <c r="BF172" s="454"/>
      <c r="BG172" s="260"/>
      <c r="BH172" s="142">
        <f t="shared" si="63"/>
        <v>167</v>
      </c>
      <c r="BI172" s="142">
        <f t="shared" si="58"/>
        <v>2.9146998508305302</v>
      </c>
      <c r="BJ172" s="142">
        <f t="shared" si="59"/>
        <v>1.0261311604207841</v>
      </c>
      <c r="BK172" s="19"/>
      <c r="BL172" s="19"/>
      <c r="BM172" s="142">
        <f t="shared" ca="1" si="60"/>
        <v>890.12024186256156</v>
      </c>
      <c r="BN172" s="142">
        <f t="shared" ca="1" si="61"/>
        <v>8.9012024186256156</v>
      </c>
      <c r="BO172" s="142">
        <f t="shared" ca="1" si="62"/>
        <v>8.9012024186256167E-24</v>
      </c>
      <c r="BP172" s="367">
        <f t="shared" ca="1" si="64"/>
        <v>0.24718141345632855</v>
      </c>
      <c r="BQ172" s="195"/>
      <c r="BR172" s="195"/>
      <c r="BS172" s="195"/>
      <c r="BT172" s="195"/>
      <c r="BU172" s="454"/>
      <c r="BV172" s="454"/>
      <c r="BW172" s="195"/>
      <c r="BX172" s="454"/>
      <c r="BY172" s="260"/>
      <c r="BZ172" s="195"/>
      <c r="CA172" s="19"/>
    </row>
    <row r="173" spans="1:79" x14ac:dyDescent="0.2">
      <c r="A173" s="42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19"/>
      <c r="AG173" s="472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19"/>
      <c r="AW173" s="218"/>
      <c r="AX173" s="195"/>
      <c r="AY173" s="195"/>
      <c r="AZ173" s="195"/>
      <c r="BA173" s="195"/>
      <c r="BB173" s="454"/>
      <c r="BC173" s="454"/>
      <c r="BD173" s="455"/>
      <c r="BE173" s="195"/>
      <c r="BF173" s="454"/>
      <c r="BG173" s="260"/>
      <c r="BH173" s="142">
        <f t="shared" si="63"/>
        <v>168</v>
      </c>
      <c r="BI173" s="142">
        <f t="shared" si="58"/>
        <v>2.9321531433504737</v>
      </c>
      <c r="BJ173" s="142">
        <f t="shared" si="59"/>
        <v>1.0222158345471581</v>
      </c>
      <c r="BK173" s="19"/>
      <c r="BL173" s="19"/>
      <c r="BM173" s="142">
        <f t="shared" ca="1" si="60"/>
        <v>886.72388187659874</v>
      </c>
      <c r="BN173" s="142">
        <f t="shared" ca="1" si="61"/>
        <v>8.867238818765987</v>
      </c>
      <c r="BO173" s="142">
        <f t="shared" ca="1" si="62"/>
        <v>8.8672388187659883E-24</v>
      </c>
      <c r="BP173" s="367">
        <f t="shared" ca="1" si="64"/>
        <v>0.24623826328126891</v>
      </c>
      <c r="BQ173" s="195"/>
      <c r="BR173" s="195"/>
      <c r="BS173" s="195"/>
      <c r="BT173" s="195"/>
      <c r="BU173" s="454"/>
      <c r="BV173" s="454"/>
      <c r="BW173" s="195"/>
      <c r="BX173" s="454"/>
      <c r="BY173" s="260"/>
      <c r="BZ173" s="195"/>
      <c r="CA173" s="19"/>
    </row>
    <row r="174" spans="1:79" x14ac:dyDescent="0.2">
      <c r="A174" s="42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19"/>
      <c r="AG174" s="472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19"/>
      <c r="AW174" s="218"/>
      <c r="AX174" s="195"/>
      <c r="AY174" s="195"/>
      <c r="AZ174" s="195"/>
      <c r="BA174" s="195"/>
      <c r="BB174" s="454"/>
      <c r="BC174" s="454"/>
      <c r="BD174" s="455"/>
      <c r="BE174" s="195"/>
      <c r="BF174" s="454"/>
      <c r="BG174" s="260"/>
      <c r="BH174" s="142">
        <f t="shared" si="63"/>
        <v>169</v>
      </c>
      <c r="BI174" s="142">
        <f t="shared" si="58"/>
        <v>2.9496064358704168</v>
      </c>
      <c r="BJ174" s="142">
        <f t="shared" si="59"/>
        <v>1.0186291238161587</v>
      </c>
      <c r="BK174" s="19"/>
      <c r="BL174" s="19"/>
      <c r="BM174" s="142">
        <f t="shared" ca="1" si="60"/>
        <v>883.61257998215171</v>
      </c>
      <c r="BN174" s="142">
        <f t="shared" ca="1" si="61"/>
        <v>8.8361257998215166</v>
      </c>
      <c r="BO174" s="142">
        <f t="shared" ca="1" si="62"/>
        <v>8.8361257998215176E-24</v>
      </c>
      <c r="BP174" s="367">
        <f t="shared" ca="1" si="64"/>
        <v>0.24537427214412821</v>
      </c>
      <c r="BQ174" s="195"/>
      <c r="BR174" s="195"/>
      <c r="BS174" s="195"/>
      <c r="BT174" s="195"/>
      <c r="BU174" s="454"/>
      <c r="BV174" s="454"/>
      <c r="BW174" s="195"/>
      <c r="BX174" s="454"/>
      <c r="BY174" s="260"/>
      <c r="BZ174" s="195"/>
      <c r="CA174" s="19"/>
    </row>
    <row r="175" spans="1:79" x14ac:dyDescent="0.2">
      <c r="A175" s="42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19"/>
      <c r="AG175" s="472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19"/>
      <c r="AW175" s="19"/>
      <c r="AX175" s="19"/>
      <c r="AY175" s="19"/>
      <c r="AZ175" s="19"/>
      <c r="BA175" s="19"/>
      <c r="BB175" s="19"/>
      <c r="BC175" s="19"/>
      <c r="BD175" s="455"/>
      <c r="BE175" s="195"/>
      <c r="BF175" s="454"/>
      <c r="BG175" s="260"/>
      <c r="BH175" s="142">
        <f t="shared" si="63"/>
        <v>170</v>
      </c>
      <c r="BI175" s="142">
        <f t="shared" si="58"/>
        <v>2.9670597283903604</v>
      </c>
      <c r="BJ175" s="142">
        <f t="shared" si="59"/>
        <v>1.0153671202828625</v>
      </c>
      <c r="BK175" s="19"/>
      <c r="BL175" s="19"/>
      <c r="BM175" s="142">
        <f t="shared" ca="1" si="60"/>
        <v>880.7829462218599</v>
      </c>
      <c r="BN175" s="142">
        <f t="shared" ca="1" si="61"/>
        <v>8.8078294622185993</v>
      </c>
      <c r="BO175" s="142">
        <f t="shared" ca="1" si="62"/>
        <v>8.8078294622186007E-24</v>
      </c>
      <c r="BP175" s="367">
        <f t="shared" ca="1" si="64"/>
        <v>0.24458849867270474</v>
      </c>
      <c r="BQ175" s="195"/>
      <c r="BR175" s="195"/>
      <c r="BS175" s="195"/>
      <c r="BT175" s="195"/>
      <c r="BU175" s="454"/>
      <c r="BV175" s="454"/>
      <c r="BW175" s="195"/>
      <c r="BX175" s="454"/>
      <c r="BY175" s="260"/>
      <c r="BZ175" s="195"/>
      <c r="CA175" s="19"/>
    </row>
    <row r="176" spans="1:79" x14ac:dyDescent="0.2">
      <c r="A176" s="477"/>
      <c r="B176" s="419"/>
      <c r="C176" s="419"/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19"/>
      <c r="O176" s="419"/>
      <c r="P176" s="419"/>
      <c r="Q176" s="419"/>
      <c r="R176" s="419"/>
      <c r="S176" s="419"/>
      <c r="T176" s="419"/>
      <c r="U176" s="419"/>
      <c r="V176" s="419"/>
      <c r="W176" s="419"/>
      <c r="X176" s="419"/>
      <c r="Y176" s="419"/>
      <c r="Z176" s="419"/>
      <c r="AA176" s="419"/>
      <c r="AB176" s="419"/>
      <c r="AC176" s="419"/>
      <c r="AD176" s="419"/>
      <c r="AE176" s="419"/>
      <c r="AF176" s="478"/>
      <c r="AG176" s="479"/>
      <c r="AH176" s="419"/>
      <c r="AI176" s="419"/>
      <c r="AJ176" s="419"/>
      <c r="AK176" s="419"/>
      <c r="AL176" s="419"/>
      <c r="AM176" s="419"/>
      <c r="AN176" s="419"/>
      <c r="AO176" s="419"/>
      <c r="AP176" s="419"/>
      <c r="AQ176" s="419"/>
      <c r="AR176" s="419"/>
      <c r="AS176" s="419"/>
      <c r="AT176" s="419"/>
      <c r="AU176" s="419"/>
      <c r="AV176" s="419"/>
      <c r="AW176" s="419"/>
      <c r="AX176" s="419"/>
      <c r="AY176" s="419"/>
      <c r="AZ176" s="419"/>
      <c r="BA176" s="419"/>
      <c r="BB176" s="419"/>
      <c r="BC176" s="419"/>
      <c r="BD176" s="480"/>
      <c r="BE176" s="195"/>
      <c r="BF176" s="454"/>
      <c r="BG176" s="260"/>
      <c r="BH176" s="142">
        <f t="shared" si="63"/>
        <v>171</v>
      </c>
      <c r="BI176" s="142">
        <f t="shared" si="58"/>
        <v>2.9845130209103035</v>
      </c>
      <c r="BJ176" s="142">
        <f t="shared" si="59"/>
        <v>1.0124262824380623</v>
      </c>
      <c r="BK176" s="19"/>
      <c r="BL176" s="19"/>
      <c r="BM176" s="142">
        <f t="shared" ca="1" si="60"/>
        <v>878.23190850401227</v>
      </c>
      <c r="BN176" s="142">
        <f t="shared" ca="1" si="61"/>
        <v>8.7823190850401218</v>
      </c>
      <c r="BO176" s="142">
        <f t="shared" ca="1" si="62"/>
        <v>8.7823190850401224E-24</v>
      </c>
      <c r="BP176" s="367">
        <f t="shared" ca="1" si="64"/>
        <v>0.24388008976430986</v>
      </c>
      <c r="BQ176" s="195"/>
      <c r="BR176" s="195"/>
      <c r="BS176" s="195"/>
      <c r="BT176" s="195"/>
      <c r="BU176" s="454"/>
      <c r="BV176" s="454"/>
      <c r="BW176" s="195"/>
      <c r="BX176" s="454"/>
      <c r="BY176" s="260"/>
      <c r="BZ176" s="195"/>
      <c r="CA176" s="19"/>
    </row>
    <row r="177" spans="1:79" x14ac:dyDescent="0.2">
      <c r="A177" s="481"/>
      <c r="B177" s="479"/>
      <c r="C177" s="479"/>
      <c r="D177" s="479"/>
      <c r="E177" s="479"/>
      <c r="F177" s="479"/>
      <c r="G177" s="479"/>
      <c r="H177" s="479"/>
      <c r="I177" s="479"/>
      <c r="J177" s="482"/>
      <c r="K177" s="482"/>
      <c r="L177" s="482"/>
      <c r="M177" s="482"/>
      <c r="N177" s="482"/>
      <c r="O177" s="482"/>
      <c r="P177" s="482"/>
      <c r="Q177" s="482"/>
      <c r="R177" s="482"/>
      <c r="S177" s="482"/>
      <c r="T177" s="482"/>
      <c r="U177" s="482"/>
      <c r="V177" s="482"/>
      <c r="W177" s="482"/>
      <c r="X177" s="482"/>
      <c r="Y177" s="482"/>
      <c r="Z177" s="482"/>
      <c r="AA177" s="482"/>
      <c r="AB177" s="482"/>
      <c r="AC177" s="482"/>
      <c r="AD177" s="482"/>
      <c r="AE177" s="482"/>
      <c r="AF177" s="482"/>
      <c r="AG177" s="479"/>
      <c r="AH177" s="479"/>
      <c r="AI177" s="479"/>
      <c r="AJ177" s="479"/>
      <c r="AK177" s="479"/>
      <c r="AL177" s="479"/>
      <c r="AM177" s="479"/>
      <c r="AN177" s="479"/>
      <c r="AO177" s="479"/>
      <c r="AP177" s="479"/>
      <c r="AQ177" s="479"/>
      <c r="AR177" s="479"/>
      <c r="AS177" s="479"/>
      <c r="AT177" s="479"/>
      <c r="AU177" s="479"/>
      <c r="AV177" s="479"/>
      <c r="AW177" s="479"/>
      <c r="AX177" s="479"/>
      <c r="AY177" s="479"/>
      <c r="AZ177" s="479"/>
      <c r="BA177" s="479"/>
      <c r="BB177" s="479"/>
      <c r="BC177" s="479"/>
      <c r="BD177" s="483"/>
      <c r="BE177" s="195"/>
      <c r="BF177" s="454"/>
      <c r="BG177" s="260"/>
      <c r="BH177" s="142">
        <f t="shared" si="63"/>
        <v>172</v>
      </c>
      <c r="BI177" s="142">
        <f t="shared" si="58"/>
        <v>3.001966313430247</v>
      </c>
      <c r="BJ177" s="142">
        <f t="shared" si="59"/>
        <v>1.0098034278005239</v>
      </c>
      <c r="BK177" s="19"/>
      <c r="BL177" s="19"/>
      <c r="BM177" s="142">
        <f t="shared" ca="1" si="60"/>
        <v>875.95670617668145</v>
      </c>
      <c r="BN177" s="142">
        <f t="shared" ca="1" si="61"/>
        <v>8.7595670617668144</v>
      </c>
      <c r="BO177" s="142">
        <f t="shared" ca="1" si="62"/>
        <v>8.7595670617668159E-24</v>
      </c>
      <c r="BP177" s="367">
        <f t="shared" ca="1" si="64"/>
        <v>0.24324827880134159</v>
      </c>
      <c r="BQ177" s="195"/>
      <c r="BR177" s="195"/>
      <c r="BS177" s="195"/>
      <c r="BT177" s="195"/>
      <c r="BU177" s="454"/>
      <c r="BV177" s="454"/>
      <c r="BW177" s="195"/>
      <c r="BX177" s="454"/>
      <c r="BY177" s="260"/>
      <c r="BZ177" s="195"/>
      <c r="CA177" s="19"/>
    </row>
    <row r="178" spans="1:79" x14ac:dyDescent="0.2">
      <c r="A178" s="421"/>
      <c r="B178" s="424"/>
      <c r="C178" s="424"/>
      <c r="D178" s="424"/>
      <c r="E178" s="424"/>
      <c r="F178" s="424"/>
      <c r="G178" s="424"/>
      <c r="H178" s="424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G178" s="484"/>
      <c r="BD178" s="485"/>
      <c r="BE178" s="195"/>
      <c r="BF178" s="454"/>
      <c r="BG178" s="260"/>
      <c r="BH178" s="142">
        <f t="shared" si="63"/>
        <v>173</v>
      </c>
      <c r="BI178" s="142">
        <f t="shared" si="58"/>
        <v>3.0194196059501901</v>
      </c>
      <c r="BJ178" s="142">
        <f t="shared" si="59"/>
        <v>1.0074957262865507</v>
      </c>
      <c r="BK178" s="19"/>
      <c r="BL178" s="19"/>
      <c r="BM178" s="142">
        <f t="shared" ca="1" si="60"/>
        <v>873.95488427613418</v>
      </c>
      <c r="BN178" s="142">
        <f t="shared" ca="1" si="61"/>
        <v>8.7395488427613426</v>
      </c>
      <c r="BO178" s="142">
        <f t="shared" ca="1" si="62"/>
        <v>8.7395488427613431E-24</v>
      </c>
      <c r="BP178" s="367">
        <f t="shared" ca="1" si="64"/>
        <v>0.24269238405409965</v>
      </c>
      <c r="BQ178" s="195"/>
      <c r="BR178" s="195"/>
      <c r="BS178" s="195"/>
      <c r="BT178" s="195"/>
      <c r="BU178" s="454"/>
      <c r="BV178" s="454"/>
      <c r="BW178" s="195"/>
      <c r="BX178" s="454"/>
      <c r="BY178" s="260"/>
      <c r="BZ178" s="195"/>
      <c r="CA178" s="19"/>
    </row>
    <row r="179" spans="1:79" ht="26.25" thickBot="1" x14ac:dyDescent="0.35">
      <c r="A179" s="486" t="s">
        <v>112</v>
      </c>
      <c r="B179" s="48"/>
      <c r="C179" s="48"/>
      <c r="D179" s="48"/>
      <c r="E179" s="48"/>
      <c r="F179" s="48"/>
      <c r="G179" s="48"/>
      <c r="H179" s="48"/>
      <c r="I179" s="48"/>
      <c r="J179" s="18" t="str">
        <f>B196</f>
        <v>LEDA-Upstream</v>
      </c>
      <c r="K179" s="48"/>
      <c r="L179" s="18"/>
      <c r="M179" s="48"/>
      <c r="N179" s="48"/>
      <c r="O179" s="48"/>
      <c r="P179" s="48"/>
      <c r="Q179" s="255" t="s">
        <v>335</v>
      </c>
      <c r="R179" s="48" t="s">
        <v>337</v>
      </c>
      <c r="S179" s="487" t="e">
        <f ca="1">DEGREES(ASIN($G$5/$G$4))</f>
        <v>#NUM!</v>
      </c>
      <c r="T179" s="48"/>
      <c r="U179" s="231" t="s">
        <v>336</v>
      </c>
      <c r="V179" s="231"/>
      <c r="W179" s="231"/>
      <c r="X179" s="195"/>
      <c r="Y179" s="48"/>
      <c r="Z179" s="48"/>
      <c r="AA179" s="48"/>
      <c r="AB179" s="48"/>
      <c r="AC179" s="48"/>
      <c r="AD179" s="48"/>
      <c r="AE179" s="48"/>
      <c r="AG179" s="484"/>
      <c r="AH179" s="18" t="str">
        <f>F196</f>
        <v>LEDA-Downstream</v>
      </c>
      <c r="AI179" s="48"/>
      <c r="AJ179" s="18"/>
      <c r="AK179" s="48"/>
      <c r="AL179" s="48"/>
      <c r="AM179" s="48"/>
      <c r="AN179" s="48"/>
      <c r="AO179" s="255" t="s">
        <v>335</v>
      </c>
      <c r="AP179" s="48" t="s">
        <v>337</v>
      </c>
      <c r="AQ179" s="487" t="e">
        <f ca="1">DEGREES(ASIN($G$5/$G$4))</f>
        <v>#NUM!</v>
      </c>
      <c r="AR179" s="48"/>
      <c r="AS179" s="231" t="s">
        <v>336</v>
      </c>
      <c r="AT179" s="48" t="s">
        <v>338</v>
      </c>
      <c r="AU179" s="195" t="e">
        <f ca="1">DEGREES(0.5*(PI()-RADIANS(ROUNDDOWN($S$23,2)+DEGREES(ASIN(($F$4/$F$5)*SIN(RADIANS(ROUNDDOWN($S$23,2))))))))</f>
        <v>#NUM!</v>
      </c>
      <c r="AV179" s="195"/>
      <c r="AW179" s="48"/>
      <c r="AX179" s="48"/>
      <c r="AY179" s="48"/>
      <c r="AZ179" s="48"/>
      <c r="BA179" s="48"/>
      <c r="BB179" s="48"/>
      <c r="BC179" s="48"/>
      <c r="BD179" s="455"/>
      <c r="BE179" s="195"/>
      <c r="BF179" s="454"/>
      <c r="BG179" s="260"/>
      <c r="BH179" s="142">
        <f t="shared" si="63"/>
        <v>174</v>
      </c>
      <c r="BI179" s="142">
        <f t="shared" si="58"/>
        <v>3.0368728984701332</v>
      </c>
      <c r="BJ179" s="142">
        <f t="shared" si="59"/>
        <v>1.0055006943348002</v>
      </c>
      <c r="BK179" s="19"/>
      <c r="BL179" s="19"/>
      <c r="BM179" s="142">
        <f t="shared" ca="1" si="60"/>
        <v>872.22428843038711</v>
      </c>
      <c r="BN179" s="142">
        <f t="shared" ca="1" si="61"/>
        <v>8.7222428843038706</v>
      </c>
      <c r="BO179" s="142">
        <f t="shared" ca="1" si="62"/>
        <v>8.7222428843038712E-24</v>
      </c>
      <c r="BP179" s="367">
        <f t="shared" ca="1" si="64"/>
        <v>0.24221180726553193</v>
      </c>
      <c r="BQ179" s="195"/>
      <c r="BR179" s="195"/>
      <c r="BS179" s="195"/>
      <c r="BT179" s="195"/>
      <c r="BU179" s="454"/>
      <c r="BV179" s="454"/>
      <c r="BW179" s="195"/>
      <c r="BX179" s="454"/>
      <c r="BY179" s="260"/>
      <c r="BZ179" s="195"/>
      <c r="CA179" s="19"/>
    </row>
    <row r="180" spans="1:79" ht="41.25" x14ac:dyDescent="0.2">
      <c r="A180" s="427"/>
      <c r="B180" s="48"/>
      <c r="C180" s="48"/>
      <c r="D180" s="48"/>
      <c r="E180" s="48"/>
      <c r="F180" s="48"/>
      <c r="G180" s="48"/>
      <c r="H180" s="48"/>
      <c r="I180" s="48"/>
      <c r="J180" s="48"/>
      <c r="K180" s="149" t="s">
        <v>116</v>
      </c>
      <c r="L180" s="149" t="s">
        <v>117</v>
      </c>
      <c r="M180" s="149" t="s">
        <v>297</v>
      </c>
      <c r="N180" s="149" t="s">
        <v>118</v>
      </c>
      <c r="O180" s="149" t="s">
        <v>298</v>
      </c>
      <c r="P180" s="220" t="s">
        <v>333</v>
      </c>
      <c r="Q180" s="223" t="s">
        <v>334</v>
      </c>
      <c r="R180" s="224" t="s">
        <v>332</v>
      </c>
      <c r="S180" s="224" t="s">
        <v>105</v>
      </c>
      <c r="T180" s="225" t="s">
        <v>283</v>
      </c>
      <c r="U180" s="223" t="s">
        <v>149</v>
      </c>
      <c r="V180" s="224" t="s">
        <v>150</v>
      </c>
      <c r="W180" s="225" t="s">
        <v>283</v>
      </c>
      <c r="X180" s="222" t="s">
        <v>103</v>
      </c>
      <c r="Y180" s="148" t="s">
        <v>102</v>
      </c>
      <c r="Z180" s="148" t="s">
        <v>282</v>
      </c>
      <c r="AA180" s="148" t="s">
        <v>104</v>
      </c>
      <c r="AB180" s="149" t="s">
        <v>296</v>
      </c>
      <c r="AC180" s="149" t="s">
        <v>295</v>
      </c>
      <c r="AD180" s="149" t="s">
        <v>108</v>
      </c>
      <c r="AE180" s="149" t="s">
        <v>1570</v>
      </c>
      <c r="AG180" s="484"/>
      <c r="AH180" s="48"/>
      <c r="AI180" s="149" t="s">
        <v>116</v>
      </c>
      <c r="AJ180" s="149" t="s">
        <v>117</v>
      </c>
      <c r="AK180" s="149" t="s">
        <v>297</v>
      </c>
      <c r="AL180" s="149" t="s">
        <v>118</v>
      </c>
      <c r="AM180" s="149" t="s">
        <v>298</v>
      </c>
      <c r="AN180" s="220" t="s">
        <v>333</v>
      </c>
      <c r="AO180" s="223" t="s">
        <v>334</v>
      </c>
      <c r="AP180" s="224" t="s">
        <v>332</v>
      </c>
      <c r="AQ180" s="224" t="s">
        <v>105</v>
      </c>
      <c r="AR180" s="225" t="s">
        <v>283</v>
      </c>
      <c r="AS180" s="223" t="s">
        <v>149</v>
      </c>
      <c r="AT180" s="224" t="s">
        <v>150</v>
      </c>
      <c r="AU180" s="225" t="s">
        <v>283</v>
      </c>
      <c r="AV180" s="222" t="s">
        <v>103</v>
      </c>
      <c r="AW180" s="148" t="s">
        <v>102</v>
      </c>
      <c r="AX180" s="148" t="s">
        <v>282</v>
      </c>
      <c r="AY180" s="148" t="s">
        <v>104</v>
      </c>
      <c r="AZ180" s="149" t="s">
        <v>296</v>
      </c>
      <c r="BA180" s="149" t="s">
        <v>295</v>
      </c>
      <c r="BB180" s="149" t="s">
        <v>108</v>
      </c>
      <c r="BC180" s="149" t="s">
        <v>1570</v>
      </c>
      <c r="BD180" s="455"/>
      <c r="BE180" s="195"/>
      <c r="BF180" s="454"/>
      <c r="BG180" s="260"/>
      <c r="BH180" s="142">
        <f t="shared" si="63"/>
        <v>175</v>
      </c>
      <c r="BI180" s="142">
        <f t="shared" si="58"/>
        <v>3.0543261909900767</v>
      </c>
      <c r="BJ180" s="142">
        <f t="shared" si="59"/>
        <v>1.0038161897668885</v>
      </c>
      <c r="BK180" s="19"/>
      <c r="BL180" s="19"/>
      <c r="BM180" s="142">
        <f t="shared" ca="1" si="60"/>
        <v>870.76306040102554</v>
      </c>
      <c r="BN180" s="142">
        <f t="shared" ca="1" si="61"/>
        <v>8.7076306040102551</v>
      </c>
      <c r="BO180" s="142">
        <f t="shared" ca="1" si="62"/>
        <v>8.7076306040102562E-24</v>
      </c>
      <c r="BP180" s="367">
        <f t="shared" ca="1" si="64"/>
        <v>0.24180603241322232</v>
      </c>
      <c r="BQ180" s="195"/>
      <c r="BR180" s="195"/>
      <c r="BS180" s="195"/>
      <c r="BT180" s="195"/>
      <c r="BU180" s="454"/>
      <c r="BV180" s="454"/>
      <c r="BW180" s="195"/>
      <c r="BX180" s="454"/>
      <c r="BY180" s="260"/>
      <c r="BZ180" s="195"/>
      <c r="CA180" s="19"/>
    </row>
    <row r="181" spans="1:79" x14ac:dyDescent="0.2">
      <c r="A181" s="427"/>
      <c r="B181" s="48"/>
      <c r="C181" s="48"/>
      <c r="D181" s="48"/>
      <c r="E181" s="48"/>
      <c r="F181" s="48"/>
      <c r="G181" s="48"/>
      <c r="H181" s="48"/>
      <c r="I181" s="48"/>
      <c r="J181" s="48" t="s">
        <v>291</v>
      </c>
      <c r="K181" s="21">
        <v>0</v>
      </c>
      <c r="L181" s="324">
        <f>$C$199+(K181*$C$200)</f>
        <v>50</v>
      </c>
      <c r="M181" s="440">
        <f>IF($C$191&lt;0,180-DEGREES(ATAN((L181)/ABS($C$191))),DEGREES(ATAN((L181)/$C$191)))</f>
        <v>153.43494882292202</v>
      </c>
      <c r="N181" s="488">
        <f>$C$199+$C$202+(K181*$C$200)</f>
        <v>54.9</v>
      </c>
      <c r="O181" s="440">
        <f>IF($C$191&lt;0,180-DEGREES(ATAN((N181)/ABS($C$191))),DEGREES(ATAN((N181)/$C$191)))</f>
        <v>151.23321391342387</v>
      </c>
      <c r="P181" s="441">
        <f>IF($C$191&lt;0,180-DEGREES(ATAN((L181+($C$202/2))/ABS($C$191))),DEGREES(ATAN((L181+($C$202/2))/ABS($C$191))))</f>
        <v>152.3229897375262</v>
      </c>
      <c r="Q181" s="442" t="e">
        <f ca="1">IF(P181&gt;$S$179,"no scattering",P181+DEGREES(ASIN(($F$4/$F$5)*SIN(RADIANS(P181)))))</f>
        <v>#NUM!</v>
      </c>
      <c r="R181" s="440" t="e">
        <f ca="1">(($E$4*$E$5*$N$16*0.000000000000001)^2)*((1/(4*$K$20))^2)*(1/((SIN(RADIANS(Q181)/2))^4))/1E-31</f>
        <v>#NUM!</v>
      </c>
      <c r="S181" s="440" t="e">
        <f ca="1">R181/((((SIN(RADIANS(P181)))^2)/((SIN(RADIANS(Q181))^2)))*COS(RADIANS(Q181)-RADIANS(P181)))</f>
        <v>#NUM!</v>
      </c>
      <c r="T181" s="452" t="e">
        <f ca="1">$K$19-((2*$K$19*$F$4*$F$5*(1-COS(RADIANS(Q181))))/($F$4+$F$5)^2)</f>
        <v>#NUM!</v>
      </c>
      <c r="U181" s="443" t="e">
        <f ca="1">DEGREES(0.5*(PI()-RADIANS(Q181)))</f>
        <v>#NUM!</v>
      </c>
      <c r="V181" s="383" t="e">
        <f ca="1">DEGREES(2*RADIANS(U181))</f>
        <v>#NUM!</v>
      </c>
      <c r="W181" s="444" t="e">
        <f ca="1">$K$19-T181</f>
        <v>#NUM!</v>
      </c>
      <c r="X181" s="445">
        <f>DEGREES((42*PI()/180)-(2*ATAN(1/(($C$199+($C$202/2))+(K181*$C$200)))))</f>
        <v>39.815487564739797</v>
      </c>
      <c r="Y181" s="446">
        <f>IF($C$191&lt;0,(RADIANS(X181))*(COS(RADIANS(O181))-COS(RADIANS(M181))),(RADIANS(X181))*(COS(RADIANS(M181))-COS(RADIANS(O181))))</f>
        <v>1.2398184008892614E-2</v>
      </c>
      <c r="Z181" s="447" t="e">
        <f ca="1">$K$16*($K$17*10000)*(S181*1E-28*0.001)*Y181*($K$18/100)</f>
        <v>#NUM!</v>
      </c>
      <c r="AA181" s="440">
        <f t="shared" ref="AA181:AA196" si="65">((PI()*(N181/10)^2)-(PI()*(L181/10)^2))*(X181/360)</f>
        <v>1.7859569183868964</v>
      </c>
      <c r="AB181" s="446" t="e">
        <f t="shared" ref="AB181:AB196" ca="1" si="66">Z181/AA181</f>
        <v>#NUM!</v>
      </c>
      <c r="AC181" s="448" t="e">
        <f ca="1">($C$203/AB181)/(60*60)</f>
        <v>#NUM!</v>
      </c>
      <c r="AD181" s="449" t="e">
        <f ca="1">AC181/24</f>
        <v>#NUM!</v>
      </c>
      <c r="AE181" s="449" t="e">
        <f ca="1">Z181*($C$9*60*60)</f>
        <v>#NUM!</v>
      </c>
      <c r="AG181" s="484"/>
      <c r="AH181" s="48"/>
      <c r="AI181" s="21">
        <v>0</v>
      </c>
      <c r="AJ181" s="324">
        <f>$C$199+(AI181*$C$200)</f>
        <v>50</v>
      </c>
      <c r="AK181" s="440">
        <f>IF($C$192&lt;0,180-DEGREES(ATAN((AJ181)/ABS($C$192))),DEGREES(ATAN((AJ181)/$C$192)))</f>
        <v>26.56505117707799</v>
      </c>
      <c r="AL181" s="488">
        <f>$C$199+$C$202+(AI181*$C$200)</f>
        <v>54.9</v>
      </c>
      <c r="AM181" s="440">
        <f>IF($C$192&lt;0,180-DEGREES(ATAN((AL181)/ABS($C$192))),DEGREES(ATAN((AL181)/$C$192)))</f>
        <v>28.766786086576136</v>
      </c>
      <c r="AN181" s="441">
        <f>IF($C$192&lt;0,180-DEGREES(ATAN((AJ181+($C$202/2))/ABS($C$192))),DEGREES(ATAN((AJ181+($C$202/2))/ABS($C$192))))</f>
        <v>27.677010262473789</v>
      </c>
      <c r="AO181" s="442" t="e">
        <f ca="1">IF(AN181&gt;$AQ$179,"no scattering",AN181+DEGREES(ASIN(($F$4/$F$5)*SIN(RADIANS(AN181)))))</f>
        <v>#NUM!</v>
      </c>
      <c r="AP181" s="440" t="e">
        <f ca="1">(($E$4*$E$5*$N$16*0.000000000000001)^2)*((1/(4*$K$20))^2)*(1/((SIN(RADIANS(AO181)/2))^4))/1E-31</f>
        <v>#NUM!</v>
      </c>
      <c r="AQ181" s="440" t="e">
        <f ca="1">AP181/((((SIN(RADIANS(AN181)))^2)/((SIN(RADIANS(AO181))^2)))*COS(RADIANS(AO181)-RADIANS(AN181)))</f>
        <v>#NUM!</v>
      </c>
      <c r="AR181" s="452" t="e">
        <f ca="1">$K$19-((2*$K$19*$F$4*$F$5*(1-COS(RADIANS(AO181))))/($F$4+$F$5)^2)</f>
        <v>#NUM!</v>
      </c>
      <c r="AS181" s="443" t="e">
        <f ca="1">DEGREES(0.5*(PI()-RADIANS(AO181)))</f>
        <v>#NUM!</v>
      </c>
      <c r="AT181" s="383" t="e">
        <f ca="1">DEGREES(2*RADIANS(AS181))</f>
        <v>#NUM!</v>
      </c>
      <c r="AU181" s="444" t="e">
        <f ca="1">$K$19-AR181</f>
        <v>#NUM!</v>
      </c>
      <c r="AV181" s="445">
        <f>DEGREES((42*PI()/180)-(2*ATAN(1/(($C$199+($C$202/2))+(AI181*$C$200)))))</f>
        <v>39.815487564739797</v>
      </c>
      <c r="AW181" s="446">
        <f>IF($C$192&lt;0,(RADIANS(AV181))*(COS(RADIANS(AM181))-COS(RADIANS(AK181))),(RADIANS(AV181))*(COS(RADIANS(AK181))-COS(RADIANS(AM181))))</f>
        <v>1.2398184008892537E-2</v>
      </c>
      <c r="AX181" s="447" t="e">
        <f ca="1">$K$16*($K$17*10000)*(AQ181*1E-28*0.001)*AW181*($K$18/100)</f>
        <v>#NUM!</v>
      </c>
      <c r="AY181" s="440">
        <f>((PI()*(AL181/10)^2)-(PI()*(AJ181/10)^2))*(AV181/360)</f>
        <v>1.7859569183868964</v>
      </c>
      <c r="AZ181" s="446" t="e">
        <f ca="1">AX181/AY181</f>
        <v>#NUM!</v>
      </c>
      <c r="BA181" s="448" t="e">
        <f ca="1">($C$203/AZ181)/(60*60)</f>
        <v>#NUM!</v>
      </c>
      <c r="BB181" s="449" t="e">
        <f ca="1">BA181/24</f>
        <v>#NUM!</v>
      </c>
      <c r="BC181" s="449" t="e">
        <f ca="1">AX181*($C$9*60*60)</f>
        <v>#NUM!</v>
      </c>
      <c r="BD181" s="453"/>
      <c r="BE181" s="19"/>
      <c r="BF181" s="19"/>
      <c r="BG181" s="19"/>
      <c r="BH181" s="142">
        <f t="shared" si="63"/>
        <v>176</v>
      </c>
      <c r="BI181" s="142">
        <f t="shared" si="58"/>
        <v>3.0717794835100198</v>
      </c>
      <c r="BJ181" s="142">
        <f t="shared" si="59"/>
        <v>1.0024404073668292</v>
      </c>
      <c r="BK181" s="19"/>
      <c r="BL181" s="19"/>
      <c r="BM181" s="142">
        <f t="shared" ca="1" si="60"/>
        <v>869.56963424857463</v>
      </c>
      <c r="BN181" s="142">
        <f t="shared" ca="1" si="61"/>
        <v>8.6956963424857463</v>
      </c>
      <c r="BO181" s="142">
        <f t="shared" ca="1" si="62"/>
        <v>8.6956963424857469E-24</v>
      </c>
      <c r="BP181" s="367">
        <f t="shared" ca="1" si="64"/>
        <v>0.24147462464453559</v>
      </c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</row>
    <row r="182" spans="1:79" x14ac:dyDescent="0.2">
      <c r="A182" s="427"/>
      <c r="B182" s="48"/>
      <c r="C182" s="48"/>
      <c r="D182" s="48"/>
      <c r="E182" s="48"/>
      <c r="F182" s="48"/>
      <c r="G182" s="48"/>
      <c r="H182" s="48"/>
      <c r="I182" s="48"/>
      <c r="K182" s="21">
        <v>1</v>
      </c>
      <c r="L182" s="324">
        <f t="shared" ref="L182:L196" si="67">$C$199+(K182*$C$200)</f>
        <v>55</v>
      </c>
      <c r="M182" s="440">
        <f t="shared" ref="M182:M196" si="68">IF($C$191&lt;0,180-DEGREES(ATAN((L182)/ABS($C$191))),DEGREES(ATAN((L182)/$C$191)))</f>
        <v>151.18920625702694</v>
      </c>
      <c r="N182" s="488">
        <f t="shared" ref="N182:N196" si="69">$C$199+$C$202+(K182*$C$200)</f>
        <v>59.9</v>
      </c>
      <c r="O182" s="440">
        <f t="shared" ref="O182:O196" si="70">IF($C$191&lt;0,180-DEGREES(ATAN((N182)/ABS($C$191))),DEGREES(ATAN((N182)/$C$191)))</f>
        <v>149.07839130460309</v>
      </c>
      <c r="P182" s="441">
        <f t="shared" ref="P182:P196" si="71">IF($C$191&lt;0,180-DEGREES(ATAN((L182+($C$202/2))/ABS($C$191))),DEGREES(ATAN((L182+($C$202/2))/ABS($C$191))))</f>
        <v>150.12263246257413</v>
      </c>
      <c r="Q182" s="442" t="e">
        <f t="shared" ref="Q182:Q196" ca="1" si="72">IF(P182&gt;$S$179,"no scattering",P182+DEGREES(ASIN(($F$4/$F$5)*SIN(RADIANS(P182)))))</f>
        <v>#NUM!</v>
      </c>
      <c r="R182" s="440" t="e">
        <f t="shared" ref="R182:R196" ca="1" si="73">(($E$4*$E$5*$N$16*0.000000000000001)^2)*((1/(4*$K$20))^2)*(1/((SIN(RADIANS(Q182)/2))^4))/1E-31</f>
        <v>#NUM!</v>
      </c>
      <c r="S182" s="440" t="e">
        <f t="shared" ref="S182:S196" ca="1" si="74">R182/((((SIN(RADIANS(P182)))^2)/((SIN(RADIANS(Q182))^2)))*COS(RADIANS(Q182)-RADIANS(P182)))</f>
        <v>#NUM!</v>
      </c>
      <c r="T182" s="452" t="e">
        <f t="shared" ref="T182:T196" ca="1" si="75">$K$19-((2*$K$19*$F$4*$F$5*(1-COS(RADIANS(Q182))))/($F$4+$F$5)^2)</f>
        <v>#NUM!</v>
      </c>
      <c r="U182" s="443" t="e">
        <f t="shared" ref="U182:U196" ca="1" si="76">DEGREES(0.5*(PI()-RADIANS(Q182)))</f>
        <v>#NUM!</v>
      </c>
      <c r="V182" s="383" t="e">
        <f t="shared" ref="V182:V196" ca="1" si="77">DEGREES(2*RADIANS(U182))</f>
        <v>#NUM!</v>
      </c>
      <c r="W182" s="444" t="e">
        <f t="shared" ref="W182:W196" ca="1" si="78">$K$19-T182</f>
        <v>#NUM!</v>
      </c>
      <c r="X182" s="445">
        <f t="shared" ref="X182:X192" si="79">DEGREES((42*PI()/180)-(2*ATAN(1/(($C$199+($C$202/2))+(K182*$C$200)))))</f>
        <v>40.005570270027526</v>
      </c>
      <c r="Y182" s="446">
        <f t="shared" ref="Y182:Y196" si="80">IF($C$191&lt;0,(RADIANS(X182))*(COS(RADIANS(O182))-COS(RADIANS(M182))),(RADIANS(X182))*(COS(RADIANS(M182))-COS(RADIANS(O182))))</f>
        <v>1.2808829680248983E-2</v>
      </c>
      <c r="Z182" s="447" t="e">
        <f t="shared" ref="Z182:Z196" ca="1" si="81">$K$16*($K$17*10000)*(S182*1E-28*0.001)*Y182*($K$18/100)</f>
        <v>#NUM!</v>
      </c>
      <c r="AA182" s="440">
        <f t="shared" si="65"/>
        <v>1.9655493222310929</v>
      </c>
      <c r="AB182" s="446" t="e">
        <f t="shared" ca="1" si="66"/>
        <v>#NUM!</v>
      </c>
      <c r="AC182" s="448" t="e">
        <f t="shared" ref="AC182:AC196" ca="1" si="82">($C$203/AB182)/(60*60)</f>
        <v>#NUM!</v>
      </c>
      <c r="AD182" s="449" t="e">
        <f t="shared" ref="AD182:AD196" ca="1" si="83">AC182/24</f>
        <v>#NUM!</v>
      </c>
      <c r="AE182" s="449" t="e">
        <f t="shared" ref="AE182:AE196" ca="1" si="84">Z182*($C$9*60*60)</f>
        <v>#NUM!</v>
      </c>
      <c r="AG182" s="484"/>
      <c r="AI182" s="21">
        <v>1</v>
      </c>
      <c r="AJ182" s="324">
        <f t="shared" ref="AJ182:AJ196" si="85">$G$199+(AI182*$G$200)</f>
        <v>55</v>
      </c>
      <c r="AK182" s="440">
        <f t="shared" ref="AK182:AK196" si="86">IF($C$192&lt;0,180-DEGREES(ATAN((AJ182)/ABS($C$192))),DEGREES(ATAN((AJ182)/$C$192)))</f>
        <v>28.810793742973065</v>
      </c>
      <c r="AL182" s="488">
        <f t="shared" ref="AL182:AL196" si="87">$G$199+$G$202+(AI182*$G$200)</f>
        <v>59.9</v>
      </c>
      <c r="AM182" s="440">
        <f t="shared" ref="AM182:AM196" si="88">IF($C$192&lt;0,180-DEGREES(ATAN((AL182)/ABS($C$192))),DEGREES(ATAN((AL182)/$C$192)))</f>
        <v>30.921608695396923</v>
      </c>
      <c r="AN182" s="441">
        <f t="shared" ref="AN182:AN196" si="89">IF($C$192&lt;0,180-DEGREES(ATAN((AJ182+($C$202/2))/ABS($C$192))),DEGREES(ATAN((AJ182+($C$202/2))/ABS($C$192))))</f>
        <v>29.877367537425869</v>
      </c>
      <c r="AO182" s="442" t="e">
        <f t="shared" ref="AO182:AO196" ca="1" si="90">IF(AN182&gt;$AQ$179,"no scattering",AN182+DEGREES(ASIN(($F$4/$F$5)*SIN(RADIANS(AN182)))))</f>
        <v>#NUM!</v>
      </c>
      <c r="AP182" s="440" t="e">
        <f t="shared" ref="AP182:AP196" ca="1" si="91">(($E$4*$E$5*$N$16*0.000000000000001)^2)*((1/(4*$K$20))^2)*(1/((SIN(RADIANS(AO182)/2))^4))/1E-31</f>
        <v>#NUM!</v>
      </c>
      <c r="AQ182" s="440" t="e">
        <f t="shared" ref="AQ182:AQ196" ca="1" si="92">AP182/((((SIN(RADIANS(AN182)))^2)/((SIN(RADIANS(AO182))^2)))*COS(RADIANS(AO182)-RADIANS(AN182)))</f>
        <v>#NUM!</v>
      </c>
      <c r="AR182" s="452" t="e">
        <f t="shared" ref="AR182:AR196" ca="1" si="93">$K$19-((2*$K$19*$F$4*$F$5*(1-COS(RADIANS(AO182))))/($F$4+$F$5)^2)</f>
        <v>#NUM!</v>
      </c>
      <c r="AS182" s="443" t="e">
        <f t="shared" ref="AS182:AS196" ca="1" si="94">DEGREES(0.5*(PI()-RADIANS(AO182)))</f>
        <v>#NUM!</v>
      </c>
      <c r="AT182" s="383" t="e">
        <f t="shared" ref="AT182:AT196" ca="1" si="95">DEGREES(2*RADIANS(AS182))</f>
        <v>#NUM!</v>
      </c>
      <c r="AU182" s="444" t="e">
        <f t="shared" ref="AU182:AU196" ca="1" si="96">$K$19-AR182</f>
        <v>#NUM!</v>
      </c>
      <c r="AV182" s="445">
        <f t="shared" ref="AV182:AV193" si="97">DEGREES((42*PI()/180)-(2*ATAN(1/(($G$199+($G$202/2))+(AI182*$G$200)))))</f>
        <v>40.005570270027526</v>
      </c>
      <c r="AW182" s="446">
        <f t="shared" ref="AW182:AW196" si="98">IF($C$192&lt;0,(RADIANS(AV182))*(COS(RADIANS(AM182))-COS(RADIANS(AK182))),(RADIANS(AV182))*(COS(RADIANS(AK182))-COS(RADIANS(AM182))))</f>
        <v>1.2808829680249059E-2</v>
      </c>
      <c r="AX182" s="447" t="e">
        <f t="shared" ref="AX182:AX196" ca="1" si="99">$K$16*($K$17*10000)*(AQ182*1E-28*0.001)*AW182*($K$18/100)</f>
        <v>#NUM!</v>
      </c>
      <c r="AY182" s="440">
        <f t="shared" ref="AY182:AY196" si="100">((PI()*(AL182/10)^2)-(PI()*(AJ182/10)^2))*(AV182/360)</f>
        <v>1.9655493222310929</v>
      </c>
      <c r="AZ182" s="446" t="e">
        <f t="shared" ref="AZ182:AZ196" ca="1" si="101">AX182/AY182</f>
        <v>#NUM!</v>
      </c>
      <c r="BA182" s="448" t="e">
        <f t="shared" ref="BA182:BA196" ca="1" si="102">($G$203/AZ182)/(60*60)</f>
        <v>#NUM!</v>
      </c>
      <c r="BB182" s="449" t="e">
        <f t="shared" ref="BB182:BB196" ca="1" si="103">BA182/24</f>
        <v>#NUM!</v>
      </c>
      <c r="BC182" s="449" t="e">
        <f t="shared" ref="BC182:BC196" ca="1" si="104">AX182*($C$9*60*60)</f>
        <v>#NUM!</v>
      </c>
      <c r="BD182" s="428"/>
      <c r="BH182" s="142">
        <f t="shared" si="63"/>
        <v>177</v>
      </c>
      <c r="BI182" s="142">
        <f t="shared" si="58"/>
        <v>3.0892327760299634</v>
      </c>
      <c r="BJ182" s="142">
        <f t="shared" si="59"/>
        <v>1.001371875164758</v>
      </c>
      <c r="BM182" s="142">
        <f t="shared" ca="1" si="60"/>
        <v>868.64273310880662</v>
      </c>
      <c r="BN182" s="142">
        <f t="shared" ca="1" si="61"/>
        <v>8.6864273310880655</v>
      </c>
      <c r="BO182" s="142">
        <f t="shared" ca="1" si="62"/>
        <v>8.686427331088066E-24</v>
      </c>
      <c r="BP182" s="367">
        <f t="shared" ca="1" si="64"/>
        <v>0.24121722938141618</v>
      </c>
    </row>
    <row r="183" spans="1:79" x14ac:dyDescent="0.2">
      <c r="A183" s="427"/>
      <c r="B183" s="48"/>
      <c r="C183" s="48"/>
      <c r="D183" s="48"/>
      <c r="E183" s="48"/>
      <c r="F183" s="48"/>
      <c r="G183" s="48"/>
      <c r="H183" s="48"/>
      <c r="I183" s="48"/>
      <c r="K183" s="21">
        <v>2</v>
      </c>
      <c r="L183" s="324">
        <f t="shared" si="67"/>
        <v>60</v>
      </c>
      <c r="M183" s="440">
        <f t="shared" si="68"/>
        <v>149.03624346792648</v>
      </c>
      <c r="N183" s="488">
        <f t="shared" si="69"/>
        <v>64.900000000000006</v>
      </c>
      <c r="O183" s="440">
        <f t="shared" si="70"/>
        <v>147.01642907891593</v>
      </c>
      <c r="P183" s="441">
        <f t="shared" si="71"/>
        <v>148.01522215115875</v>
      </c>
      <c r="Q183" s="442" t="e">
        <f t="shared" ca="1" si="72"/>
        <v>#NUM!</v>
      </c>
      <c r="R183" s="440" t="e">
        <f t="shared" ca="1" si="73"/>
        <v>#NUM!</v>
      </c>
      <c r="S183" s="440" t="e">
        <f t="shared" ca="1" si="74"/>
        <v>#NUM!</v>
      </c>
      <c r="T183" s="452" t="e">
        <f t="shared" ca="1" si="75"/>
        <v>#NUM!</v>
      </c>
      <c r="U183" s="443" t="e">
        <f t="shared" ca="1" si="76"/>
        <v>#NUM!</v>
      </c>
      <c r="V183" s="383" t="e">
        <f t="shared" ca="1" si="77"/>
        <v>#NUM!</v>
      </c>
      <c r="W183" s="444" t="e">
        <f t="shared" ca="1" si="78"/>
        <v>#NUM!</v>
      </c>
      <c r="X183" s="445">
        <f t="shared" si="79"/>
        <v>40.165223916915721</v>
      </c>
      <c r="Y183" s="446">
        <f t="shared" si="80"/>
        <v>1.3085308857311427E-2</v>
      </c>
      <c r="Z183" s="447" t="e">
        <f t="shared" ca="1" si="81"/>
        <v>#NUM!</v>
      </c>
      <c r="AA183" s="440">
        <f t="shared" si="65"/>
        <v>2.1451421813520239</v>
      </c>
      <c r="AB183" s="446" t="e">
        <f t="shared" ca="1" si="66"/>
        <v>#NUM!</v>
      </c>
      <c r="AC183" s="448" t="e">
        <f t="shared" ca="1" si="82"/>
        <v>#NUM!</v>
      </c>
      <c r="AD183" s="449" t="e">
        <f t="shared" ca="1" si="83"/>
        <v>#NUM!</v>
      </c>
      <c r="AE183" s="449" t="e">
        <f t="shared" ca="1" si="84"/>
        <v>#NUM!</v>
      </c>
      <c r="AG183" s="484"/>
      <c r="AI183" s="21">
        <v>2</v>
      </c>
      <c r="AJ183" s="324">
        <f t="shared" si="85"/>
        <v>60</v>
      </c>
      <c r="AK183" s="440">
        <f t="shared" si="86"/>
        <v>30.963756532073521</v>
      </c>
      <c r="AL183" s="488">
        <f t="shared" si="87"/>
        <v>64.900000000000006</v>
      </c>
      <c r="AM183" s="440">
        <f t="shared" si="88"/>
        <v>32.983570921084066</v>
      </c>
      <c r="AN183" s="441">
        <f t="shared" si="89"/>
        <v>31.984777848841251</v>
      </c>
      <c r="AO183" s="442" t="e">
        <f t="shared" ca="1" si="90"/>
        <v>#NUM!</v>
      </c>
      <c r="AP183" s="440" t="e">
        <f t="shared" ca="1" si="91"/>
        <v>#NUM!</v>
      </c>
      <c r="AQ183" s="440" t="e">
        <f t="shared" ca="1" si="92"/>
        <v>#NUM!</v>
      </c>
      <c r="AR183" s="452" t="e">
        <f t="shared" ca="1" si="93"/>
        <v>#NUM!</v>
      </c>
      <c r="AS183" s="443" t="e">
        <f t="shared" ca="1" si="94"/>
        <v>#NUM!</v>
      </c>
      <c r="AT183" s="383" t="e">
        <f t="shared" ca="1" si="95"/>
        <v>#NUM!</v>
      </c>
      <c r="AU183" s="444" t="e">
        <f t="shared" ca="1" si="96"/>
        <v>#NUM!</v>
      </c>
      <c r="AV183" s="445">
        <f t="shared" si="97"/>
        <v>40.165223916915721</v>
      </c>
      <c r="AW183" s="446">
        <f t="shared" si="98"/>
        <v>1.3085308857311427E-2</v>
      </c>
      <c r="AX183" s="447" t="e">
        <f t="shared" ca="1" si="99"/>
        <v>#NUM!</v>
      </c>
      <c r="AY183" s="440">
        <f t="shared" si="100"/>
        <v>2.1451421813520239</v>
      </c>
      <c r="AZ183" s="446" t="e">
        <f t="shared" ca="1" si="101"/>
        <v>#NUM!</v>
      </c>
      <c r="BA183" s="448" t="e">
        <f t="shared" ca="1" si="102"/>
        <v>#NUM!</v>
      </c>
      <c r="BB183" s="449" t="e">
        <f t="shared" ca="1" si="103"/>
        <v>#NUM!</v>
      </c>
      <c r="BC183" s="449" t="e">
        <f t="shared" ca="1" si="104"/>
        <v>#NUM!</v>
      </c>
      <c r="BD183" s="453"/>
      <c r="BE183" s="19"/>
      <c r="BF183" s="19"/>
      <c r="BG183" s="19"/>
      <c r="BH183" s="142">
        <f t="shared" si="63"/>
        <v>178</v>
      </c>
      <c r="BI183" s="142">
        <f t="shared" si="58"/>
        <v>3.1066860685499065</v>
      </c>
      <c r="BJ183" s="142">
        <f t="shared" si="59"/>
        <v>1.0006094514127672</v>
      </c>
      <c r="BK183" s="19"/>
      <c r="BL183" s="19"/>
      <c r="BM183" s="142">
        <f t="shared" ca="1" si="60"/>
        <v>867.9813665694204</v>
      </c>
      <c r="BN183" s="142">
        <f t="shared" ca="1" si="61"/>
        <v>8.6798136656942049</v>
      </c>
      <c r="BO183" s="142">
        <f t="shared" ca="1" si="62"/>
        <v>8.6798136656942054E-24</v>
      </c>
      <c r="BP183" s="367">
        <f t="shared" ca="1" si="64"/>
        <v>0.24103357159190664</v>
      </c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</row>
    <row r="184" spans="1:79" x14ac:dyDescent="0.2">
      <c r="A184" s="427"/>
      <c r="B184" s="48"/>
      <c r="C184" s="48"/>
      <c r="D184" s="48"/>
      <c r="E184" s="48"/>
      <c r="F184" s="48"/>
      <c r="G184" s="48"/>
      <c r="H184" s="48"/>
      <c r="I184" s="48"/>
      <c r="J184" s="48"/>
      <c r="K184" s="21">
        <v>3</v>
      </c>
      <c r="L184" s="324">
        <f t="shared" si="67"/>
        <v>65</v>
      </c>
      <c r="M184" s="440">
        <f t="shared" si="68"/>
        <v>146.97613244420336</v>
      </c>
      <c r="N184" s="488">
        <f t="shared" si="69"/>
        <v>69.900000000000006</v>
      </c>
      <c r="O184" s="440">
        <f t="shared" si="70"/>
        <v>145.04645141287114</v>
      </c>
      <c r="P184" s="441">
        <f t="shared" si="71"/>
        <v>146.00033539098615</v>
      </c>
      <c r="Q184" s="442" t="e">
        <f t="shared" ca="1" si="72"/>
        <v>#NUM!</v>
      </c>
      <c r="R184" s="440" t="e">
        <f t="shared" ca="1" si="73"/>
        <v>#NUM!</v>
      </c>
      <c r="S184" s="440" t="e">
        <f t="shared" ca="1" si="74"/>
        <v>#NUM!</v>
      </c>
      <c r="T184" s="452" t="e">
        <f t="shared" ca="1" si="75"/>
        <v>#NUM!</v>
      </c>
      <c r="U184" s="443" t="e">
        <f t="shared" ca="1" si="76"/>
        <v>#NUM!</v>
      </c>
      <c r="V184" s="383" t="e">
        <f t="shared" ca="1" si="77"/>
        <v>#NUM!</v>
      </c>
      <c r="W184" s="444" t="e">
        <f t="shared" ca="1" si="78"/>
        <v>#NUM!</v>
      </c>
      <c r="X184" s="445">
        <f t="shared" si="79"/>
        <v>40.301213280515327</v>
      </c>
      <c r="Y184" s="446">
        <f t="shared" si="80"/>
        <v>1.3242579470197535E-2</v>
      </c>
      <c r="Z184" s="447" t="e">
        <f t="shared" ca="1" si="81"/>
        <v>#NUM!</v>
      </c>
      <c r="AA184" s="440">
        <f t="shared" si="65"/>
        <v>2.3247353659330923</v>
      </c>
      <c r="AB184" s="446" t="e">
        <f t="shared" ca="1" si="66"/>
        <v>#NUM!</v>
      </c>
      <c r="AC184" s="448" t="e">
        <f t="shared" ca="1" si="82"/>
        <v>#NUM!</v>
      </c>
      <c r="AD184" s="449" t="e">
        <f t="shared" ca="1" si="83"/>
        <v>#NUM!</v>
      </c>
      <c r="AE184" s="449" t="e">
        <f t="shared" ca="1" si="84"/>
        <v>#NUM!</v>
      </c>
      <c r="AG184" s="484"/>
      <c r="AI184" s="21">
        <v>3</v>
      </c>
      <c r="AJ184" s="324">
        <f t="shared" si="85"/>
        <v>65</v>
      </c>
      <c r="AK184" s="440">
        <f t="shared" si="86"/>
        <v>33.023867555796649</v>
      </c>
      <c r="AL184" s="488">
        <f t="shared" si="87"/>
        <v>69.900000000000006</v>
      </c>
      <c r="AM184" s="440">
        <f t="shared" si="88"/>
        <v>34.953548587128857</v>
      </c>
      <c r="AN184" s="441">
        <f t="shared" si="89"/>
        <v>33.999664609013863</v>
      </c>
      <c r="AO184" s="442" t="e">
        <f t="shared" ca="1" si="90"/>
        <v>#NUM!</v>
      </c>
      <c r="AP184" s="440" t="e">
        <f t="shared" ca="1" si="91"/>
        <v>#NUM!</v>
      </c>
      <c r="AQ184" s="440" t="e">
        <f t="shared" ca="1" si="92"/>
        <v>#NUM!</v>
      </c>
      <c r="AR184" s="452" t="e">
        <f t="shared" ca="1" si="93"/>
        <v>#NUM!</v>
      </c>
      <c r="AS184" s="443" t="e">
        <f t="shared" ca="1" si="94"/>
        <v>#NUM!</v>
      </c>
      <c r="AT184" s="383" t="e">
        <f t="shared" ca="1" si="95"/>
        <v>#NUM!</v>
      </c>
      <c r="AU184" s="444" t="e">
        <f t="shared" ca="1" si="96"/>
        <v>#NUM!</v>
      </c>
      <c r="AV184" s="445">
        <f t="shared" si="97"/>
        <v>40.301213280515327</v>
      </c>
      <c r="AW184" s="446">
        <f t="shared" si="98"/>
        <v>1.3242579470197535E-2</v>
      </c>
      <c r="AX184" s="447" t="e">
        <f t="shared" ca="1" si="99"/>
        <v>#NUM!</v>
      </c>
      <c r="AY184" s="440">
        <f t="shared" si="100"/>
        <v>2.3247353659330923</v>
      </c>
      <c r="AZ184" s="446" t="e">
        <f t="shared" ca="1" si="101"/>
        <v>#NUM!</v>
      </c>
      <c r="BA184" s="448" t="e">
        <f t="shared" ca="1" si="102"/>
        <v>#NUM!</v>
      </c>
      <c r="BB184" s="449" t="e">
        <f t="shared" ca="1" si="103"/>
        <v>#NUM!</v>
      </c>
      <c r="BC184" s="449" t="e">
        <f t="shared" ca="1" si="104"/>
        <v>#NUM!</v>
      </c>
      <c r="BD184" s="428"/>
      <c r="BH184" s="142">
        <f t="shared" si="63"/>
        <v>179</v>
      </c>
      <c r="BI184" s="142">
        <f t="shared" si="58"/>
        <v>3.12413936106985</v>
      </c>
      <c r="BJ184" s="142">
        <f t="shared" si="59"/>
        <v>1.0001523222429494</v>
      </c>
      <c r="BM184" s="142">
        <f t="shared" ca="1" si="60"/>
        <v>867.58482863850543</v>
      </c>
      <c r="BN184" s="142">
        <f t="shared" ca="1" si="61"/>
        <v>8.6758482863850546</v>
      </c>
      <c r="BO184" s="142">
        <f t="shared" ca="1" si="62"/>
        <v>8.675848286385055E-24</v>
      </c>
      <c r="BP184" s="367">
        <f t="shared" ca="1" si="64"/>
        <v>0.24092345522600134</v>
      </c>
    </row>
    <row r="185" spans="1:79" x14ac:dyDescent="0.2">
      <c r="A185" s="427"/>
      <c r="B185" s="48"/>
      <c r="C185" s="48"/>
      <c r="D185" s="48"/>
      <c r="E185" s="48"/>
      <c r="F185" s="48"/>
      <c r="G185" s="48"/>
      <c r="H185" s="48"/>
      <c r="I185" s="48"/>
      <c r="J185" s="48"/>
      <c r="K185" s="21">
        <v>4</v>
      </c>
      <c r="L185" s="324">
        <f t="shared" si="67"/>
        <v>70</v>
      </c>
      <c r="M185" s="440">
        <f t="shared" si="68"/>
        <v>145.00797980144134</v>
      </c>
      <c r="N185" s="488">
        <f t="shared" si="69"/>
        <v>74.900000000000006</v>
      </c>
      <c r="O185" s="440">
        <f t="shared" si="70"/>
        <v>143.16678925774667</v>
      </c>
      <c r="P185" s="441">
        <f t="shared" si="71"/>
        <v>144.07667039641115</v>
      </c>
      <c r="Q185" s="442" t="e">
        <f t="shared" ca="1" si="72"/>
        <v>#NUM!</v>
      </c>
      <c r="R185" s="440" t="e">
        <f t="shared" ca="1" si="73"/>
        <v>#NUM!</v>
      </c>
      <c r="S185" s="440" t="e">
        <f t="shared" ca="1" si="74"/>
        <v>#NUM!</v>
      </c>
      <c r="T185" s="452" t="e">
        <f t="shared" ca="1" si="75"/>
        <v>#NUM!</v>
      </c>
      <c r="U185" s="443" t="e">
        <f t="shared" ca="1" si="76"/>
        <v>#NUM!</v>
      </c>
      <c r="V185" s="383" t="e">
        <f t="shared" ca="1" si="77"/>
        <v>#NUM!</v>
      </c>
      <c r="W185" s="444" t="e">
        <f t="shared" ca="1" si="78"/>
        <v>#NUM!</v>
      </c>
      <c r="X185" s="445">
        <f t="shared" si="79"/>
        <v>40.418436399990441</v>
      </c>
      <c r="Y185" s="446">
        <f t="shared" si="80"/>
        <v>1.3295964579602979E-2</v>
      </c>
      <c r="Z185" s="447" t="e">
        <f t="shared" ca="1" si="81"/>
        <v>#NUM!</v>
      </c>
      <c r="AA185" s="440">
        <f t="shared" si="65"/>
        <v>2.5043287893312263</v>
      </c>
      <c r="AB185" s="446" t="e">
        <f t="shared" ca="1" si="66"/>
        <v>#NUM!</v>
      </c>
      <c r="AC185" s="448" t="e">
        <f t="shared" ca="1" si="82"/>
        <v>#NUM!</v>
      </c>
      <c r="AD185" s="449" t="e">
        <f t="shared" ca="1" si="83"/>
        <v>#NUM!</v>
      </c>
      <c r="AE185" s="449" t="e">
        <f t="shared" ca="1" si="84"/>
        <v>#NUM!</v>
      </c>
      <c r="AG185" s="484"/>
      <c r="AI185" s="21">
        <v>4</v>
      </c>
      <c r="AJ185" s="324">
        <f t="shared" si="85"/>
        <v>70</v>
      </c>
      <c r="AK185" s="440">
        <f t="shared" si="86"/>
        <v>34.992020198558663</v>
      </c>
      <c r="AL185" s="488">
        <f t="shared" si="87"/>
        <v>74.900000000000006</v>
      </c>
      <c r="AM185" s="440">
        <f t="shared" si="88"/>
        <v>36.833210742253321</v>
      </c>
      <c r="AN185" s="441">
        <f t="shared" si="89"/>
        <v>35.923329603588854</v>
      </c>
      <c r="AO185" s="442" t="e">
        <f t="shared" ca="1" si="90"/>
        <v>#NUM!</v>
      </c>
      <c r="AP185" s="440" t="e">
        <f t="shared" ca="1" si="91"/>
        <v>#NUM!</v>
      </c>
      <c r="AQ185" s="440" t="e">
        <f t="shared" ca="1" si="92"/>
        <v>#NUM!</v>
      </c>
      <c r="AR185" s="452" t="e">
        <f t="shared" ca="1" si="93"/>
        <v>#NUM!</v>
      </c>
      <c r="AS185" s="443" t="e">
        <f t="shared" ca="1" si="94"/>
        <v>#NUM!</v>
      </c>
      <c r="AT185" s="383" t="e">
        <f t="shared" ca="1" si="95"/>
        <v>#NUM!</v>
      </c>
      <c r="AU185" s="444" t="e">
        <f t="shared" ca="1" si="96"/>
        <v>#NUM!</v>
      </c>
      <c r="AV185" s="445">
        <f t="shared" si="97"/>
        <v>40.418436399990441</v>
      </c>
      <c r="AW185" s="446">
        <f t="shared" si="98"/>
        <v>1.3295964579602979E-2</v>
      </c>
      <c r="AX185" s="447" t="e">
        <f t="shared" ca="1" si="99"/>
        <v>#NUM!</v>
      </c>
      <c r="AY185" s="440">
        <f t="shared" si="100"/>
        <v>2.5043287893312263</v>
      </c>
      <c r="AZ185" s="446" t="e">
        <f t="shared" ca="1" si="101"/>
        <v>#NUM!</v>
      </c>
      <c r="BA185" s="448" t="e">
        <f t="shared" ca="1" si="102"/>
        <v>#NUM!</v>
      </c>
      <c r="BB185" s="449" t="e">
        <f t="shared" ca="1" si="103"/>
        <v>#NUM!</v>
      </c>
      <c r="BC185" s="449" t="e">
        <f t="shared" ca="1" si="104"/>
        <v>#NUM!</v>
      </c>
      <c r="BD185" s="453"/>
      <c r="BE185" s="19"/>
      <c r="BF185" s="19"/>
      <c r="BG185" s="19"/>
      <c r="BH185" s="142">
        <f t="shared" si="63"/>
        <v>180</v>
      </c>
      <c r="BI185" s="142">
        <f t="shared" si="58"/>
        <v>3.1415926535897931</v>
      </c>
      <c r="BJ185" s="142">
        <f t="shared" si="59"/>
        <v>1</v>
      </c>
      <c r="BK185" s="19"/>
      <c r="BL185" s="19"/>
      <c r="BM185" s="142">
        <f t="shared" ca="1" si="60"/>
        <v>867.45269629815277</v>
      </c>
      <c r="BN185" s="142">
        <f t="shared" ca="1" si="61"/>
        <v>8.6745269629815276</v>
      </c>
      <c r="BO185" s="142">
        <f t="shared" ca="1" si="62"/>
        <v>8.6745269629815286E-24</v>
      </c>
      <c r="BP185" s="367">
        <f t="shared" ca="1" si="64"/>
        <v>0.24088676281399268</v>
      </c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</row>
    <row r="186" spans="1:79" x14ac:dyDescent="0.2">
      <c r="A186" s="427"/>
      <c r="B186" s="48"/>
      <c r="C186" s="48"/>
      <c r="D186" s="48"/>
      <c r="E186" s="48"/>
      <c r="F186" s="48"/>
      <c r="G186" s="48"/>
      <c r="H186" s="48"/>
      <c r="I186" s="48"/>
      <c r="J186" s="48"/>
      <c r="K186" s="21">
        <v>5</v>
      </c>
      <c r="L186" s="324">
        <f t="shared" si="67"/>
        <v>75</v>
      </c>
      <c r="M186" s="440">
        <f t="shared" si="68"/>
        <v>143.13010235415598</v>
      </c>
      <c r="N186" s="488">
        <f t="shared" si="69"/>
        <v>79.900000000000006</v>
      </c>
      <c r="O186" s="440">
        <f t="shared" si="70"/>
        <v>141.37514524298484</v>
      </c>
      <c r="P186" s="441">
        <f t="shared" si="71"/>
        <v>142.24221796719183</v>
      </c>
      <c r="Q186" s="442" t="e">
        <f t="shared" ca="1" si="72"/>
        <v>#NUM!</v>
      </c>
      <c r="R186" s="440" t="e">
        <f t="shared" ca="1" si="73"/>
        <v>#NUM!</v>
      </c>
      <c r="S186" s="440" t="e">
        <f t="shared" ca="1" si="74"/>
        <v>#NUM!</v>
      </c>
      <c r="T186" s="452" t="e">
        <f t="shared" ca="1" si="75"/>
        <v>#NUM!</v>
      </c>
      <c r="U186" s="443" t="e">
        <f t="shared" ca="1" si="76"/>
        <v>#NUM!</v>
      </c>
      <c r="V186" s="383" t="e">
        <f t="shared" ca="1" si="77"/>
        <v>#NUM!</v>
      </c>
      <c r="W186" s="444" t="e">
        <f t="shared" ca="1" si="78"/>
        <v>#NUM!</v>
      </c>
      <c r="X186" s="445">
        <f t="shared" si="79"/>
        <v>40.520526896371734</v>
      </c>
      <c r="Y186" s="446">
        <f t="shared" si="80"/>
        <v>1.3260480031963399E-2</v>
      </c>
      <c r="Z186" s="447" t="e">
        <f t="shared" ca="1" si="81"/>
        <v>#NUM!</v>
      </c>
      <c r="AA186" s="440">
        <f t="shared" si="65"/>
        <v>2.6839223919270307</v>
      </c>
      <c r="AB186" s="446" t="e">
        <f t="shared" ca="1" si="66"/>
        <v>#NUM!</v>
      </c>
      <c r="AC186" s="448" t="e">
        <f t="shared" ca="1" si="82"/>
        <v>#NUM!</v>
      </c>
      <c r="AD186" s="449" t="e">
        <f t="shared" ca="1" si="83"/>
        <v>#NUM!</v>
      </c>
      <c r="AE186" s="449" t="e">
        <f t="shared" ca="1" si="84"/>
        <v>#NUM!</v>
      </c>
      <c r="AG186" s="484"/>
      <c r="AI186" s="21">
        <v>5</v>
      </c>
      <c r="AJ186" s="324">
        <f t="shared" si="85"/>
        <v>75</v>
      </c>
      <c r="AK186" s="440">
        <f t="shared" si="86"/>
        <v>36.86989764584402</v>
      </c>
      <c r="AL186" s="488">
        <f t="shared" si="87"/>
        <v>79.900000000000006</v>
      </c>
      <c r="AM186" s="440">
        <f t="shared" si="88"/>
        <v>38.62485475701515</v>
      </c>
      <c r="AN186" s="441">
        <f t="shared" si="89"/>
        <v>37.757782032808166</v>
      </c>
      <c r="AO186" s="442" t="e">
        <f t="shared" ca="1" si="90"/>
        <v>#NUM!</v>
      </c>
      <c r="AP186" s="440" t="e">
        <f t="shared" ca="1" si="91"/>
        <v>#NUM!</v>
      </c>
      <c r="AQ186" s="440" t="e">
        <f t="shared" ca="1" si="92"/>
        <v>#NUM!</v>
      </c>
      <c r="AR186" s="452" t="e">
        <f t="shared" ca="1" si="93"/>
        <v>#NUM!</v>
      </c>
      <c r="AS186" s="443" t="e">
        <f t="shared" ca="1" si="94"/>
        <v>#NUM!</v>
      </c>
      <c r="AT186" s="383" t="e">
        <f t="shared" ca="1" si="95"/>
        <v>#NUM!</v>
      </c>
      <c r="AU186" s="444" t="e">
        <f t="shared" ca="1" si="96"/>
        <v>#NUM!</v>
      </c>
      <c r="AV186" s="445">
        <f t="shared" si="97"/>
        <v>40.520526896371734</v>
      </c>
      <c r="AW186" s="446">
        <f t="shared" si="98"/>
        <v>1.3260480031963241E-2</v>
      </c>
      <c r="AX186" s="447" t="e">
        <f t="shared" ca="1" si="99"/>
        <v>#NUM!</v>
      </c>
      <c r="AY186" s="440">
        <f t="shared" si="100"/>
        <v>2.6839223919270307</v>
      </c>
      <c r="AZ186" s="446" t="e">
        <f t="shared" ca="1" si="101"/>
        <v>#NUM!</v>
      </c>
      <c r="BA186" s="448" t="e">
        <f t="shared" ca="1" si="102"/>
        <v>#NUM!</v>
      </c>
      <c r="BB186" s="449" t="e">
        <f t="shared" ca="1" si="103"/>
        <v>#NUM!</v>
      </c>
      <c r="BC186" s="449" t="e">
        <f t="shared" ca="1" si="104"/>
        <v>#NUM!</v>
      </c>
      <c r="BD186" s="453"/>
      <c r="BE186" s="19"/>
      <c r="BF186" s="19"/>
      <c r="BG186" s="18"/>
      <c r="BH186" s="142">
        <f t="shared" si="63"/>
        <v>181</v>
      </c>
      <c r="BI186" s="142">
        <f t="shared" si="58"/>
        <v>3.1590459461097367</v>
      </c>
      <c r="BJ186" s="142">
        <f t="shared" si="59"/>
        <v>1.0001523222429494</v>
      </c>
      <c r="BK186" s="19"/>
      <c r="BL186" s="19"/>
      <c r="BM186" s="142">
        <f t="shared" ca="1" si="60"/>
        <v>867.58482863850543</v>
      </c>
      <c r="BN186" s="142">
        <f t="shared" ca="1" si="61"/>
        <v>8.6758482863850546</v>
      </c>
      <c r="BO186" s="142">
        <f t="shared" ca="1" si="62"/>
        <v>8.675848286385055E-24</v>
      </c>
      <c r="BP186" s="367">
        <f t="shared" ca="1" si="64"/>
        <v>0.24092345522600134</v>
      </c>
      <c r="BQ186" s="19"/>
      <c r="BR186" s="19"/>
      <c r="BS186" s="19"/>
      <c r="BT186" s="19"/>
      <c r="BU186" s="19"/>
      <c r="BV186" s="19"/>
      <c r="BW186" s="19"/>
      <c r="BX186" s="19"/>
      <c r="BY186" s="18"/>
      <c r="BZ186" s="19"/>
      <c r="CA186" s="19"/>
    </row>
    <row r="187" spans="1:79" x14ac:dyDescent="0.2">
      <c r="A187" s="427"/>
      <c r="B187" s="48"/>
      <c r="C187" s="48"/>
      <c r="D187" s="48"/>
      <c r="E187" s="48"/>
      <c r="F187" s="48"/>
      <c r="G187" s="48"/>
      <c r="H187" s="48"/>
      <c r="I187" s="48"/>
      <c r="J187" s="48"/>
      <c r="K187" s="21">
        <v>6</v>
      </c>
      <c r="L187" s="324">
        <f t="shared" si="67"/>
        <v>80</v>
      </c>
      <c r="M187" s="440">
        <f t="shared" si="68"/>
        <v>141.34019174590992</v>
      </c>
      <c r="N187" s="488">
        <f t="shared" si="69"/>
        <v>84.9</v>
      </c>
      <c r="O187" s="440">
        <f t="shared" si="70"/>
        <v>139.66874299770376</v>
      </c>
      <c r="P187" s="441">
        <f t="shared" si="71"/>
        <v>140.49441888701477</v>
      </c>
      <c r="Q187" s="442" t="e">
        <f t="shared" ca="1" si="72"/>
        <v>#NUM!</v>
      </c>
      <c r="R187" s="440" t="e">
        <f t="shared" ca="1" si="73"/>
        <v>#NUM!</v>
      </c>
      <c r="S187" s="440" t="e">
        <f t="shared" ca="1" si="74"/>
        <v>#NUM!</v>
      </c>
      <c r="T187" s="452" t="e">
        <f t="shared" ca="1" si="75"/>
        <v>#NUM!</v>
      </c>
      <c r="U187" s="443" t="e">
        <f t="shared" ca="1" si="76"/>
        <v>#NUM!</v>
      </c>
      <c r="V187" s="383" t="e">
        <f t="shared" ca="1" si="77"/>
        <v>#NUM!</v>
      </c>
      <c r="W187" s="444" t="e">
        <f t="shared" ca="1" si="78"/>
        <v>#NUM!</v>
      </c>
      <c r="X187" s="445">
        <f t="shared" si="79"/>
        <v>40.610237226947135</v>
      </c>
      <c r="Y187" s="446">
        <f t="shared" si="80"/>
        <v>1.3150351765068227E-2</v>
      </c>
      <c r="Z187" s="447" t="e">
        <f t="shared" ca="1" si="81"/>
        <v>#NUM!</v>
      </c>
      <c r="AA187" s="440">
        <f t="shared" si="65"/>
        <v>2.8635161316073257</v>
      </c>
      <c r="AB187" s="446" t="e">
        <f t="shared" ca="1" si="66"/>
        <v>#NUM!</v>
      </c>
      <c r="AC187" s="448" t="e">
        <f t="shared" ca="1" si="82"/>
        <v>#NUM!</v>
      </c>
      <c r="AD187" s="449" t="e">
        <f t="shared" ca="1" si="83"/>
        <v>#NUM!</v>
      </c>
      <c r="AE187" s="449" t="e">
        <f t="shared" ca="1" si="84"/>
        <v>#NUM!</v>
      </c>
      <c r="AG187" s="484"/>
      <c r="AI187" s="21">
        <v>6</v>
      </c>
      <c r="AJ187" s="324">
        <f t="shared" si="85"/>
        <v>80</v>
      </c>
      <c r="AK187" s="440">
        <f t="shared" si="86"/>
        <v>38.659808254090095</v>
      </c>
      <c r="AL187" s="488">
        <f t="shared" si="87"/>
        <v>84.9</v>
      </c>
      <c r="AM187" s="440">
        <f t="shared" si="88"/>
        <v>40.331257002296255</v>
      </c>
      <c r="AN187" s="441">
        <f t="shared" si="89"/>
        <v>39.505581112985233</v>
      </c>
      <c r="AO187" s="442" t="e">
        <f t="shared" ca="1" si="90"/>
        <v>#NUM!</v>
      </c>
      <c r="AP187" s="440" t="e">
        <f t="shared" ca="1" si="91"/>
        <v>#NUM!</v>
      </c>
      <c r="AQ187" s="440" t="e">
        <f t="shared" ca="1" si="92"/>
        <v>#NUM!</v>
      </c>
      <c r="AR187" s="452" t="e">
        <f t="shared" ca="1" si="93"/>
        <v>#NUM!</v>
      </c>
      <c r="AS187" s="443" t="e">
        <f t="shared" ca="1" si="94"/>
        <v>#NUM!</v>
      </c>
      <c r="AT187" s="383" t="e">
        <f t="shared" ca="1" si="95"/>
        <v>#NUM!</v>
      </c>
      <c r="AU187" s="444" t="e">
        <f t="shared" ca="1" si="96"/>
        <v>#NUM!</v>
      </c>
      <c r="AV187" s="445">
        <f t="shared" si="97"/>
        <v>40.610237226947135</v>
      </c>
      <c r="AW187" s="446">
        <f t="shared" si="98"/>
        <v>1.3150351765068383E-2</v>
      </c>
      <c r="AX187" s="447" t="e">
        <f t="shared" ca="1" si="99"/>
        <v>#NUM!</v>
      </c>
      <c r="AY187" s="440">
        <f t="shared" si="100"/>
        <v>2.8635161316073257</v>
      </c>
      <c r="AZ187" s="446" t="e">
        <f t="shared" ca="1" si="101"/>
        <v>#NUM!</v>
      </c>
      <c r="BA187" s="448" t="e">
        <f t="shared" ca="1" si="102"/>
        <v>#NUM!</v>
      </c>
      <c r="BB187" s="449" t="e">
        <f t="shared" ca="1" si="103"/>
        <v>#NUM!</v>
      </c>
      <c r="BC187" s="449" t="e">
        <f t="shared" ca="1" si="104"/>
        <v>#NUM!</v>
      </c>
      <c r="BD187" s="251"/>
      <c r="BE187" s="209"/>
      <c r="BF187" s="454"/>
      <c r="BG187" s="209"/>
      <c r="BK187" s="19"/>
      <c r="BL187" s="19"/>
      <c r="BP187" s="209"/>
      <c r="BQ187" s="209"/>
      <c r="BR187" s="209"/>
      <c r="BS187" s="209"/>
      <c r="BT187" s="216"/>
      <c r="BU187" s="216"/>
      <c r="BV187" s="209"/>
      <c r="BW187" s="209"/>
      <c r="BX187" s="454"/>
      <c r="BY187" s="209"/>
      <c r="BZ187" s="209"/>
      <c r="CA187" s="19"/>
    </row>
    <row r="188" spans="1:79" x14ac:dyDescent="0.2">
      <c r="A188" s="427"/>
      <c r="B188" s="48"/>
      <c r="C188" s="48"/>
      <c r="D188" s="48"/>
      <c r="E188" s="48"/>
      <c r="F188" s="48"/>
      <c r="G188" s="48"/>
      <c r="H188" s="48"/>
      <c r="I188" s="48"/>
      <c r="J188" s="48"/>
      <c r="K188" s="21">
        <v>7</v>
      </c>
      <c r="L188" s="324">
        <f t="shared" si="67"/>
        <v>85</v>
      </c>
      <c r="M188" s="440">
        <f t="shared" si="68"/>
        <v>139.63546342690265</v>
      </c>
      <c r="N188" s="488">
        <f t="shared" si="69"/>
        <v>89.9</v>
      </c>
      <c r="O188" s="440">
        <f t="shared" si="70"/>
        <v>138.0444583757093</v>
      </c>
      <c r="P188" s="441">
        <f t="shared" si="71"/>
        <v>138.83030420878475</v>
      </c>
      <c r="Q188" s="442" t="e">
        <f t="shared" ca="1" si="72"/>
        <v>#NUM!</v>
      </c>
      <c r="R188" s="440" t="e">
        <f t="shared" ca="1" si="73"/>
        <v>#NUM!</v>
      </c>
      <c r="S188" s="440" t="e">
        <f t="shared" ca="1" si="74"/>
        <v>#NUM!</v>
      </c>
      <c r="T188" s="452" t="e">
        <f t="shared" ca="1" si="75"/>
        <v>#NUM!</v>
      </c>
      <c r="U188" s="443" t="e">
        <f t="shared" ca="1" si="76"/>
        <v>#NUM!</v>
      </c>
      <c r="V188" s="383" t="e">
        <f t="shared" ca="1" si="77"/>
        <v>#NUM!</v>
      </c>
      <c r="W188" s="444" t="e">
        <f t="shared" ca="1" si="78"/>
        <v>#NUM!</v>
      </c>
      <c r="X188" s="445">
        <f t="shared" si="79"/>
        <v>40.68969051239435</v>
      </c>
      <c r="Y188" s="446">
        <f t="shared" si="80"/>
        <v>1.297870017152402E-2</v>
      </c>
      <c r="Z188" s="447" t="e">
        <f t="shared" ca="1" si="81"/>
        <v>#NUM!</v>
      </c>
      <c r="AA188" s="440">
        <f t="shared" si="65"/>
        <v>3.0431099779404289</v>
      </c>
      <c r="AB188" s="446" t="e">
        <f t="shared" ca="1" si="66"/>
        <v>#NUM!</v>
      </c>
      <c r="AC188" s="448" t="e">
        <f t="shared" ca="1" si="82"/>
        <v>#NUM!</v>
      </c>
      <c r="AD188" s="449" t="e">
        <f t="shared" ca="1" si="83"/>
        <v>#NUM!</v>
      </c>
      <c r="AE188" s="449" t="e">
        <f t="shared" ca="1" si="84"/>
        <v>#NUM!</v>
      </c>
      <c r="AG188" s="484"/>
      <c r="AI188" s="21">
        <v>7</v>
      </c>
      <c r="AJ188" s="324">
        <f t="shared" si="85"/>
        <v>85</v>
      </c>
      <c r="AK188" s="440">
        <f t="shared" si="86"/>
        <v>40.364536573097361</v>
      </c>
      <c r="AL188" s="488">
        <f t="shared" si="87"/>
        <v>89.9</v>
      </c>
      <c r="AM188" s="440">
        <f t="shared" si="88"/>
        <v>41.955541624290703</v>
      </c>
      <c r="AN188" s="441">
        <f t="shared" si="89"/>
        <v>41.169695791215233</v>
      </c>
      <c r="AO188" s="442" t="e">
        <f t="shared" ca="1" si="90"/>
        <v>#NUM!</v>
      </c>
      <c r="AP188" s="440" t="e">
        <f t="shared" ca="1" si="91"/>
        <v>#NUM!</v>
      </c>
      <c r="AQ188" s="440" t="e">
        <f t="shared" ca="1" si="92"/>
        <v>#NUM!</v>
      </c>
      <c r="AR188" s="452" t="e">
        <f t="shared" ca="1" si="93"/>
        <v>#NUM!</v>
      </c>
      <c r="AS188" s="443" t="e">
        <f t="shared" ca="1" si="94"/>
        <v>#NUM!</v>
      </c>
      <c r="AT188" s="383" t="e">
        <f t="shared" ca="1" si="95"/>
        <v>#NUM!</v>
      </c>
      <c r="AU188" s="444" t="e">
        <f t="shared" ca="1" si="96"/>
        <v>#NUM!</v>
      </c>
      <c r="AV188" s="445">
        <f t="shared" si="97"/>
        <v>40.68969051239435</v>
      </c>
      <c r="AW188" s="446">
        <f t="shared" si="98"/>
        <v>1.2978700171523942E-2</v>
      </c>
      <c r="AX188" s="447" t="e">
        <f t="shared" ca="1" si="99"/>
        <v>#NUM!</v>
      </c>
      <c r="AY188" s="440">
        <f t="shared" si="100"/>
        <v>3.0431099779404289</v>
      </c>
      <c r="AZ188" s="446" t="e">
        <f t="shared" ca="1" si="101"/>
        <v>#NUM!</v>
      </c>
      <c r="BA188" s="448" t="e">
        <f t="shared" ca="1" si="102"/>
        <v>#NUM!</v>
      </c>
      <c r="BB188" s="449" t="e">
        <f t="shared" ca="1" si="103"/>
        <v>#NUM!</v>
      </c>
      <c r="BC188" s="449" t="e">
        <f t="shared" ca="1" si="104"/>
        <v>#NUM!</v>
      </c>
      <c r="BD188" s="455"/>
      <c r="BE188" s="195"/>
      <c r="BF188" s="454"/>
      <c r="BG188" s="260"/>
      <c r="BK188" s="19"/>
      <c r="BL188" s="19"/>
      <c r="BP188" s="195"/>
      <c r="BQ188" s="195"/>
      <c r="BR188" s="195"/>
      <c r="BS188" s="195"/>
      <c r="BT188" s="195"/>
      <c r="BU188" s="454"/>
      <c r="BV188" s="454"/>
      <c r="BW188" s="195"/>
      <c r="BX188" s="454"/>
      <c r="BY188" s="260"/>
      <c r="BZ188" s="195"/>
      <c r="CA188" s="19"/>
    </row>
    <row r="189" spans="1:79" x14ac:dyDescent="0.2">
      <c r="A189" s="427"/>
      <c r="B189" s="48"/>
      <c r="C189" s="48"/>
      <c r="D189" s="48"/>
      <c r="E189" s="48"/>
      <c r="F189" s="48"/>
      <c r="G189" s="48"/>
      <c r="H189" s="48"/>
      <c r="I189" s="48"/>
      <c r="J189" s="48"/>
      <c r="K189" s="21">
        <v>8</v>
      </c>
      <c r="L189" s="324">
        <f t="shared" si="67"/>
        <v>90</v>
      </c>
      <c r="M189" s="440">
        <f t="shared" si="68"/>
        <v>138.01278750418334</v>
      </c>
      <c r="N189" s="488">
        <f t="shared" si="69"/>
        <v>94.9</v>
      </c>
      <c r="O189" s="440">
        <f t="shared" si="70"/>
        <v>136.49893180440776</v>
      </c>
      <c r="P189" s="441">
        <f t="shared" si="71"/>
        <v>137.24661686123704</v>
      </c>
      <c r="Q189" s="442" t="e">
        <f t="shared" ca="1" si="72"/>
        <v>#NUM!</v>
      </c>
      <c r="R189" s="440" t="e">
        <f t="shared" ca="1" si="73"/>
        <v>#NUM!</v>
      </c>
      <c r="S189" s="440" t="e">
        <f t="shared" ca="1" si="74"/>
        <v>#NUM!</v>
      </c>
      <c r="T189" s="452" t="e">
        <f t="shared" ca="1" si="75"/>
        <v>#NUM!</v>
      </c>
      <c r="U189" s="443" t="e">
        <f t="shared" ca="1" si="76"/>
        <v>#NUM!</v>
      </c>
      <c r="V189" s="383" t="e">
        <f t="shared" ca="1" si="77"/>
        <v>#NUM!</v>
      </c>
      <c r="W189" s="444" t="e">
        <f t="shared" ca="1" si="78"/>
        <v>#NUM!</v>
      </c>
      <c r="X189" s="445">
        <f t="shared" si="79"/>
        <v>40.760550673164914</v>
      </c>
      <c r="Y189" s="446">
        <f t="shared" si="80"/>
        <v>1.2757362106848955E-2</v>
      </c>
      <c r="Z189" s="447" t="e">
        <f t="shared" ca="1" si="81"/>
        <v>#NUM!</v>
      </c>
      <c r="AA189" s="440">
        <f t="shared" si="65"/>
        <v>3.2227039084931262</v>
      </c>
      <c r="AB189" s="446" t="e">
        <f t="shared" ca="1" si="66"/>
        <v>#NUM!</v>
      </c>
      <c r="AC189" s="448" t="e">
        <f t="shared" ca="1" si="82"/>
        <v>#NUM!</v>
      </c>
      <c r="AD189" s="449" t="e">
        <f t="shared" ca="1" si="83"/>
        <v>#NUM!</v>
      </c>
      <c r="AE189" s="449" t="e">
        <f t="shared" ca="1" si="84"/>
        <v>#NUM!</v>
      </c>
      <c r="AG189" s="484"/>
      <c r="AI189" s="21">
        <v>8</v>
      </c>
      <c r="AJ189" s="324">
        <f t="shared" si="85"/>
        <v>90</v>
      </c>
      <c r="AK189" s="440">
        <f t="shared" si="86"/>
        <v>41.987212495816657</v>
      </c>
      <c r="AL189" s="488">
        <f t="shared" si="87"/>
        <v>94.9</v>
      </c>
      <c r="AM189" s="440">
        <f t="shared" si="88"/>
        <v>43.501068195592232</v>
      </c>
      <c r="AN189" s="441">
        <f t="shared" si="89"/>
        <v>42.753383138762963</v>
      </c>
      <c r="AO189" s="442" t="e">
        <f t="shared" ca="1" si="90"/>
        <v>#NUM!</v>
      </c>
      <c r="AP189" s="440" t="e">
        <f t="shared" ca="1" si="91"/>
        <v>#NUM!</v>
      </c>
      <c r="AQ189" s="440" t="e">
        <f t="shared" ca="1" si="92"/>
        <v>#NUM!</v>
      </c>
      <c r="AR189" s="452" t="e">
        <f t="shared" ca="1" si="93"/>
        <v>#NUM!</v>
      </c>
      <c r="AS189" s="443" t="e">
        <f t="shared" ca="1" si="94"/>
        <v>#NUM!</v>
      </c>
      <c r="AT189" s="383" t="e">
        <f t="shared" ca="1" si="95"/>
        <v>#NUM!</v>
      </c>
      <c r="AU189" s="444" t="e">
        <f t="shared" ca="1" si="96"/>
        <v>#NUM!</v>
      </c>
      <c r="AV189" s="445">
        <f t="shared" si="97"/>
        <v>40.760550673164914</v>
      </c>
      <c r="AW189" s="446">
        <f t="shared" si="98"/>
        <v>1.2757362106848955E-2</v>
      </c>
      <c r="AX189" s="447" t="e">
        <f t="shared" ca="1" si="99"/>
        <v>#NUM!</v>
      </c>
      <c r="AY189" s="440">
        <f t="shared" si="100"/>
        <v>3.2227039084931262</v>
      </c>
      <c r="AZ189" s="446" t="e">
        <f t="shared" ca="1" si="101"/>
        <v>#NUM!</v>
      </c>
      <c r="BA189" s="448" t="e">
        <f t="shared" ca="1" si="102"/>
        <v>#NUM!</v>
      </c>
      <c r="BB189" s="449" t="e">
        <f t="shared" ca="1" si="103"/>
        <v>#NUM!</v>
      </c>
      <c r="BC189" s="449" t="e">
        <f t="shared" ca="1" si="104"/>
        <v>#NUM!</v>
      </c>
      <c r="BD189" s="455"/>
      <c r="BE189" s="195"/>
      <c r="BF189" s="454"/>
      <c r="BG189" s="260"/>
      <c r="BK189" s="19"/>
      <c r="BL189" s="19"/>
      <c r="BP189" s="195"/>
      <c r="BQ189" s="195"/>
      <c r="BR189" s="195"/>
      <c r="BS189" s="195"/>
      <c r="BT189" s="195"/>
      <c r="BU189" s="454"/>
      <c r="BV189" s="454"/>
      <c r="BW189" s="195"/>
      <c r="BX189" s="454"/>
      <c r="BY189" s="260"/>
      <c r="BZ189" s="195"/>
      <c r="CA189" s="19"/>
    </row>
    <row r="190" spans="1:79" x14ac:dyDescent="0.2">
      <c r="A190" s="427"/>
      <c r="B190" s="48" t="s">
        <v>287</v>
      </c>
      <c r="C190" s="48"/>
      <c r="D190" s="48"/>
      <c r="E190" s="48"/>
      <c r="F190" s="48"/>
      <c r="G190" s="48"/>
      <c r="H190" s="48"/>
      <c r="I190" s="48"/>
      <c r="J190" s="48"/>
      <c r="K190" s="21">
        <v>9</v>
      </c>
      <c r="L190" s="324">
        <f t="shared" si="67"/>
        <v>95</v>
      </c>
      <c r="M190" s="440">
        <f t="shared" si="68"/>
        <v>136.46880071438582</v>
      </c>
      <c r="N190" s="488">
        <f t="shared" si="69"/>
        <v>99.9</v>
      </c>
      <c r="O190" s="440">
        <f t="shared" si="70"/>
        <v>135.02866221847606</v>
      </c>
      <c r="P190" s="441">
        <f t="shared" si="71"/>
        <v>135.73991448840681</v>
      </c>
      <c r="Q190" s="442" t="e">
        <f t="shared" ca="1" si="72"/>
        <v>#NUM!</v>
      </c>
      <c r="R190" s="440" t="e">
        <f t="shared" ca="1" si="73"/>
        <v>#NUM!</v>
      </c>
      <c r="S190" s="440" t="e">
        <f t="shared" ca="1" si="74"/>
        <v>#NUM!</v>
      </c>
      <c r="T190" s="452" t="e">
        <f t="shared" ca="1" si="75"/>
        <v>#NUM!</v>
      </c>
      <c r="U190" s="443" t="e">
        <f t="shared" ca="1" si="76"/>
        <v>#NUM!</v>
      </c>
      <c r="V190" s="383" t="e">
        <f t="shared" ca="1" si="77"/>
        <v>#NUM!</v>
      </c>
      <c r="W190" s="444" t="e">
        <f t="shared" ca="1" si="78"/>
        <v>#NUM!</v>
      </c>
      <c r="X190" s="445">
        <f t="shared" si="79"/>
        <v>40.824140204792208</v>
      </c>
      <c r="Y190" s="446">
        <f t="shared" si="80"/>
        <v>1.2496819780804804E-2</v>
      </c>
      <c r="Z190" s="447" t="e">
        <f t="shared" ca="1" si="81"/>
        <v>#NUM!</v>
      </c>
      <c r="AA190" s="440">
        <f t="shared" si="65"/>
        <v>3.4022979064345078</v>
      </c>
      <c r="AB190" s="446" t="e">
        <f t="shared" ca="1" si="66"/>
        <v>#NUM!</v>
      </c>
      <c r="AC190" s="448" t="e">
        <f t="shared" ca="1" si="82"/>
        <v>#NUM!</v>
      </c>
      <c r="AD190" s="449" t="e">
        <f t="shared" ca="1" si="83"/>
        <v>#NUM!</v>
      </c>
      <c r="AE190" s="449" t="e">
        <f t="shared" ca="1" si="84"/>
        <v>#NUM!</v>
      </c>
      <c r="AG190" s="484"/>
      <c r="AI190" s="21">
        <v>9</v>
      </c>
      <c r="AJ190" s="324">
        <f t="shared" si="85"/>
        <v>95</v>
      </c>
      <c r="AK190" s="440">
        <f t="shared" si="86"/>
        <v>43.531199285614179</v>
      </c>
      <c r="AL190" s="488">
        <f t="shared" si="87"/>
        <v>99.9</v>
      </c>
      <c r="AM190" s="440">
        <f t="shared" si="88"/>
        <v>44.971337781523943</v>
      </c>
      <c r="AN190" s="441">
        <f t="shared" si="89"/>
        <v>44.260085511593182</v>
      </c>
      <c r="AO190" s="442" t="e">
        <f t="shared" ca="1" si="90"/>
        <v>#NUM!</v>
      </c>
      <c r="AP190" s="440" t="e">
        <f t="shared" ca="1" si="91"/>
        <v>#NUM!</v>
      </c>
      <c r="AQ190" s="440" t="e">
        <f t="shared" ca="1" si="92"/>
        <v>#NUM!</v>
      </c>
      <c r="AR190" s="452" t="e">
        <f t="shared" ca="1" si="93"/>
        <v>#NUM!</v>
      </c>
      <c r="AS190" s="443" t="e">
        <f t="shared" ca="1" si="94"/>
        <v>#NUM!</v>
      </c>
      <c r="AT190" s="383" t="e">
        <f t="shared" ca="1" si="95"/>
        <v>#NUM!</v>
      </c>
      <c r="AU190" s="444" t="e">
        <f t="shared" ca="1" si="96"/>
        <v>#NUM!</v>
      </c>
      <c r="AV190" s="445">
        <f t="shared" si="97"/>
        <v>40.824140204792208</v>
      </c>
      <c r="AW190" s="446">
        <f t="shared" si="98"/>
        <v>1.2496819780804804E-2</v>
      </c>
      <c r="AX190" s="447" t="e">
        <f t="shared" ca="1" si="99"/>
        <v>#NUM!</v>
      </c>
      <c r="AY190" s="440">
        <f t="shared" si="100"/>
        <v>3.4022979064345078</v>
      </c>
      <c r="AZ190" s="446" t="e">
        <f t="shared" ca="1" si="101"/>
        <v>#NUM!</v>
      </c>
      <c r="BA190" s="448" t="e">
        <f t="shared" ca="1" si="102"/>
        <v>#NUM!</v>
      </c>
      <c r="BB190" s="449" t="e">
        <f t="shared" ca="1" si="103"/>
        <v>#NUM!</v>
      </c>
      <c r="BC190" s="449" t="e">
        <f t="shared" ca="1" si="104"/>
        <v>#NUM!</v>
      </c>
      <c r="BD190" s="455"/>
      <c r="BE190" s="195"/>
      <c r="BF190" s="454"/>
      <c r="BG190" s="260"/>
      <c r="BK190" s="19"/>
      <c r="BL190" s="19"/>
      <c r="BP190" s="195"/>
      <c r="BQ190" s="195"/>
      <c r="BR190" s="195"/>
      <c r="BS190" s="195"/>
      <c r="BT190" s="195"/>
      <c r="BU190" s="454"/>
      <c r="BV190" s="454"/>
      <c r="BW190" s="195"/>
      <c r="BX190" s="454"/>
      <c r="BY190" s="260"/>
      <c r="BZ190" s="195"/>
      <c r="CA190" s="19"/>
    </row>
    <row r="191" spans="1:79" x14ac:dyDescent="0.2">
      <c r="A191" s="427"/>
      <c r="B191" s="50" t="s">
        <v>241</v>
      </c>
      <c r="C191" s="23">
        <v>-100</v>
      </c>
      <c r="D191" s="48" t="s">
        <v>1623</v>
      </c>
      <c r="E191" s="18" t="s">
        <v>15</v>
      </c>
      <c r="G191" s="48"/>
      <c r="H191" s="48"/>
      <c r="I191" s="48"/>
      <c r="J191" s="48"/>
      <c r="K191" s="21">
        <v>10</v>
      </c>
      <c r="L191" s="324">
        <f t="shared" si="67"/>
        <v>100</v>
      </c>
      <c r="M191" s="440">
        <f t="shared" si="68"/>
        <v>135</v>
      </c>
      <c r="N191" s="488">
        <f t="shared" si="69"/>
        <v>104.9</v>
      </c>
      <c r="O191" s="440">
        <f t="shared" si="70"/>
        <v>133.63008384942603</v>
      </c>
      <c r="P191" s="441">
        <f t="shared" si="71"/>
        <v>134.3066544446921</v>
      </c>
      <c r="Q191" s="442" t="e">
        <f t="shared" ca="1" si="72"/>
        <v>#NUM!</v>
      </c>
      <c r="R191" s="440" t="e">
        <f t="shared" ca="1" si="73"/>
        <v>#NUM!</v>
      </c>
      <c r="S191" s="440" t="e">
        <f t="shared" ca="1" si="74"/>
        <v>#NUM!</v>
      </c>
      <c r="T191" s="452" t="e">
        <f t="shared" ca="1" si="75"/>
        <v>#NUM!</v>
      </c>
      <c r="U191" s="443" t="e">
        <f t="shared" ca="1" si="76"/>
        <v>#NUM!</v>
      </c>
      <c r="V191" s="383" t="e">
        <f t="shared" ca="1" si="77"/>
        <v>#NUM!</v>
      </c>
      <c r="W191" s="444" t="e">
        <f t="shared" ca="1" si="78"/>
        <v>#NUM!</v>
      </c>
      <c r="X191" s="445">
        <f t="shared" si="79"/>
        <v>40.881523474656774</v>
      </c>
      <c r="Y191" s="446">
        <f t="shared" si="80"/>
        <v>1.2206207915795219E-2</v>
      </c>
      <c r="Z191" s="447" t="e">
        <f t="shared" ca="1" si="81"/>
        <v>#NUM!</v>
      </c>
      <c r="AA191" s="440">
        <f t="shared" si="65"/>
        <v>3.5818919589372453</v>
      </c>
      <c r="AB191" s="446" t="e">
        <f t="shared" ca="1" si="66"/>
        <v>#NUM!</v>
      </c>
      <c r="AC191" s="448" t="e">
        <f t="shared" ca="1" si="82"/>
        <v>#NUM!</v>
      </c>
      <c r="AD191" s="449" t="e">
        <f t="shared" ca="1" si="83"/>
        <v>#NUM!</v>
      </c>
      <c r="AE191" s="449" t="e">
        <f t="shared" ca="1" si="84"/>
        <v>#NUM!</v>
      </c>
      <c r="AG191" s="484"/>
      <c r="AI191" s="21">
        <v>10</v>
      </c>
      <c r="AJ191" s="324">
        <f t="shared" si="85"/>
        <v>100</v>
      </c>
      <c r="AK191" s="440">
        <f t="shared" si="86"/>
        <v>45</v>
      </c>
      <c r="AL191" s="488">
        <f t="shared" si="87"/>
        <v>104.9</v>
      </c>
      <c r="AM191" s="440">
        <f t="shared" si="88"/>
        <v>46.369916150573971</v>
      </c>
      <c r="AN191" s="441">
        <f t="shared" si="89"/>
        <v>45.6933455553079</v>
      </c>
      <c r="AO191" s="442" t="e">
        <f t="shared" ca="1" si="90"/>
        <v>#NUM!</v>
      </c>
      <c r="AP191" s="440" t="e">
        <f t="shared" ca="1" si="91"/>
        <v>#NUM!</v>
      </c>
      <c r="AQ191" s="440" t="e">
        <f t="shared" ca="1" si="92"/>
        <v>#NUM!</v>
      </c>
      <c r="AR191" s="452" t="e">
        <f t="shared" ca="1" si="93"/>
        <v>#NUM!</v>
      </c>
      <c r="AS191" s="443" t="e">
        <f t="shared" ca="1" si="94"/>
        <v>#NUM!</v>
      </c>
      <c r="AT191" s="383" t="e">
        <f t="shared" ca="1" si="95"/>
        <v>#NUM!</v>
      </c>
      <c r="AU191" s="444" t="e">
        <f t="shared" ca="1" si="96"/>
        <v>#NUM!</v>
      </c>
      <c r="AV191" s="445">
        <f t="shared" si="97"/>
        <v>40.881523474656774</v>
      </c>
      <c r="AW191" s="446">
        <f t="shared" si="98"/>
        <v>1.2206207915795297E-2</v>
      </c>
      <c r="AX191" s="447" t="e">
        <f t="shared" ca="1" si="99"/>
        <v>#NUM!</v>
      </c>
      <c r="AY191" s="440">
        <f t="shared" si="100"/>
        <v>3.5818919589372453</v>
      </c>
      <c r="AZ191" s="446" t="e">
        <f t="shared" ca="1" si="101"/>
        <v>#NUM!</v>
      </c>
      <c r="BA191" s="448" t="e">
        <f t="shared" ca="1" si="102"/>
        <v>#NUM!</v>
      </c>
      <c r="BB191" s="449" t="e">
        <f t="shared" ca="1" si="103"/>
        <v>#NUM!</v>
      </c>
      <c r="BC191" s="449" t="e">
        <f t="shared" ca="1" si="104"/>
        <v>#NUM!</v>
      </c>
      <c r="BD191" s="455"/>
      <c r="BE191" s="195"/>
      <c r="BF191" s="454"/>
      <c r="BG191" s="260"/>
      <c r="BK191" s="19"/>
      <c r="BL191" s="19"/>
      <c r="BP191" s="195"/>
      <c r="BQ191" s="195"/>
      <c r="BR191" s="195"/>
      <c r="BS191" s="195"/>
      <c r="BT191" s="195"/>
      <c r="BU191" s="454"/>
      <c r="BV191" s="454"/>
      <c r="BW191" s="195"/>
      <c r="BX191" s="454"/>
      <c r="BY191" s="260"/>
      <c r="BZ191" s="195"/>
      <c r="CA191" s="19"/>
    </row>
    <row r="192" spans="1:79" x14ac:dyDescent="0.2">
      <c r="A192" s="427"/>
      <c r="B192" s="50" t="s">
        <v>521</v>
      </c>
      <c r="C192" s="23">
        <v>100</v>
      </c>
      <c r="D192" s="48" t="s">
        <v>1623</v>
      </c>
      <c r="E192" s="19"/>
      <c r="G192" s="48"/>
      <c r="H192" s="48"/>
      <c r="I192" s="48"/>
      <c r="J192" s="48"/>
      <c r="K192" s="21">
        <v>11</v>
      </c>
      <c r="L192" s="324">
        <f t="shared" si="67"/>
        <v>105</v>
      </c>
      <c r="M192" s="440">
        <f t="shared" si="68"/>
        <v>133.60281897270363</v>
      </c>
      <c r="N192" s="488">
        <f t="shared" si="69"/>
        <v>109.9</v>
      </c>
      <c r="O192" s="440">
        <f t="shared" si="70"/>
        <v>132.2996276070258</v>
      </c>
      <c r="P192" s="441">
        <f t="shared" si="71"/>
        <v>132.94326249131731</v>
      </c>
      <c r="Q192" s="442" t="e">
        <f t="shared" ca="1" si="72"/>
        <v>#NUM!</v>
      </c>
      <c r="R192" s="440" t="e">
        <f t="shared" ca="1" si="73"/>
        <v>#NUM!</v>
      </c>
      <c r="S192" s="440" t="e">
        <f t="shared" ca="1" si="74"/>
        <v>#NUM!</v>
      </c>
      <c r="T192" s="452" t="e">
        <f t="shared" ca="1" si="75"/>
        <v>#NUM!</v>
      </c>
      <c r="U192" s="443" t="e">
        <f t="shared" ca="1" si="76"/>
        <v>#NUM!</v>
      </c>
      <c r="V192" s="383" t="e">
        <f t="shared" ca="1" si="77"/>
        <v>#NUM!</v>
      </c>
      <c r="W192" s="444" t="e">
        <f t="shared" ca="1" si="78"/>
        <v>#NUM!</v>
      </c>
      <c r="X192" s="445">
        <f t="shared" si="79"/>
        <v>40.933566767853769</v>
      </c>
      <c r="Y192" s="446">
        <f t="shared" si="80"/>
        <v>1.1893374564068429E-2</v>
      </c>
      <c r="Z192" s="447" t="e">
        <f t="shared" ca="1" si="81"/>
        <v>#NUM!</v>
      </c>
      <c r="AA192" s="440">
        <f t="shared" si="65"/>
        <v>3.7614860560869015</v>
      </c>
      <c r="AB192" s="446" t="e">
        <f t="shared" ca="1" si="66"/>
        <v>#NUM!</v>
      </c>
      <c r="AC192" s="448" t="e">
        <f t="shared" ca="1" si="82"/>
        <v>#NUM!</v>
      </c>
      <c r="AD192" s="449" t="e">
        <f t="shared" ca="1" si="83"/>
        <v>#NUM!</v>
      </c>
      <c r="AE192" s="449" t="e">
        <f t="shared" ca="1" si="84"/>
        <v>#NUM!</v>
      </c>
      <c r="AG192" s="484"/>
      <c r="AI192" s="21">
        <v>11</v>
      </c>
      <c r="AJ192" s="324">
        <f t="shared" si="85"/>
        <v>105</v>
      </c>
      <c r="AK192" s="440">
        <f t="shared" si="86"/>
        <v>46.397181027296376</v>
      </c>
      <c r="AL192" s="488">
        <f t="shared" si="87"/>
        <v>109.9</v>
      </c>
      <c r="AM192" s="440">
        <f t="shared" si="88"/>
        <v>47.700372392974209</v>
      </c>
      <c r="AN192" s="441">
        <f t="shared" si="89"/>
        <v>47.056737508682687</v>
      </c>
      <c r="AO192" s="442" t="e">
        <f t="shared" ca="1" si="90"/>
        <v>#NUM!</v>
      </c>
      <c r="AP192" s="440" t="e">
        <f t="shared" ca="1" si="91"/>
        <v>#NUM!</v>
      </c>
      <c r="AQ192" s="440" t="e">
        <f t="shared" ca="1" si="92"/>
        <v>#NUM!</v>
      </c>
      <c r="AR192" s="452" t="e">
        <f t="shared" ca="1" si="93"/>
        <v>#NUM!</v>
      </c>
      <c r="AS192" s="443" t="e">
        <f t="shared" ca="1" si="94"/>
        <v>#NUM!</v>
      </c>
      <c r="AT192" s="383" t="e">
        <f t="shared" ca="1" si="95"/>
        <v>#NUM!</v>
      </c>
      <c r="AU192" s="444" t="e">
        <f t="shared" ca="1" si="96"/>
        <v>#NUM!</v>
      </c>
      <c r="AV192" s="445">
        <f t="shared" si="97"/>
        <v>40.933566767853769</v>
      </c>
      <c r="AW192" s="446">
        <f t="shared" si="98"/>
        <v>1.1893374564068429E-2</v>
      </c>
      <c r="AX192" s="447" t="e">
        <f t="shared" ca="1" si="99"/>
        <v>#NUM!</v>
      </c>
      <c r="AY192" s="440">
        <f t="shared" si="100"/>
        <v>3.7614860560869015</v>
      </c>
      <c r="AZ192" s="446" t="e">
        <f t="shared" ca="1" si="101"/>
        <v>#NUM!</v>
      </c>
      <c r="BA192" s="448" t="e">
        <f t="shared" ca="1" si="102"/>
        <v>#NUM!</v>
      </c>
      <c r="BB192" s="449" t="e">
        <f t="shared" ca="1" si="103"/>
        <v>#NUM!</v>
      </c>
      <c r="BC192" s="449" t="e">
        <f t="shared" ca="1" si="104"/>
        <v>#NUM!</v>
      </c>
      <c r="BD192" s="455"/>
      <c r="BE192" s="195"/>
      <c r="BF192" s="454"/>
      <c r="BG192" s="260"/>
      <c r="BK192" s="19"/>
      <c r="BL192" s="19"/>
      <c r="BP192" s="195"/>
      <c r="BQ192" s="195"/>
      <c r="BR192" s="195"/>
      <c r="BS192" s="195"/>
      <c r="BT192" s="195"/>
      <c r="BU192" s="454"/>
      <c r="BV192" s="454"/>
      <c r="BW192" s="195"/>
      <c r="BX192" s="454"/>
      <c r="BY192" s="260"/>
      <c r="BZ192" s="195"/>
      <c r="CA192" s="19"/>
    </row>
    <row r="193" spans="1:79" x14ac:dyDescent="0.2">
      <c r="A193" s="427"/>
      <c r="B193" s="48"/>
      <c r="C193" s="48"/>
      <c r="D193" s="48"/>
      <c r="E193" s="48"/>
      <c r="F193" s="48"/>
      <c r="G193" s="48"/>
      <c r="H193" s="48"/>
      <c r="I193" s="48"/>
      <c r="J193" s="48"/>
      <c r="K193" s="21">
        <v>12</v>
      </c>
      <c r="L193" s="324">
        <f t="shared" si="67"/>
        <v>110</v>
      </c>
      <c r="M193" s="440">
        <f t="shared" si="68"/>
        <v>132.27368900609372</v>
      </c>
      <c r="N193" s="488">
        <f t="shared" si="69"/>
        <v>114.9</v>
      </c>
      <c r="O193" s="440">
        <f t="shared" si="70"/>
        <v>131.03376899430455</v>
      </c>
      <c r="P193" s="441">
        <f t="shared" si="71"/>
        <v>131.6461870623134</v>
      </c>
      <c r="Q193" s="442" t="e">
        <f t="shared" ca="1" si="72"/>
        <v>#NUM!</v>
      </c>
      <c r="R193" s="440" t="e">
        <f t="shared" ca="1" si="73"/>
        <v>#NUM!</v>
      </c>
      <c r="S193" s="440" t="e">
        <f t="shared" ca="1" si="74"/>
        <v>#NUM!</v>
      </c>
      <c r="T193" s="452" t="e">
        <f t="shared" ca="1" si="75"/>
        <v>#NUM!</v>
      </c>
      <c r="U193" s="443" t="e">
        <f t="shared" ca="1" si="76"/>
        <v>#NUM!</v>
      </c>
      <c r="V193" s="383" t="e">
        <f t="shared" ca="1" si="77"/>
        <v>#NUM!</v>
      </c>
      <c r="W193" s="444" t="e">
        <f t="shared" ca="1" si="78"/>
        <v>#NUM!</v>
      </c>
      <c r="X193" s="445">
        <f>DEGREES((42*PI()/180)-(2*ATAN(1/(($C$199+($C$202/2))+(K193*$C$200)))))</f>
        <v>40.980982317156979</v>
      </c>
      <c r="Y193" s="446">
        <f t="shared" si="80"/>
        <v>1.1564975663581037E-2</v>
      </c>
      <c r="Z193" s="447" t="e">
        <f t="shared" ca="1" si="81"/>
        <v>#NUM!</v>
      </c>
      <c r="AA193" s="440">
        <f t="shared" si="65"/>
        <v>3.9410801901227752</v>
      </c>
      <c r="AB193" s="446" t="e">
        <f t="shared" ca="1" si="66"/>
        <v>#NUM!</v>
      </c>
      <c r="AC193" s="448" t="e">
        <f t="shared" ca="1" si="82"/>
        <v>#NUM!</v>
      </c>
      <c r="AD193" s="449" t="e">
        <f t="shared" ca="1" si="83"/>
        <v>#NUM!</v>
      </c>
      <c r="AE193" s="449" t="e">
        <f t="shared" ca="1" si="84"/>
        <v>#NUM!</v>
      </c>
      <c r="AG193" s="484"/>
      <c r="AI193" s="21">
        <v>12</v>
      </c>
      <c r="AJ193" s="324">
        <f t="shared" si="85"/>
        <v>110</v>
      </c>
      <c r="AK193" s="440">
        <f t="shared" si="86"/>
        <v>47.726310993906267</v>
      </c>
      <c r="AL193" s="488">
        <f t="shared" si="87"/>
        <v>114.9</v>
      </c>
      <c r="AM193" s="440">
        <f t="shared" si="88"/>
        <v>48.966231005695441</v>
      </c>
      <c r="AN193" s="441">
        <f t="shared" si="89"/>
        <v>48.353812937686598</v>
      </c>
      <c r="AO193" s="442" t="e">
        <f t="shared" ca="1" si="90"/>
        <v>#NUM!</v>
      </c>
      <c r="AP193" s="440" t="e">
        <f t="shared" ca="1" si="91"/>
        <v>#NUM!</v>
      </c>
      <c r="AQ193" s="440" t="e">
        <f t="shared" ca="1" si="92"/>
        <v>#NUM!</v>
      </c>
      <c r="AR193" s="452" t="e">
        <f t="shared" ca="1" si="93"/>
        <v>#NUM!</v>
      </c>
      <c r="AS193" s="443" t="e">
        <f t="shared" ca="1" si="94"/>
        <v>#NUM!</v>
      </c>
      <c r="AT193" s="383" t="e">
        <f t="shared" ca="1" si="95"/>
        <v>#NUM!</v>
      </c>
      <c r="AU193" s="444" t="e">
        <f t="shared" ca="1" si="96"/>
        <v>#NUM!</v>
      </c>
      <c r="AV193" s="445">
        <f t="shared" si="97"/>
        <v>40.980982317156979</v>
      </c>
      <c r="AW193" s="446">
        <f t="shared" si="98"/>
        <v>1.1564975663581117E-2</v>
      </c>
      <c r="AX193" s="447" t="e">
        <f t="shared" ca="1" si="99"/>
        <v>#NUM!</v>
      </c>
      <c r="AY193" s="440">
        <f t="shared" si="100"/>
        <v>3.9410801901227752</v>
      </c>
      <c r="AZ193" s="446" t="e">
        <f t="shared" ca="1" si="101"/>
        <v>#NUM!</v>
      </c>
      <c r="BA193" s="448" t="e">
        <f t="shared" ca="1" si="102"/>
        <v>#NUM!</v>
      </c>
      <c r="BB193" s="449" t="e">
        <f t="shared" ca="1" si="103"/>
        <v>#NUM!</v>
      </c>
      <c r="BC193" s="449" t="e">
        <f t="shared" ca="1" si="104"/>
        <v>#NUM!</v>
      </c>
      <c r="BD193" s="455"/>
      <c r="BE193" s="195"/>
      <c r="BF193" s="454"/>
      <c r="BG193" s="260"/>
      <c r="BK193" s="19"/>
      <c r="BL193" s="19"/>
      <c r="BP193" s="195"/>
      <c r="BQ193" s="195"/>
      <c r="BR193" s="195"/>
      <c r="BS193" s="195"/>
      <c r="BT193" s="195"/>
      <c r="BU193" s="454"/>
      <c r="BV193" s="454"/>
      <c r="BW193" s="195"/>
      <c r="BX193" s="454"/>
      <c r="BY193" s="260"/>
      <c r="BZ193" s="195"/>
      <c r="CA193" s="19"/>
    </row>
    <row r="194" spans="1:79" x14ac:dyDescent="0.2">
      <c r="A194" s="456" t="s">
        <v>289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21">
        <v>13</v>
      </c>
      <c r="L194" s="324">
        <f t="shared" si="67"/>
        <v>115</v>
      </c>
      <c r="M194" s="440">
        <f t="shared" si="68"/>
        <v>131.00908690157021</v>
      </c>
      <c r="N194" s="488">
        <f t="shared" si="69"/>
        <v>119.9</v>
      </c>
      <c r="O194" s="440">
        <f t="shared" si="70"/>
        <v>129.82906452194456</v>
      </c>
      <c r="P194" s="441">
        <f t="shared" si="71"/>
        <v>130.41194107237428</v>
      </c>
      <c r="Q194" s="442" t="e">
        <f t="shared" ca="1" si="72"/>
        <v>#NUM!</v>
      </c>
      <c r="R194" s="440" t="e">
        <f t="shared" ca="1" si="73"/>
        <v>#NUM!</v>
      </c>
      <c r="S194" s="440" t="e">
        <f t="shared" ca="1" si="74"/>
        <v>#NUM!</v>
      </c>
      <c r="T194" s="452" t="e">
        <f t="shared" ca="1" si="75"/>
        <v>#NUM!</v>
      </c>
      <c r="U194" s="443" t="e">
        <f t="shared" ca="1" si="76"/>
        <v>#NUM!</v>
      </c>
      <c r="V194" s="383" t="e">
        <f t="shared" ca="1" si="77"/>
        <v>#NUM!</v>
      </c>
      <c r="W194" s="444" t="e">
        <f t="shared" ca="1" si="78"/>
        <v>#NUM!</v>
      </c>
      <c r="X194" s="445">
        <f>DEGREES((42*PI()/180)-(2*ATAN(6.266/(($C$199+($C$202/2))+(K194*$C$200)))))</f>
        <v>35.892289181897041</v>
      </c>
      <c r="Y194" s="446">
        <f t="shared" si="80"/>
        <v>9.8221625652335914E-3</v>
      </c>
      <c r="Z194" s="447" t="e">
        <f t="shared" ca="1" si="81"/>
        <v>#NUM!</v>
      </c>
      <c r="AA194" s="440">
        <f t="shared" si="65"/>
        <v>3.6051855932793848</v>
      </c>
      <c r="AB194" s="446" t="e">
        <f t="shared" ca="1" si="66"/>
        <v>#NUM!</v>
      </c>
      <c r="AC194" s="448" t="e">
        <f t="shared" ca="1" si="82"/>
        <v>#NUM!</v>
      </c>
      <c r="AD194" s="449" t="e">
        <f t="shared" ca="1" si="83"/>
        <v>#NUM!</v>
      </c>
      <c r="AE194" s="449" t="e">
        <f t="shared" ca="1" si="84"/>
        <v>#NUM!</v>
      </c>
      <c r="AG194" s="484"/>
      <c r="AI194" s="21">
        <v>13</v>
      </c>
      <c r="AJ194" s="324">
        <f t="shared" si="85"/>
        <v>115</v>
      </c>
      <c r="AK194" s="440">
        <f t="shared" si="86"/>
        <v>48.990913098429779</v>
      </c>
      <c r="AL194" s="488">
        <f t="shared" si="87"/>
        <v>119.9</v>
      </c>
      <c r="AM194" s="440">
        <f t="shared" si="88"/>
        <v>50.170935478055448</v>
      </c>
      <c r="AN194" s="441">
        <f t="shared" si="89"/>
        <v>49.588058927625724</v>
      </c>
      <c r="AO194" s="442" t="e">
        <f t="shared" ca="1" si="90"/>
        <v>#NUM!</v>
      </c>
      <c r="AP194" s="440" t="e">
        <f t="shared" ca="1" si="91"/>
        <v>#NUM!</v>
      </c>
      <c r="AQ194" s="440" t="e">
        <f t="shared" ca="1" si="92"/>
        <v>#NUM!</v>
      </c>
      <c r="AR194" s="452" t="e">
        <f t="shared" ca="1" si="93"/>
        <v>#NUM!</v>
      </c>
      <c r="AS194" s="443" t="e">
        <f t="shared" ca="1" si="94"/>
        <v>#NUM!</v>
      </c>
      <c r="AT194" s="383" t="e">
        <f t="shared" ca="1" si="95"/>
        <v>#NUM!</v>
      </c>
      <c r="AU194" s="444" t="e">
        <f t="shared" ca="1" si="96"/>
        <v>#NUM!</v>
      </c>
      <c r="AV194" s="445">
        <f>DEGREES((42*PI()/180)-(2*ATAN(6.266/(($G$199+($G$202/2))+(AI194*$G$200)))))</f>
        <v>35.892289181897041</v>
      </c>
      <c r="AW194" s="446">
        <f t="shared" si="98"/>
        <v>9.8221625652337996E-3</v>
      </c>
      <c r="AX194" s="447" t="e">
        <f t="shared" ca="1" si="99"/>
        <v>#NUM!</v>
      </c>
      <c r="AY194" s="440">
        <f t="shared" si="100"/>
        <v>3.6051855932793848</v>
      </c>
      <c r="AZ194" s="446" t="e">
        <f t="shared" ca="1" si="101"/>
        <v>#NUM!</v>
      </c>
      <c r="BA194" s="448" t="e">
        <f t="shared" ca="1" si="102"/>
        <v>#NUM!</v>
      </c>
      <c r="BB194" s="449" t="e">
        <f t="shared" ca="1" si="103"/>
        <v>#NUM!</v>
      </c>
      <c r="BC194" s="449" t="e">
        <f t="shared" ca="1" si="104"/>
        <v>#NUM!</v>
      </c>
      <c r="BD194" s="455"/>
      <c r="BE194" s="195"/>
      <c r="BF194" s="454"/>
      <c r="BG194" s="260"/>
      <c r="BK194" s="19"/>
      <c r="BL194" s="19"/>
      <c r="BP194" s="195"/>
      <c r="BQ194" s="195"/>
      <c r="BR194" s="195"/>
      <c r="BS194" s="195"/>
      <c r="BT194" s="195"/>
      <c r="BU194" s="454"/>
      <c r="BV194" s="454"/>
      <c r="BW194" s="195"/>
      <c r="BX194" s="454"/>
      <c r="BY194" s="260"/>
      <c r="BZ194" s="195"/>
      <c r="CA194" s="19"/>
    </row>
    <row r="195" spans="1:79" x14ac:dyDescent="0.2">
      <c r="A195" s="427"/>
      <c r="B195" s="48"/>
      <c r="C195" s="48"/>
      <c r="D195" s="48"/>
      <c r="E195" s="48"/>
      <c r="F195" s="48"/>
      <c r="G195" s="48"/>
      <c r="H195" s="48"/>
      <c r="I195" s="48"/>
      <c r="J195" s="48"/>
      <c r="K195" s="21">
        <v>14</v>
      </c>
      <c r="L195" s="324">
        <f t="shared" si="67"/>
        <v>120</v>
      </c>
      <c r="M195" s="440">
        <f t="shared" si="68"/>
        <v>129.80557109226518</v>
      </c>
      <c r="N195" s="488">
        <f t="shared" si="69"/>
        <v>124.9</v>
      </c>
      <c r="O195" s="440">
        <f t="shared" si="70"/>
        <v>128.6821784938565</v>
      </c>
      <c r="P195" s="441">
        <f t="shared" si="71"/>
        <v>129.23713319579105</v>
      </c>
      <c r="Q195" s="442" t="e">
        <f t="shared" ca="1" si="72"/>
        <v>#NUM!</v>
      </c>
      <c r="R195" s="440" t="e">
        <f t="shared" ca="1" si="73"/>
        <v>#NUM!</v>
      </c>
      <c r="S195" s="440" t="e">
        <f t="shared" ca="1" si="74"/>
        <v>#NUM!</v>
      </c>
      <c r="T195" s="452" t="e">
        <f t="shared" ca="1" si="75"/>
        <v>#NUM!</v>
      </c>
      <c r="U195" s="443" t="e">
        <f t="shared" ca="1" si="76"/>
        <v>#NUM!</v>
      </c>
      <c r="V195" s="383" t="e">
        <f t="shared" ca="1" si="77"/>
        <v>#NUM!</v>
      </c>
      <c r="W195" s="444" t="e">
        <f t="shared" ca="1" si="78"/>
        <v>#NUM!</v>
      </c>
      <c r="X195" s="445">
        <f>DEGREES((42*PI()/180)-(2*ATAN(14.227/(($C$199+($C$202/2))+(K195*$C$200)))))</f>
        <v>28.745471178176757</v>
      </c>
      <c r="Y195" s="446">
        <f t="shared" si="80"/>
        <v>7.6181218859440623E-3</v>
      </c>
      <c r="Z195" s="447" t="e">
        <f t="shared" ca="1" si="81"/>
        <v>#NUM!</v>
      </c>
      <c r="AA195" s="440">
        <f t="shared" si="65"/>
        <v>3.0102437877337622</v>
      </c>
      <c r="AB195" s="446" t="e">
        <f t="shared" ca="1" si="66"/>
        <v>#NUM!</v>
      </c>
      <c r="AC195" s="448" t="e">
        <f t="shared" ca="1" si="82"/>
        <v>#NUM!</v>
      </c>
      <c r="AD195" s="449" t="e">
        <f t="shared" ca="1" si="83"/>
        <v>#NUM!</v>
      </c>
      <c r="AE195" s="449" t="e">
        <f t="shared" ca="1" si="84"/>
        <v>#NUM!</v>
      </c>
      <c r="AG195" s="484"/>
      <c r="AI195" s="21">
        <v>14</v>
      </c>
      <c r="AJ195" s="324">
        <f t="shared" si="85"/>
        <v>120</v>
      </c>
      <c r="AK195" s="440">
        <f t="shared" si="86"/>
        <v>50.19442890773481</v>
      </c>
      <c r="AL195" s="488">
        <f t="shared" si="87"/>
        <v>124.9</v>
      </c>
      <c r="AM195" s="440">
        <f t="shared" si="88"/>
        <v>51.31782150614351</v>
      </c>
      <c r="AN195" s="441">
        <f t="shared" si="89"/>
        <v>50.76286680420894</v>
      </c>
      <c r="AO195" s="442" t="e">
        <f t="shared" ca="1" si="90"/>
        <v>#NUM!</v>
      </c>
      <c r="AP195" s="440" t="e">
        <f t="shared" ca="1" si="91"/>
        <v>#NUM!</v>
      </c>
      <c r="AQ195" s="440" t="e">
        <f t="shared" ca="1" si="92"/>
        <v>#NUM!</v>
      </c>
      <c r="AR195" s="452" t="e">
        <f t="shared" ca="1" si="93"/>
        <v>#NUM!</v>
      </c>
      <c r="AS195" s="443" t="e">
        <f t="shared" ca="1" si="94"/>
        <v>#NUM!</v>
      </c>
      <c r="AT195" s="383" t="e">
        <f t="shared" ca="1" si="95"/>
        <v>#NUM!</v>
      </c>
      <c r="AU195" s="444" t="e">
        <f t="shared" ca="1" si="96"/>
        <v>#NUM!</v>
      </c>
      <c r="AV195" s="445">
        <f>DEGREES((42*PI()/180)-(2*ATAN(14.227/(($G$199+($G$202/2))+(AI195*$G$200)))))</f>
        <v>28.745471178176757</v>
      </c>
      <c r="AW195" s="446">
        <f t="shared" si="98"/>
        <v>7.6181218859441733E-3</v>
      </c>
      <c r="AX195" s="447" t="e">
        <f t="shared" ca="1" si="99"/>
        <v>#NUM!</v>
      </c>
      <c r="AY195" s="440">
        <f t="shared" si="100"/>
        <v>3.0102437877337622</v>
      </c>
      <c r="AZ195" s="446" t="e">
        <f t="shared" ca="1" si="101"/>
        <v>#NUM!</v>
      </c>
      <c r="BA195" s="448" t="e">
        <f t="shared" ca="1" si="102"/>
        <v>#NUM!</v>
      </c>
      <c r="BB195" s="449" t="e">
        <f t="shared" ca="1" si="103"/>
        <v>#NUM!</v>
      </c>
      <c r="BC195" s="449" t="e">
        <f t="shared" ca="1" si="104"/>
        <v>#NUM!</v>
      </c>
      <c r="BD195" s="455"/>
      <c r="BE195" s="195"/>
      <c r="BF195" s="454"/>
      <c r="BG195" s="260"/>
      <c r="BK195" s="19"/>
      <c r="BL195" s="19"/>
      <c r="BP195" s="195"/>
      <c r="BQ195" s="195"/>
      <c r="BR195" s="195"/>
      <c r="BS195" s="195"/>
      <c r="BT195" s="195"/>
      <c r="BU195" s="454"/>
      <c r="BV195" s="454"/>
      <c r="BW195" s="195"/>
      <c r="BX195" s="454"/>
      <c r="BY195" s="260"/>
      <c r="BZ195" s="195"/>
      <c r="CA195" s="19"/>
    </row>
    <row r="196" spans="1:79" ht="13.5" thickBot="1" x14ac:dyDescent="0.25">
      <c r="A196" s="427"/>
      <c r="B196" s="50" t="str">
        <f>IF(C191&lt;0,"LEDA-Upstream","LEDA-near")</f>
        <v>LEDA-Upstream</v>
      </c>
      <c r="C196" s="50"/>
      <c r="D196" s="48"/>
      <c r="E196" s="48"/>
      <c r="F196" s="50" t="str">
        <f>IF(C191&lt;0,"LEDA-Downstream","LEDA-far")</f>
        <v>LEDA-Downstream</v>
      </c>
      <c r="G196" s="50"/>
      <c r="H196" s="18"/>
      <c r="I196" s="50"/>
      <c r="J196" s="48" t="s">
        <v>292</v>
      </c>
      <c r="K196" s="21">
        <v>15</v>
      </c>
      <c r="L196" s="324">
        <f t="shared" si="67"/>
        <v>125</v>
      </c>
      <c r="M196" s="440">
        <f t="shared" si="68"/>
        <v>128.65980825409008</v>
      </c>
      <c r="N196" s="488">
        <f t="shared" si="69"/>
        <v>129.9</v>
      </c>
      <c r="O196" s="440">
        <f t="shared" si="70"/>
        <v>127.58990187257025</v>
      </c>
      <c r="P196" s="441">
        <f t="shared" si="71"/>
        <v>128.11849041116409</v>
      </c>
      <c r="Q196" s="442" t="e">
        <f t="shared" ca="1" si="72"/>
        <v>#NUM!</v>
      </c>
      <c r="R196" s="467" t="e">
        <f t="shared" ca="1" si="73"/>
        <v>#NUM!</v>
      </c>
      <c r="S196" s="467" t="e">
        <f t="shared" ca="1" si="74"/>
        <v>#NUM!</v>
      </c>
      <c r="T196" s="468" t="e">
        <f t="shared" ca="1" si="75"/>
        <v>#NUM!</v>
      </c>
      <c r="U196" s="465" t="e">
        <f t="shared" ca="1" si="76"/>
        <v>#NUM!</v>
      </c>
      <c r="V196" s="466" t="e">
        <f t="shared" ca="1" si="77"/>
        <v>#NUM!</v>
      </c>
      <c r="W196" s="470" t="e">
        <f t="shared" ca="1" si="78"/>
        <v>#NUM!</v>
      </c>
      <c r="X196" s="445">
        <f>DEGREES((42*PI()/180)-(2*ATAN(26.034/(($C$199+($C$202/2))+(K196*$C$200)))))</f>
        <v>18.91021976170202</v>
      </c>
      <c r="Y196" s="446">
        <f t="shared" si="80"/>
        <v>4.8482149213816689E-3</v>
      </c>
      <c r="Z196" s="447" t="e">
        <f t="shared" ca="1" si="81"/>
        <v>#NUM!</v>
      </c>
      <c r="AA196" s="440">
        <f t="shared" si="65"/>
        <v>2.0611512562780052</v>
      </c>
      <c r="AB196" s="446" t="e">
        <f t="shared" ca="1" si="66"/>
        <v>#NUM!</v>
      </c>
      <c r="AC196" s="448" t="e">
        <f t="shared" ca="1" si="82"/>
        <v>#NUM!</v>
      </c>
      <c r="AD196" s="449" t="e">
        <f t="shared" ca="1" si="83"/>
        <v>#NUM!</v>
      </c>
      <c r="AE196" s="449" t="e">
        <f t="shared" ca="1" si="84"/>
        <v>#NUM!</v>
      </c>
      <c r="AG196" s="484"/>
      <c r="AI196" s="21">
        <v>15</v>
      </c>
      <c r="AJ196" s="324">
        <f t="shared" si="85"/>
        <v>125</v>
      </c>
      <c r="AK196" s="440">
        <f t="shared" si="86"/>
        <v>51.340191745909912</v>
      </c>
      <c r="AL196" s="488">
        <f t="shared" si="87"/>
        <v>129.9</v>
      </c>
      <c r="AM196" s="440">
        <f t="shared" si="88"/>
        <v>52.410098127429748</v>
      </c>
      <c r="AN196" s="441">
        <f t="shared" si="89"/>
        <v>51.881509588835904</v>
      </c>
      <c r="AO196" s="442" t="e">
        <f t="shared" ca="1" si="90"/>
        <v>#NUM!</v>
      </c>
      <c r="AP196" s="440" t="e">
        <f t="shared" ca="1" si="91"/>
        <v>#NUM!</v>
      </c>
      <c r="AQ196" s="440" t="e">
        <f t="shared" ca="1" si="92"/>
        <v>#NUM!</v>
      </c>
      <c r="AR196" s="452" t="e">
        <f t="shared" ca="1" si="93"/>
        <v>#NUM!</v>
      </c>
      <c r="AS196" s="443" t="e">
        <f t="shared" ca="1" si="94"/>
        <v>#NUM!</v>
      </c>
      <c r="AT196" s="383" t="e">
        <f t="shared" ca="1" si="95"/>
        <v>#NUM!</v>
      </c>
      <c r="AU196" s="444" t="e">
        <f t="shared" ca="1" si="96"/>
        <v>#NUM!</v>
      </c>
      <c r="AV196" s="445">
        <f>DEGREES((42*PI()/180)-(2*ATAN(26.034/(($G$199+($G$202/2))+(AI196*$G$200)))))</f>
        <v>18.91021976170202</v>
      </c>
      <c r="AW196" s="446">
        <f t="shared" si="98"/>
        <v>4.8482149213817053E-3</v>
      </c>
      <c r="AX196" s="447" t="e">
        <f t="shared" ca="1" si="99"/>
        <v>#NUM!</v>
      </c>
      <c r="AY196" s="440">
        <f t="shared" si="100"/>
        <v>2.0611512562780052</v>
      </c>
      <c r="AZ196" s="446" t="e">
        <f t="shared" ca="1" si="101"/>
        <v>#NUM!</v>
      </c>
      <c r="BA196" s="448" t="e">
        <f t="shared" ca="1" si="102"/>
        <v>#NUM!</v>
      </c>
      <c r="BB196" s="449" t="e">
        <f t="shared" ca="1" si="103"/>
        <v>#NUM!</v>
      </c>
      <c r="BC196" s="449" t="e">
        <f t="shared" ca="1" si="104"/>
        <v>#NUM!</v>
      </c>
      <c r="BD196" s="455"/>
      <c r="BE196" s="195"/>
      <c r="BF196" s="454"/>
      <c r="BG196" s="260"/>
      <c r="BK196" s="19"/>
      <c r="BL196" s="19"/>
      <c r="BP196" s="195"/>
      <c r="BQ196" s="195"/>
      <c r="BR196" s="195"/>
      <c r="BS196" s="195"/>
      <c r="BT196" s="195"/>
      <c r="BU196" s="454"/>
      <c r="BV196" s="454"/>
      <c r="BW196" s="195"/>
      <c r="BX196" s="454"/>
      <c r="BY196" s="260"/>
      <c r="BZ196" s="195"/>
      <c r="CA196" s="19"/>
    </row>
    <row r="197" spans="1:79" ht="14.25" x14ac:dyDescent="0.2">
      <c r="A197" s="427"/>
      <c r="B197" s="48" t="s">
        <v>290</v>
      </c>
      <c r="C197" s="23">
        <v>16</v>
      </c>
      <c r="D197" s="48"/>
      <c r="E197" s="19"/>
      <c r="F197" s="48" t="s">
        <v>290</v>
      </c>
      <c r="G197" s="23">
        <v>16</v>
      </c>
      <c r="H197" s="19"/>
      <c r="I197" s="19"/>
      <c r="J197" s="48"/>
      <c r="K197" s="48"/>
      <c r="L197" s="48"/>
      <c r="M197" s="48"/>
      <c r="N197" s="48"/>
      <c r="O197" s="48"/>
      <c r="P197" s="48"/>
      <c r="Q197" s="48"/>
      <c r="Z197" s="50" t="s">
        <v>111</v>
      </c>
      <c r="AA197" s="471">
        <f>SUM(AA149:AA196)</f>
        <v>45.902301736074826</v>
      </c>
      <c r="AB197" s="50" t="s">
        <v>119</v>
      </c>
      <c r="AG197" s="484"/>
      <c r="AV197" s="19"/>
      <c r="AW197" s="218"/>
      <c r="AX197" s="50" t="s">
        <v>111</v>
      </c>
      <c r="AY197" s="471">
        <f>SUM(AY149:AY196)</f>
        <v>45.902301736074826</v>
      </c>
      <c r="AZ197" s="50" t="s">
        <v>119</v>
      </c>
      <c r="BA197" s="195"/>
      <c r="BB197" s="454"/>
      <c r="BC197" s="454"/>
      <c r="BD197" s="455"/>
      <c r="BE197" s="195"/>
      <c r="BF197" s="454"/>
      <c r="BG197" s="260"/>
      <c r="BK197" s="19"/>
      <c r="BL197" s="19"/>
      <c r="BP197" s="195"/>
      <c r="BQ197" s="195"/>
      <c r="BR197" s="195"/>
      <c r="BS197" s="195"/>
      <c r="BT197" s="195"/>
      <c r="BU197" s="454"/>
      <c r="BV197" s="454"/>
      <c r="BW197" s="195"/>
      <c r="BX197" s="454"/>
      <c r="BY197" s="260"/>
      <c r="BZ197" s="195"/>
      <c r="CA197" s="19"/>
    </row>
    <row r="198" spans="1:79" x14ac:dyDescent="0.2">
      <c r="A198" s="427"/>
      <c r="B198" s="48" t="s">
        <v>113</v>
      </c>
      <c r="C198" s="23">
        <v>129.9</v>
      </c>
      <c r="D198" s="48" t="s">
        <v>1623</v>
      </c>
      <c r="E198" s="19"/>
      <c r="F198" s="48" t="s">
        <v>113</v>
      </c>
      <c r="G198" s="23">
        <v>129.9</v>
      </c>
      <c r="H198" s="48" t="s">
        <v>1623</v>
      </c>
      <c r="I198" s="48"/>
      <c r="J198" s="48"/>
      <c r="K198" s="48"/>
      <c r="L198" s="48"/>
      <c r="M198" s="48"/>
      <c r="N198" s="48"/>
      <c r="O198" s="48"/>
      <c r="P198" s="48"/>
      <c r="Q198" s="48"/>
      <c r="AG198" s="484"/>
      <c r="AV198" s="19"/>
      <c r="AW198" s="218"/>
      <c r="AX198" s="195"/>
      <c r="AY198" s="195"/>
      <c r="AZ198" s="195"/>
      <c r="BA198" s="195"/>
      <c r="BB198" s="454"/>
      <c r="BC198" s="454"/>
      <c r="BD198" s="455"/>
      <c r="BE198" s="195"/>
      <c r="BF198" s="454"/>
      <c r="BG198" s="260"/>
      <c r="BK198" s="19"/>
      <c r="BL198" s="19"/>
      <c r="BP198" s="195"/>
      <c r="BQ198" s="195"/>
      <c r="BR198" s="195"/>
      <c r="BS198" s="195"/>
      <c r="BT198" s="195"/>
      <c r="BU198" s="454"/>
      <c r="BV198" s="454"/>
      <c r="BW198" s="195"/>
      <c r="BX198" s="454"/>
      <c r="BY198" s="260"/>
      <c r="BZ198" s="195"/>
      <c r="CA198" s="19"/>
    </row>
    <row r="199" spans="1:79" x14ac:dyDescent="0.2">
      <c r="A199" s="427"/>
      <c r="B199" s="48" t="s">
        <v>114</v>
      </c>
      <c r="C199" s="23">
        <v>50</v>
      </c>
      <c r="D199" s="48" t="s">
        <v>1623</v>
      </c>
      <c r="E199" s="19"/>
      <c r="F199" s="48" t="s">
        <v>114</v>
      </c>
      <c r="G199" s="23">
        <v>50</v>
      </c>
      <c r="H199" s="48" t="s">
        <v>1623</v>
      </c>
      <c r="I199" s="48"/>
      <c r="J199" s="48"/>
      <c r="K199" s="48"/>
      <c r="L199" s="48"/>
      <c r="M199" s="48"/>
      <c r="N199" s="48"/>
      <c r="O199" s="48"/>
      <c r="P199" s="48"/>
      <c r="Q199" s="48"/>
      <c r="AG199" s="484"/>
      <c r="AV199" s="19"/>
      <c r="AW199" s="218"/>
      <c r="AX199" s="195"/>
      <c r="AY199" s="195"/>
      <c r="AZ199" s="195"/>
      <c r="BA199" s="195"/>
      <c r="BB199" s="454"/>
      <c r="BC199" s="454"/>
      <c r="BD199" s="455"/>
      <c r="BE199" s="195"/>
      <c r="BF199" s="454"/>
      <c r="BG199" s="260"/>
      <c r="BK199" s="19"/>
      <c r="BL199" s="19"/>
      <c r="BP199" s="195"/>
      <c r="BQ199" s="195"/>
      <c r="BR199" s="195"/>
      <c r="BS199" s="195"/>
      <c r="BT199" s="195"/>
      <c r="BU199" s="454"/>
      <c r="BV199" s="454"/>
      <c r="BW199" s="195"/>
      <c r="BX199" s="454"/>
      <c r="BY199" s="260"/>
      <c r="BZ199" s="195"/>
      <c r="CA199" s="19"/>
    </row>
    <row r="200" spans="1:79" x14ac:dyDescent="0.2">
      <c r="A200" s="427"/>
      <c r="B200" s="19" t="s">
        <v>115</v>
      </c>
      <c r="C200" s="23">
        <v>5</v>
      </c>
      <c r="D200" s="19" t="s">
        <v>1623</v>
      </c>
      <c r="E200" s="19"/>
      <c r="F200" s="19" t="s">
        <v>115</v>
      </c>
      <c r="G200" s="23">
        <v>5</v>
      </c>
      <c r="H200" s="48" t="s">
        <v>1623</v>
      </c>
      <c r="I200" s="19"/>
      <c r="J200" s="48"/>
      <c r="K200" s="48"/>
      <c r="L200" s="48"/>
      <c r="M200" s="48"/>
      <c r="N200" s="48"/>
      <c r="O200" s="48"/>
      <c r="P200" s="48"/>
      <c r="Q200" s="48"/>
      <c r="AG200" s="484"/>
      <c r="AV200" s="19"/>
      <c r="AW200" s="218"/>
      <c r="AX200" s="195"/>
      <c r="AY200" s="195"/>
      <c r="AZ200" s="195"/>
      <c r="BA200" s="195"/>
      <c r="BB200" s="454"/>
      <c r="BC200" s="454"/>
      <c r="BD200" s="455"/>
      <c r="BE200" s="195"/>
      <c r="BF200" s="454"/>
      <c r="BG200" s="260"/>
      <c r="BK200" s="19"/>
      <c r="BL200" s="19"/>
      <c r="BP200" s="195"/>
      <c r="BQ200" s="195"/>
      <c r="BR200" s="195"/>
      <c r="BS200" s="195"/>
      <c r="BT200" s="195"/>
      <c r="BU200" s="454"/>
      <c r="BV200" s="454"/>
      <c r="BW200" s="195"/>
      <c r="BX200" s="454"/>
      <c r="BY200" s="260"/>
      <c r="BZ200" s="195"/>
      <c r="CA200" s="19"/>
    </row>
    <row r="201" spans="1:79" x14ac:dyDescent="0.2">
      <c r="A201" s="427"/>
      <c r="B201" s="19" t="s">
        <v>109</v>
      </c>
      <c r="C201" s="457">
        <v>0.1</v>
      </c>
      <c r="D201" s="48" t="s">
        <v>1623</v>
      </c>
      <c r="E201" s="260"/>
      <c r="F201" s="19" t="s">
        <v>109</v>
      </c>
      <c r="G201" s="457">
        <v>0.1</v>
      </c>
      <c r="H201" s="48" t="s">
        <v>1623</v>
      </c>
      <c r="I201" s="48"/>
      <c r="J201" s="48"/>
      <c r="K201" s="48"/>
      <c r="L201" s="48"/>
      <c r="M201" s="48"/>
      <c r="N201" s="48"/>
      <c r="O201" s="48"/>
      <c r="P201" s="48"/>
      <c r="Q201" s="48"/>
      <c r="AG201" s="484"/>
      <c r="AV201" s="19"/>
      <c r="AW201" s="218"/>
      <c r="AX201" s="195"/>
      <c r="AY201" s="195"/>
      <c r="AZ201" s="195"/>
      <c r="BA201" s="195"/>
      <c r="BB201" s="454"/>
      <c r="BC201" s="454"/>
      <c r="BD201" s="455"/>
      <c r="BE201" s="195"/>
      <c r="BF201" s="454"/>
      <c r="BG201" s="260"/>
      <c r="BK201" s="19"/>
      <c r="BL201" s="19"/>
      <c r="BP201" s="195"/>
      <c r="BQ201" s="195"/>
      <c r="BR201" s="195"/>
      <c r="BS201" s="195"/>
      <c r="BT201" s="195"/>
      <c r="BU201" s="454"/>
      <c r="BV201" s="454"/>
      <c r="BW201" s="195"/>
      <c r="BX201" s="454"/>
      <c r="BY201" s="260"/>
      <c r="BZ201" s="195"/>
      <c r="CA201" s="19"/>
    </row>
    <row r="202" spans="1:79" x14ac:dyDescent="0.2">
      <c r="A202" s="427"/>
      <c r="B202" s="19" t="s">
        <v>110</v>
      </c>
      <c r="C202" s="49">
        <f>C200-C201</f>
        <v>4.9000000000000004</v>
      </c>
      <c r="D202" s="19" t="s">
        <v>1623</v>
      </c>
      <c r="E202" s="260"/>
      <c r="F202" s="19" t="s">
        <v>110</v>
      </c>
      <c r="G202" s="49">
        <f>G200-G201</f>
        <v>4.9000000000000004</v>
      </c>
      <c r="H202" s="48"/>
      <c r="I202" s="19"/>
      <c r="J202" s="50"/>
      <c r="K202" s="48"/>
      <c r="L202" s="48"/>
      <c r="M202" s="48"/>
      <c r="N202" s="48"/>
      <c r="O202" s="48"/>
      <c r="P202" s="48"/>
      <c r="Q202" s="48"/>
      <c r="AG202" s="484"/>
      <c r="AV202" s="19"/>
      <c r="AW202" s="218"/>
      <c r="AX202" s="195"/>
      <c r="AY202" s="195"/>
      <c r="AZ202" s="195"/>
      <c r="BA202" s="195"/>
      <c r="BB202" s="454"/>
      <c r="BC202" s="454"/>
      <c r="BD202" s="455"/>
      <c r="BE202" s="195"/>
      <c r="BF202" s="454"/>
      <c r="BG202" s="260"/>
      <c r="BK202" s="19"/>
      <c r="BL202" s="19"/>
      <c r="BP202" s="195"/>
      <c r="BQ202" s="195"/>
      <c r="BR202" s="195"/>
      <c r="BS202" s="195"/>
      <c r="BT202" s="195"/>
      <c r="BU202" s="454"/>
      <c r="BV202" s="454"/>
      <c r="BW202" s="195"/>
      <c r="BX202" s="454"/>
      <c r="BY202" s="260"/>
      <c r="BZ202" s="195"/>
      <c r="CA202" s="19"/>
    </row>
    <row r="203" spans="1:79" ht="14.25" x14ac:dyDescent="0.2">
      <c r="A203" s="427"/>
      <c r="B203" s="19" t="s">
        <v>293</v>
      </c>
      <c r="C203" s="459">
        <v>300000000</v>
      </c>
      <c r="D203" s="48" t="s">
        <v>294</v>
      </c>
      <c r="E203" s="460"/>
      <c r="F203" s="19" t="s">
        <v>293</v>
      </c>
      <c r="G203" s="459">
        <v>300000000</v>
      </c>
      <c r="H203" s="48" t="s">
        <v>294</v>
      </c>
      <c r="I203" s="48"/>
      <c r="K203" s="48"/>
      <c r="L203" s="48"/>
      <c r="M203" s="48"/>
      <c r="N203" s="48"/>
      <c r="O203" s="48"/>
      <c r="P203" s="48"/>
      <c r="Q203" s="48"/>
      <c r="AG203" s="484"/>
      <c r="AV203" s="19"/>
      <c r="AW203" s="218"/>
      <c r="AX203" s="195"/>
      <c r="AY203" s="195"/>
      <c r="AZ203" s="195"/>
      <c r="BA203" s="195"/>
      <c r="BB203" s="454"/>
      <c r="BC203" s="454"/>
      <c r="BD203" s="455"/>
      <c r="BE203" s="195"/>
      <c r="BF203" s="454"/>
      <c r="BG203" s="260"/>
      <c r="BK203" s="19"/>
      <c r="BL203" s="19"/>
      <c r="BP203" s="195"/>
      <c r="BQ203" s="195"/>
      <c r="BR203" s="195"/>
      <c r="BS203" s="195"/>
      <c r="BT203" s="195"/>
      <c r="BU203" s="454"/>
      <c r="BV203" s="454"/>
      <c r="BW203" s="195"/>
      <c r="BX203" s="454"/>
      <c r="BY203" s="260"/>
      <c r="BZ203" s="195"/>
      <c r="CA203" s="19"/>
    </row>
    <row r="204" spans="1:79" ht="15.75" x14ac:dyDescent="0.3">
      <c r="A204" s="427"/>
      <c r="B204" s="48" t="s">
        <v>279</v>
      </c>
      <c r="C204" s="38">
        <f>IF(C191&lt;0,180-DEGREES(ATAN(($C$199)/ABS($C$191))),DEGREES(ATAN(($C$199)/$C$191)))</f>
        <v>153.43494882292202</v>
      </c>
      <c r="D204" s="48" t="s">
        <v>288</v>
      </c>
      <c r="E204" s="195"/>
      <c r="F204" s="48" t="s">
        <v>279</v>
      </c>
      <c r="G204" s="38">
        <f>IF(C192&lt;0,180-DEGREES(ATAN(($G$199)/ABS($C$192))),DEGREES(ATAN(($G$199)/$C$192)))</f>
        <v>26.56505117707799</v>
      </c>
      <c r="H204" s="48" t="s">
        <v>288</v>
      </c>
      <c r="I204" s="48"/>
      <c r="K204" s="48"/>
      <c r="L204" s="48"/>
      <c r="M204" s="48"/>
      <c r="N204" s="48"/>
      <c r="O204" s="48"/>
      <c r="P204" s="48"/>
      <c r="Q204" s="48"/>
      <c r="AG204" s="484"/>
      <c r="AV204" s="19"/>
      <c r="AW204" s="218"/>
      <c r="AX204" s="195"/>
      <c r="AY204" s="195"/>
      <c r="AZ204" s="195"/>
      <c r="BA204" s="195"/>
      <c r="BB204" s="454"/>
      <c r="BC204" s="454"/>
      <c r="BD204" s="455"/>
      <c r="BE204" s="195"/>
      <c r="BF204" s="454"/>
      <c r="BG204" s="260"/>
      <c r="BK204" s="19"/>
      <c r="BL204" s="19"/>
      <c r="BP204" s="195"/>
      <c r="BQ204" s="195"/>
      <c r="BR204" s="195"/>
      <c r="BS204" s="195"/>
      <c r="BT204" s="195"/>
      <c r="BU204" s="454"/>
      <c r="BV204" s="454"/>
      <c r="BW204" s="195"/>
      <c r="BX204" s="454"/>
      <c r="BY204" s="260"/>
      <c r="BZ204" s="195"/>
      <c r="CA204" s="19"/>
    </row>
    <row r="205" spans="1:79" ht="15.75" x14ac:dyDescent="0.3">
      <c r="A205" s="427"/>
      <c r="B205" s="48" t="s">
        <v>280</v>
      </c>
      <c r="C205" s="38">
        <f>IF(C191&lt;0,180-DEGREES(ATAN(($C$198)/ABS($C$191))),DEGREES(ATAN(($C$198)/$C$191)))</f>
        <v>127.58990187257025</v>
      </c>
      <c r="D205" s="48" t="s">
        <v>288</v>
      </c>
      <c r="E205" s="195"/>
      <c r="F205" s="48" t="s">
        <v>280</v>
      </c>
      <c r="G205" s="38">
        <f>IF(C192&lt;0,180-DEGREES(ATAN(($G$198)/ABS($C$192))),DEGREES(ATAN(($G$198)/$C$192)))</f>
        <v>52.410098127429748</v>
      </c>
      <c r="H205" s="48" t="s">
        <v>288</v>
      </c>
      <c r="I205" s="48"/>
      <c r="K205" s="48"/>
      <c r="L205" s="48"/>
      <c r="M205" s="48"/>
      <c r="N205" s="48"/>
      <c r="O205" s="48"/>
      <c r="P205" s="48"/>
      <c r="Q205" s="48"/>
      <c r="AG205" s="484"/>
      <c r="AV205" s="19"/>
      <c r="AW205" s="218"/>
      <c r="AX205" s="195"/>
      <c r="AY205" s="195"/>
      <c r="AZ205" s="195"/>
      <c r="BA205" s="195"/>
      <c r="BB205" s="454"/>
      <c r="BC205" s="454"/>
      <c r="BD205" s="455"/>
      <c r="BE205" s="195"/>
      <c r="BF205" s="454"/>
      <c r="BG205" s="260"/>
      <c r="BK205" s="19"/>
      <c r="BL205" s="19"/>
      <c r="BP205" s="195"/>
      <c r="BQ205" s="195"/>
      <c r="BR205" s="195"/>
      <c r="BS205" s="195"/>
      <c r="BT205" s="195"/>
      <c r="BU205" s="454"/>
      <c r="BV205" s="454"/>
      <c r="BW205" s="195"/>
      <c r="BX205" s="454"/>
      <c r="BY205" s="260"/>
      <c r="BZ205" s="195"/>
      <c r="CA205" s="19"/>
    </row>
    <row r="206" spans="1:79" x14ac:dyDescent="0.2">
      <c r="A206" s="427"/>
      <c r="B206" s="52" t="s">
        <v>28</v>
      </c>
      <c r="C206" s="294">
        <f>((SUM(Y181:Y196))/(4*PI()))*100</f>
        <v>1.491501752735986</v>
      </c>
      <c r="D206" s="19" t="s">
        <v>520</v>
      </c>
      <c r="E206" s="19"/>
      <c r="F206" s="52" t="s">
        <v>28</v>
      </c>
      <c r="G206" s="294">
        <f>((SUM(AW181:AW196))/(4*PI()))*100</f>
        <v>1.4915017527359897</v>
      </c>
      <c r="H206" s="19" t="s">
        <v>520</v>
      </c>
      <c r="I206" s="48"/>
      <c r="K206" s="48"/>
      <c r="L206" s="48"/>
      <c r="M206" s="48"/>
      <c r="N206" s="48"/>
      <c r="O206" s="48"/>
      <c r="P206" s="48"/>
      <c r="Q206" s="48"/>
      <c r="AG206" s="484"/>
      <c r="AV206" s="19"/>
      <c r="AW206" s="218"/>
      <c r="AX206" s="195"/>
      <c r="AY206" s="195"/>
      <c r="AZ206" s="195"/>
      <c r="BA206" s="195"/>
      <c r="BB206" s="454"/>
      <c r="BC206" s="454"/>
      <c r="BD206" s="455"/>
      <c r="BE206" s="195"/>
      <c r="BF206" s="454"/>
      <c r="BG206" s="260"/>
      <c r="BK206" s="19"/>
      <c r="BL206" s="19"/>
      <c r="BP206" s="195"/>
      <c r="BQ206" s="195"/>
      <c r="BR206" s="195"/>
      <c r="BS206" s="195"/>
      <c r="BT206" s="195"/>
      <c r="BU206" s="454"/>
      <c r="BV206" s="454"/>
      <c r="BW206" s="195"/>
      <c r="BX206" s="454"/>
      <c r="BY206" s="260"/>
      <c r="BZ206" s="195"/>
      <c r="CA206" s="19"/>
    </row>
    <row r="207" spans="1:79" x14ac:dyDescent="0.2">
      <c r="A207" s="427"/>
      <c r="B207" s="19"/>
      <c r="C207" s="19"/>
      <c r="D207" s="48"/>
      <c r="E207" s="48"/>
      <c r="F207" s="48"/>
      <c r="G207" s="19"/>
      <c r="H207" s="19"/>
      <c r="I207" s="19"/>
      <c r="K207" s="48"/>
      <c r="L207" s="48"/>
      <c r="M207" s="48"/>
      <c r="N207" s="48"/>
      <c r="O207" s="48"/>
      <c r="P207" s="48"/>
      <c r="Q207" s="48"/>
      <c r="AG207" s="484"/>
      <c r="AV207" s="19"/>
      <c r="AW207" s="218"/>
      <c r="AX207" s="195"/>
      <c r="AY207" s="195"/>
      <c r="AZ207" s="195"/>
      <c r="BA207" s="195"/>
      <c r="BB207" s="454"/>
      <c r="BC207" s="454"/>
      <c r="BD207" s="455"/>
      <c r="BE207" s="195"/>
      <c r="BF207" s="454"/>
      <c r="BG207" s="260"/>
      <c r="BK207" s="19"/>
      <c r="BL207" s="19"/>
      <c r="BP207" s="195"/>
      <c r="BQ207" s="195"/>
      <c r="BR207" s="195"/>
      <c r="BS207" s="195"/>
      <c r="BT207" s="195"/>
      <c r="BU207" s="454"/>
      <c r="BV207" s="454"/>
      <c r="BW207" s="195"/>
      <c r="BX207" s="454"/>
      <c r="BY207" s="260"/>
      <c r="BZ207" s="195"/>
      <c r="CA207" s="19"/>
    </row>
    <row r="208" spans="1:79" x14ac:dyDescent="0.2">
      <c r="A208" s="427"/>
      <c r="K208" s="48"/>
      <c r="L208" s="48"/>
      <c r="M208" s="48"/>
      <c r="N208" s="48"/>
      <c r="O208" s="48"/>
      <c r="P208" s="48"/>
      <c r="Q208" s="48"/>
      <c r="AG208" s="484"/>
      <c r="AV208" s="19"/>
      <c r="AW208" s="218"/>
      <c r="AX208" s="195"/>
      <c r="AY208" s="195"/>
      <c r="AZ208" s="195"/>
      <c r="BA208" s="195"/>
      <c r="BB208" s="454"/>
      <c r="BC208" s="454"/>
      <c r="BD208" s="455"/>
      <c r="BE208" s="195"/>
      <c r="BF208" s="454"/>
      <c r="BG208" s="260"/>
      <c r="BK208" s="19"/>
      <c r="BL208" s="19"/>
      <c r="BP208" s="195"/>
      <c r="BQ208" s="195"/>
      <c r="BR208" s="195"/>
      <c r="BS208" s="195"/>
      <c r="BT208" s="195"/>
      <c r="BU208" s="454"/>
      <c r="BV208" s="454"/>
      <c r="BW208" s="195"/>
      <c r="BX208" s="454"/>
      <c r="BY208" s="260"/>
      <c r="BZ208" s="195"/>
      <c r="CA208" s="19"/>
    </row>
    <row r="209" spans="1:79" x14ac:dyDescent="0.2">
      <c r="A209" s="427"/>
      <c r="K209" s="48"/>
      <c r="L209" s="48"/>
      <c r="M209" s="48"/>
      <c r="N209" s="48"/>
      <c r="O209" s="48"/>
      <c r="P209" s="48"/>
      <c r="Q209" s="48"/>
      <c r="AG209" s="484"/>
      <c r="AV209" s="19"/>
      <c r="AW209" s="218"/>
      <c r="AX209" s="195"/>
      <c r="AY209" s="195"/>
      <c r="AZ209" s="195"/>
      <c r="BA209" s="195"/>
      <c r="BB209" s="454"/>
      <c r="BC209" s="454"/>
      <c r="BD209" s="455"/>
      <c r="BE209" s="195"/>
      <c r="BF209" s="454"/>
      <c r="BG209" s="260"/>
      <c r="BK209" s="19"/>
      <c r="BL209" s="19"/>
      <c r="BP209" s="195"/>
      <c r="BQ209" s="195"/>
      <c r="BR209" s="195"/>
      <c r="BS209" s="195"/>
      <c r="BT209" s="195"/>
      <c r="BU209" s="454"/>
      <c r="BV209" s="454"/>
      <c r="BW209" s="195"/>
      <c r="BX209" s="454"/>
      <c r="BY209" s="260"/>
      <c r="BZ209" s="195"/>
      <c r="CA209" s="19"/>
    </row>
    <row r="210" spans="1:79" x14ac:dyDescent="0.2">
      <c r="A210" s="427"/>
      <c r="K210" s="48"/>
      <c r="L210" s="48"/>
      <c r="M210" s="48"/>
      <c r="N210" s="48"/>
      <c r="O210" s="48"/>
      <c r="P210" s="48"/>
      <c r="Q210" s="48"/>
      <c r="AG210" s="484"/>
      <c r="AV210" s="19"/>
      <c r="AW210" s="218"/>
      <c r="AX210" s="195"/>
      <c r="AY210" s="195"/>
      <c r="AZ210" s="195"/>
      <c r="BA210" s="195"/>
      <c r="BB210" s="454"/>
      <c r="BC210" s="454"/>
      <c r="BD210" s="455"/>
      <c r="BE210" s="195"/>
      <c r="BF210" s="454"/>
      <c r="BG210" s="260"/>
      <c r="BK210" s="19"/>
      <c r="BL210" s="19"/>
      <c r="BP210" s="195"/>
      <c r="BQ210" s="195"/>
      <c r="BR210" s="195"/>
      <c r="BS210" s="195"/>
      <c r="BT210" s="195"/>
      <c r="BU210" s="454"/>
      <c r="BV210" s="454"/>
      <c r="BW210" s="195"/>
      <c r="BX210" s="454"/>
      <c r="BY210" s="260"/>
      <c r="BZ210" s="195"/>
      <c r="CA210" s="19"/>
    </row>
    <row r="211" spans="1:79" x14ac:dyDescent="0.2">
      <c r="A211" s="427"/>
      <c r="K211" s="48"/>
      <c r="L211" s="48"/>
      <c r="M211" s="48"/>
      <c r="N211" s="48"/>
      <c r="O211" s="48"/>
      <c r="P211" s="48"/>
      <c r="Q211" s="48"/>
      <c r="AG211" s="484"/>
      <c r="AV211" s="19"/>
      <c r="AW211" s="218"/>
      <c r="AX211" s="195"/>
      <c r="AY211" s="195"/>
      <c r="AZ211" s="195"/>
      <c r="BA211" s="195"/>
      <c r="BB211" s="454"/>
      <c r="BC211" s="454"/>
      <c r="BD211" s="455"/>
      <c r="BE211" s="195"/>
      <c r="BF211" s="454"/>
      <c r="BG211" s="260"/>
      <c r="BK211" s="19"/>
      <c r="BL211" s="19"/>
      <c r="BP211" s="195"/>
      <c r="BQ211" s="195"/>
      <c r="BR211" s="195"/>
      <c r="BS211" s="195"/>
      <c r="BT211" s="195"/>
      <c r="BU211" s="454"/>
      <c r="BV211" s="454"/>
      <c r="BW211" s="195"/>
      <c r="BX211" s="454"/>
      <c r="BY211" s="260"/>
      <c r="BZ211" s="195"/>
      <c r="CA211" s="19"/>
    </row>
    <row r="212" spans="1:79" x14ac:dyDescent="0.2">
      <c r="A212" s="427"/>
      <c r="K212" s="48"/>
      <c r="L212" s="48"/>
      <c r="M212" s="48"/>
      <c r="N212" s="48"/>
      <c r="O212" s="48"/>
      <c r="P212" s="48"/>
      <c r="Q212" s="48"/>
      <c r="AG212" s="484"/>
      <c r="AV212" s="19"/>
      <c r="AW212" s="218"/>
      <c r="AX212" s="195"/>
      <c r="AY212" s="195"/>
      <c r="AZ212" s="195"/>
      <c r="BA212" s="195"/>
      <c r="BB212" s="454"/>
      <c r="BC212" s="454"/>
      <c r="BD212" s="455"/>
      <c r="BE212" s="195"/>
      <c r="BF212" s="454"/>
      <c r="BG212" s="260"/>
      <c r="BK212" s="19"/>
      <c r="BL212" s="19"/>
      <c r="BP212" s="195"/>
      <c r="BQ212" s="195"/>
      <c r="BR212" s="195"/>
      <c r="BS212" s="195"/>
      <c r="BT212" s="195"/>
      <c r="BU212" s="454"/>
      <c r="BV212" s="454"/>
      <c r="BW212" s="195"/>
      <c r="BX212" s="454"/>
      <c r="BY212" s="260"/>
      <c r="BZ212" s="195"/>
      <c r="CA212" s="19"/>
    </row>
    <row r="213" spans="1:79" x14ac:dyDescent="0.2">
      <c r="A213" s="427"/>
      <c r="J213" s="19"/>
      <c r="K213" s="48"/>
      <c r="L213" s="48"/>
      <c r="M213" s="48"/>
      <c r="N213" s="48"/>
      <c r="O213" s="48"/>
      <c r="P213" s="48"/>
      <c r="Q213" s="48"/>
      <c r="AG213" s="484"/>
      <c r="AV213" s="19"/>
      <c r="AW213" s="218"/>
      <c r="AX213" s="195"/>
      <c r="AY213" s="195"/>
      <c r="AZ213" s="195"/>
      <c r="BA213" s="195"/>
      <c r="BB213" s="454"/>
      <c r="BC213" s="454"/>
      <c r="BD213" s="455"/>
      <c r="BE213" s="195"/>
      <c r="BF213" s="454"/>
      <c r="BG213" s="260"/>
      <c r="BK213" s="19"/>
      <c r="BL213" s="19"/>
      <c r="BP213" s="195"/>
      <c r="BQ213" s="195"/>
      <c r="BR213" s="195"/>
      <c r="BS213" s="195"/>
      <c r="BT213" s="195"/>
      <c r="BU213" s="454"/>
      <c r="BV213" s="454"/>
      <c r="BW213" s="195"/>
      <c r="BX213" s="454"/>
      <c r="BY213" s="260"/>
      <c r="BZ213" s="195"/>
      <c r="CA213" s="19"/>
    </row>
    <row r="214" spans="1:79" x14ac:dyDescent="0.2">
      <c r="A214" s="427"/>
      <c r="J214" s="48"/>
      <c r="K214" s="48"/>
      <c r="L214" s="48"/>
      <c r="AG214" s="484"/>
      <c r="AV214" s="19"/>
      <c r="AW214" s="218"/>
      <c r="AX214" s="195"/>
      <c r="AY214" s="195"/>
      <c r="AZ214" s="195"/>
      <c r="BA214" s="195"/>
      <c r="BB214" s="454"/>
      <c r="BC214" s="454"/>
      <c r="BD214" s="455"/>
      <c r="BE214" s="195"/>
      <c r="BF214" s="454"/>
      <c r="BG214" s="260"/>
      <c r="BK214" s="19"/>
      <c r="BL214" s="19"/>
      <c r="BP214" s="195"/>
      <c r="BQ214" s="195"/>
      <c r="BR214" s="195"/>
      <c r="BS214" s="195"/>
      <c r="BT214" s="195"/>
      <c r="BU214" s="454"/>
      <c r="BV214" s="454"/>
      <c r="BW214" s="195"/>
      <c r="BX214" s="454"/>
      <c r="BY214" s="260"/>
      <c r="BZ214" s="195"/>
      <c r="CA214" s="19"/>
    </row>
    <row r="215" spans="1:79" x14ac:dyDescent="0.2">
      <c r="A215" s="427"/>
      <c r="AG215" s="484"/>
      <c r="AV215" s="19"/>
      <c r="AW215" s="218"/>
      <c r="AX215" s="195"/>
      <c r="AY215" s="195"/>
      <c r="AZ215" s="195"/>
      <c r="BA215" s="195"/>
      <c r="BB215" s="454"/>
      <c r="BC215" s="454"/>
      <c r="BD215" s="455"/>
      <c r="BE215" s="195"/>
      <c r="BF215" s="454"/>
      <c r="BG215" s="260"/>
      <c r="BK215" s="19"/>
      <c r="BL215" s="19"/>
      <c r="BP215" s="195"/>
      <c r="BQ215" s="195"/>
      <c r="BR215" s="195"/>
      <c r="BS215" s="195"/>
      <c r="BT215" s="195"/>
      <c r="BU215" s="454"/>
      <c r="BV215" s="454"/>
      <c r="BW215" s="195"/>
      <c r="BX215" s="454"/>
      <c r="BY215" s="260"/>
      <c r="BZ215" s="195"/>
      <c r="CA215" s="19"/>
    </row>
    <row r="216" spans="1:79" x14ac:dyDescent="0.2">
      <c r="A216" s="427"/>
      <c r="AG216" s="484"/>
      <c r="AV216" s="19"/>
      <c r="AW216" s="218"/>
      <c r="AX216" s="195"/>
      <c r="AY216" s="195"/>
      <c r="AZ216" s="195"/>
      <c r="BA216" s="195"/>
      <c r="BB216" s="454"/>
      <c r="BC216" s="454"/>
      <c r="BD216" s="455"/>
      <c r="BE216" s="195"/>
      <c r="BF216" s="454"/>
      <c r="BG216" s="260"/>
      <c r="BK216" s="19"/>
      <c r="BL216" s="19"/>
      <c r="BP216" s="195"/>
      <c r="BQ216" s="195"/>
      <c r="BR216" s="195"/>
      <c r="BS216" s="195"/>
      <c r="BT216" s="195"/>
      <c r="BU216" s="454"/>
      <c r="BV216" s="454"/>
      <c r="BW216" s="195"/>
      <c r="BX216" s="454"/>
      <c r="BY216" s="260"/>
      <c r="BZ216" s="195"/>
      <c r="CA216" s="19"/>
    </row>
    <row r="217" spans="1:79" x14ac:dyDescent="0.2">
      <c r="A217" s="427"/>
      <c r="AG217" s="484"/>
      <c r="AV217" s="19"/>
      <c r="AW217" s="218"/>
      <c r="AX217" s="195"/>
      <c r="AY217" s="195"/>
      <c r="AZ217" s="195"/>
      <c r="BA217" s="195"/>
      <c r="BB217" s="454"/>
      <c r="BC217" s="454"/>
      <c r="BD217" s="455"/>
      <c r="BE217" s="195"/>
      <c r="BF217" s="454"/>
      <c r="BG217" s="260"/>
      <c r="BK217" s="19"/>
      <c r="BL217" s="19"/>
      <c r="BP217" s="195"/>
      <c r="BQ217" s="195"/>
      <c r="BR217" s="195"/>
      <c r="BS217" s="195"/>
      <c r="BT217" s="195"/>
      <c r="BU217" s="454"/>
      <c r="BV217" s="454"/>
      <c r="BW217" s="195"/>
      <c r="BX217" s="454"/>
      <c r="BY217" s="260"/>
      <c r="BZ217" s="195"/>
      <c r="CA217" s="19"/>
    </row>
    <row r="218" spans="1:79" x14ac:dyDescent="0.2">
      <c r="A218" s="489"/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AG218" s="484"/>
      <c r="AV218" s="19"/>
      <c r="AW218" s="218"/>
      <c r="AX218" s="195"/>
      <c r="AY218" s="195"/>
      <c r="AZ218" s="195"/>
      <c r="BA218" s="195"/>
      <c r="BB218" s="454"/>
      <c r="BC218" s="454"/>
      <c r="BD218" s="455"/>
      <c r="BE218" s="195"/>
      <c r="BF218" s="454"/>
      <c r="BG218" s="260"/>
      <c r="BK218" s="19"/>
      <c r="BL218" s="19"/>
      <c r="BP218" s="195"/>
      <c r="BQ218" s="195"/>
      <c r="BR218" s="195"/>
      <c r="BS218" s="195"/>
      <c r="BT218" s="195"/>
      <c r="BU218" s="454"/>
      <c r="BV218" s="454"/>
      <c r="BW218" s="195"/>
      <c r="BX218" s="454"/>
      <c r="BY218" s="260"/>
      <c r="BZ218" s="195"/>
      <c r="CA218" s="19"/>
    </row>
    <row r="219" spans="1:79" x14ac:dyDescent="0.2">
      <c r="A219" s="490"/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AG219" s="484"/>
      <c r="AV219" s="19"/>
      <c r="AW219" s="218"/>
      <c r="AX219" s="195"/>
      <c r="AY219" s="195"/>
      <c r="AZ219" s="195"/>
      <c r="BA219" s="195"/>
      <c r="BB219" s="454"/>
      <c r="BC219" s="454"/>
      <c r="BD219" s="455"/>
      <c r="BE219" s="195"/>
      <c r="BF219" s="454"/>
      <c r="BG219" s="260"/>
      <c r="BK219" s="19"/>
      <c r="BL219" s="19"/>
      <c r="BP219" s="195"/>
      <c r="BQ219" s="195"/>
      <c r="BR219" s="195"/>
      <c r="BS219" s="195"/>
      <c r="BT219" s="195"/>
      <c r="BU219" s="454"/>
      <c r="BV219" s="454"/>
      <c r="BW219" s="195"/>
      <c r="BX219" s="454"/>
      <c r="BY219" s="260"/>
      <c r="BZ219" s="195"/>
      <c r="CA219" s="19"/>
    </row>
    <row r="220" spans="1:79" x14ac:dyDescent="0.2">
      <c r="A220" s="490"/>
      <c r="B220" s="19"/>
      <c r="C220" s="195"/>
      <c r="D220" s="195"/>
      <c r="E220" s="195"/>
      <c r="F220" s="195"/>
      <c r="G220" s="195"/>
      <c r="H220" s="195"/>
      <c r="I220" s="195"/>
      <c r="J220" s="195"/>
      <c r="K220" s="195"/>
      <c r="L220" s="454"/>
      <c r="M220" s="454"/>
      <c r="N220" s="454"/>
      <c r="O220" s="454"/>
      <c r="P220" s="454"/>
      <c r="Q220" s="454"/>
      <c r="R220" s="195"/>
      <c r="S220" s="195"/>
      <c r="T220" s="454"/>
      <c r="U220" s="491"/>
      <c r="V220" s="491"/>
      <c r="W220" s="491"/>
      <c r="AG220" s="484"/>
      <c r="AV220" s="19"/>
      <c r="AW220" s="218"/>
      <c r="AX220" s="195"/>
      <c r="AY220" s="195"/>
      <c r="AZ220" s="195"/>
      <c r="BA220" s="195"/>
      <c r="BB220" s="454"/>
      <c r="BC220" s="454"/>
      <c r="BD220" s="455"/>
      <c r="BE220" s="195"/>
      <c r="BF220" s="19"/>
      <c r="BG220" s="260"/>
      <c r="BK220" s="19"/>
      <c r="BL220" s="19"/>
      <c r="BP220" s="195"/>
      <c r="BQ220" s="195"/>
      <c r="BR220" s="195"/>
      <c r="BS220" s="195"/>
      <c r="BT220" s="195"/>
      <c r="BU220" s="454"/>
      <c r="BV220" s="454"/>
      <c r="BW220" s="195"/>
      <c r="BX220" s="454"/>
      <c r="BY220" s="260"/>
      <c r="BZ220" s="195"/>
      <c r="CA220" s="19"/>
    </row>
    <row r="221" spans="1:79" x14ac:dyDescent="0.2">
      <c r="A221" s="490"/>
      <c r="B221" s="19"/>
      <c r="C221" s="195"/>
      <c r="D221" s="195"/>
      <c r="E221" s="195"/>
      <c r="F221" s="195"/>
      <c r="G221" s="195"/>
      <c r="H221" s="195"/>
      <c r="I221" s="195"/>
      <c r="J221" s="195"/>
      <c r="K221" s="195"/>
      <c r="L221" s="454"/>
      <c r="M221" s="454"/>
      <c r="N221" s="454"/>
      <c r="O221" s="454"/>
      <c r="P221" s="454"/>
      <c r="Q221" s="454"/>
      <c r="R221" s="195"/>
      <c r="S221" s="195"/>
      <c r="T221" s="454"/>
      <c r="U221" s="491"/>
      <c r="V221" s="491"/>
      <c r="W221" s="491"/>
      <c r="AG221" s="484"/>
      <c r="AV221" s="19"/>
      <c r="AW221" s="218"/>
      <c r="AX221" s="195"/>
      <c r="AY221" s="195"/>
      <c r="AZ221" s="195"/>
      <c r="BA221" s="195"/>
      <c r="BB221" s="454"/>
      <c r="BC221" s="454"/>
      <c r="BD221" s="455"/>
      <c r="BE221" s="195"/>
      <c r="BF221" s="19"/>
      <c r="BG221" s="260"/>
      <c r="BK221" s="19"/>
      <c r="BL221" s="19"/>
      <c r="BP221" s="195"/>
      <c r="BQ221" s="195"/>
      <c r="BR221" s="195"/>
      <c r="BS221" s="195"/>
      <c r="BT221" s="195"/>
      <c r="BU221" s="454"/>
      <c r="BV221" s="454"/>
      <c r="BW221" s="195"/>
      <c r="BX221" s="454"/>
      <c r="BY221" s="260"/>
      <c r="BZ221" s="195"/>
      <c r="CA221" s="19"/>
    </row>
    <row r="222" spans="1:79" x14ac:dyDescent="0.2">
      <c r="A222" s="490"/>
      <c r="B222" s="19"/>
      <c r="C222" s="195"/>
      <c r="D222" s="195"/>
      <c r="E222" s="195"/>
      <c r="F222" s="195"/>
      <c r="G222" s="195"/>
      <c r="H222" s="195"/>
      <c r="I222" s="195"/>
      <c r="J222" s="195"/>
      <c r="K222" s="195"/>
      <c r="L222" s="454"/>
      <c r="M222" s="454"/>
      <c r="N222" s="454"/>
      <c r="O222" s="454"/>
      <c r="P222" s="454"/>
      <c r="Q222" s="454"/>
      <c r="R222" s="195"/>
      <c r="S222" s="195"/>
      <c r="T222" s="454"/>
      <c r="U222" s="491"/>
      <c r="V222" s="491"/>
      <c r="W222" s="491"/>
      <c r="AG222" s="484"/>
      <c r="AV222" s="19"/>
      <c r="AW222" s="218"/>
      <c r="AX222" s="195"/>
      <c r="AY222" s="195"/>
      <c r="AZ222" s="195"/>
      <c r="BA222" s="195"/>
      <c r="BB222" s="454"/>
      <c r="BC222" s="454"/>
      <c r="BD222" s="455"/>
      <c r="BE222" s="195"/>
      <c r="BF222" s="19"/>
      <c r="BG222" s="260"/>
      <c r="BK222" s="19"/>
      <c r="BL222" s="19"/>
      <c r="BP222" s="195"/>
      <c r="BQ222" s="195"/>
      <c r="BR222" s="195"/>
      <c r="BS222" s="195"/>
      <c r="BT222" s="195"/>
      <c r="BU222" s="454"/>
      <c r="BV222" s="454"/>
      <c r="BW222" s="195"/>
      <c r="BX222" s="454"/>
      <c r="BY222" s="260"/>
      <c r="BZ222" s="195"/>
      <c r="CA222" s="19"/>
    </row>
    <row r="223" spans="1:79" x14ac:dyDescent="0.2">
      <c r="A223" s="490"/>
      <c r="B223" s="19"/>
      <c r="C223" s="195"/>
      <c r="D223" s="195"/>
      <c r="E223" s="195"/>
      <c r="F223" s="195"/>
      <c r="G223" s="195"/>
      <c r="H223" s="195"/>
      <c r="I223" s="195"/>
      <c r="J223" s="195"/>
      <c r="K223" s="195"/>
      <c r="L223" s="454"/>
      <c r="M223" s="454"/>
      <c r="N223" s="454"/>
      <c r="O223" s="454"/>
      <c r="P223" s="454"/>
      <c r="Q223" s="454"/>
      <c r="R223" s="195"/>
      <c r="S223" s="195"/>
      <c r="T223" s="454"/>
      <c r="U223" s="491"/>
      <c r="V223" s="491"/>
      <c r="W223" s="491"/>
      <c r="AG223" s="484"/>
      <c r="AV223" s="19"/>
      <c r="AW223" s="218"/>
      <c r="AX223" s="195"/>
      <c r="AY223" s="195"/>
      <c r="AZ223" s="195"/>
      <c r="BA223" s="195"/>
      <c r="BB223" s="454"/>
      <c r="BC223" s="454"/>
      <c r="BD223" s="455"/>
      <c r="BE223" s="195"/>
      <c r="BF223" s="19"/>
      <c r="BG223" s="260"/>
      <c r="BK223" s="19"/>
      <c r="BL223" s="19"/>
      <c r="BP223" s="195"/>
      <c r="BQ223" s="195"/>
      <c r="BR223" s="195"/>
      <c r="BS223" s="195"/>
      <c r="BT223" s="195"/>
      <c r="BU223" s="454"/>
      <c r="BV223" s="454"/>
      <c r="BW223" s="195"/>
      <c r="BX223" s="454"/>
      <c r="BY223" s="260"/>
      <c r="BZ223" s="195"/>
      <c r="CA223" s="19"/>
    </row>
    <row r="224" spans="1:79" x14ac:dyDescent="0.2">
      <c r="A224" s="490"/>
      <c r="B224" s="19"/>
      <c r="C224" s="195"/>
      <c r="D224" s="195"/>
      <c r="E224" s="195"/>
      <c r="F224" s="195"/>
      <c r="G224" s="195"/>
      <c r="H224" s="195"/>
      <c r="I224" s="195"/>
      <c r="J224" s="195"/>
      <c r="K224" s="195"/>
      <c r="L224" s="454"/>
      <c r="M224" s="454"/>
      <c r="N224" s="454"/>
      <c r="O224" s="454"/>
      <c r="P224" s="454"/>
      <c r="Q224" s="454"/>
      <c r="R224" s="195"/>
      <c r="S224" s="195"/>
      <c r="T224" s="454"/>
      <c r="U224" s="491"/>
      <c r="V224" s="491"/>
      <c r="W224" s="491"/>
      <c r="AG224" s="484"/>
      <c r="AV224" s="19"/>
      <c r="AW224" s="218"/>
      <c r="AX224" s="195"/>
      <c r="AY224" s="195"/>
      <c r="AZ224" s="195"/>
      <c r="BA224" s="195"/>
      <c r="BB224" s="454"/>
      <c r="BC224" s="454"/>
      <c r="BD224" s="455"/>
      <c r="BE224" s="195"/>
      <c r="BF224" s="19"/>
      <c r="BG224" s="260"/>
      <c r="BK224" s="19"/>
      <c r="BL224" s="19"/>
      <c r="BP224" s="195"/>
      <c r="BQ224" s="195"/>
      <c r="BR224" s="195"/>
      <c r="BS224" s="195"/>
      <c r="BT224" s="195"/>
      <c r="BU224" s="454"/>
      <c r="BV224" s="454"/>
      <c r="BW224" s="195"/>
      <c r="BX224" s="454"/>
      <c r="BY224" s="260"/>
      <c r="BZ224" s="195"/>
      <c r="CA224" s="19"/>
    </row>
    <row r="225" spans="1:79" x14ac:dyDescent="0.2">
      <c r="A225" s="490"/>
      <c r="B225" s="19"/>
      <c r="C225" s="195"/>
      <c r="D225" s="195"/>
      <c r="E225" s="195"/>
      <c r="F225" s="195"/>
      <c r="G225" s="195"/>
      <c r="H225" s="195"/>
      <c r="I225" s="195"/>
      <c r="J225" s="195"/>
      <c r="K225" s="195"/>
      <c r="L225" s="454"/>
      <c r="M225" s="454"/>
      <c r="N225" s="454"/>
      <c r="O225" s="454"/>
      <c r="P225" s="454"/>
      <c r="Q225" s="454"/>
      <c r="R225" s="195"/>
      <c r="S225" s="195"/>
      <c r="T225" s="454"/>
      <c r="U225" s="491"/>
      <c r="V225" s="491"/>
      <c r="W225" s="491"/>
      <c r="AG225" s="484"/>
      <c r="AV225" s="19"/>
      <c r="AW225" s="218"/>
      <c r="AX225" s="195"/>
      <c r="AY225" s="195"/>
      <c r="AZ225" s="195"/>
      <c r="BA225" s="195"/>
      <c r="BB225" s="454"/>
      <c r="BC225" s="454"/>
      <c r="BD225" s="455"/>
      <c r="BE225" s="195"/>
      <c r="BF225" s="19"/>
      <c r="BG225" s="260"/>
      <c r="BK225" s="19"/>
      <c r="BL225" s="19"/>
      <c r="BP225" s="195"/>
      <c r="BQ225" s="195"/>
      <c r="BR225" s="195"/>
      <c r="BS225" s="195"/>
      <c r="BT225" s="195"/>
      <c r="BU225" s="454"/>
      <c r="BV225" s="454"/>
      <c r="BW225" s="195"/>
      <c r="BX225" s="454"/>
      <c r="BY225" s="260"/>
      <c r="BZ225" s="195"/>
      <c r="CA225" s="19"/>
    </row>
    <row r="226" spans="1:79" x14ac:dyDescent="0.2">
      <c r="A226" s="490"/>
      <c r="B226" s="19"/>
      <c r="C226" s="195"/>
      <c r="D226" s="195"/>
      <c r="E226" s="195"/>
      <c r="F226" s="195"/>
      <c r="G226" s="195"/>
      <c r="H226" s="195"/>
      <c r="I226" s="195"/>
      <c r="J226" s="195"/>
      <c r="K226" s="195"/>
      <c r="L226" s="454"/>
      <c r="M226" s="454"/>
      <c r="N226" s="454"/>
      <c r="O226" s="454"/>
      <c r="P226" s="454"/>
      <c r="Q226" s="454"/>
      <c r="R226" s="195"/>
      <c r="S226" s="195"/>
      <c r="T226" s="454"/>
      <c r="U226" s="491"/>
      <c r="V226" s="491"/>
      <c r="W226" s="491"/>
      <c r="AG226" s="484"/>
      <c r="AV226" s="19"/>
      <c r="AW226" s="218"/>
      <c r="AX226" s="195"/>
      <c r="AY226" s="195"/>
      <c r="AZ226" s="195"/>
      <c r="BA226" s="195"/>
      <c r="BB226" s="454"/>
      <c r="BC226" s="454"/>
      <c r="BD226" s="455"/>
      <c r="BE226" s="195"/>
      <c r="BF226" s="19"/>
      <c r="BG226" s="260"/>
      <c r="BK226" s="19"/>
      <c r="BL226" s="19"/>
      <c r="BP226" s="195"/>
      <c r="BQ226" s="195"/>
      <c r="BR226" s="195"/>
      <c r="BS226" s="195"/>
      <c r="BT226" s="195"/>
      <c r="BU226" s="454"/>
      <c r="BV226" s="454"/>
      <c r="BW226" s="195"/>
      <c r="BX226" s="454"/>
      <c r="BY226" s="260"/>
      <c r="BZ226" s="195"/>
      <c r="CA226" s="19"/>
    </row>
    <row r="227" spans="1:79" x14ac:dyDescent="0.2">
      <c r="A227" s="490"/>
      <c r="B227" s="19"/>
      <c r="C227" s="195"/>
      <c r="D227" s="195"/>
      <c r="E227" s="195"/>
      <c r="F227" s="195"/>
      <c r="G227" s="195"/>
      <c r="H227" s="195"/>
      <c r="I227" s="195"/>
      <c r="J227" s="195"/>
      <c r="K227" s="195"/>
      <c r="L227" s="454"/>
      <c r="M227" s="454"/>
      <c r="N227" s="454"/>
      <c r="O227" s="454"/>
      <c r="P227" s="454"/>
      <c r="Q227" s="454"/>
      <c r="R227" s="195"/>
      <c r="S227" s="195"/>
      <c r="T227" s="454"/>
      <c r="U227" s="491"/>
      <c r="V227" s="491"/>
      <c r="W227" s="491"/>
      <c r="AG227" s="484"/>
      <c r="AV227" s="19"/>
      <c r="AW227" s="218"/>
      <c r="AX227" s="195"/>
      <c r="AY227" s="195"/>
      <c r="AZ227" s="195"/>
      <c r="BA227" s="195"/>
      <c r="BB227" s="454"/>
      <c r="BC227" s="454"/>
      <c r="BD227" s="455"/>
      <c r="BE227" s="195"/>
      <c r="BF227" s="19"/>
      <c r="BG227" s="260"/>
      <c r="BK227" s="19"/>
      <c r="BL227" s="19"/>
      <c r="BP227" s="195"/>
      <c r="BQ227" s="195"/>
      <c r="BR227" s="195"/>
      <c r="BS227" s="195"/>
      <c r="BT227" s="195"/>
      <c r="BU227" s="454"/>
      <c r="BV227" s="454"/>
      <c r="BW227" s="195"/>
      <c r="BX227" s="454"/>
      <c r="BY227" s="260"/>
      <c r="BZ227" s="195"/>
      <c r="CA227" s="19"/>
    </row>
    <row r="228" spans="1:79" x14ac:dyDescent="0.2">
      <c r="A228" s="490"/>
      <c r="B228" s="19"/>
      <c r="C228" s="195"/>
      <c r="D228" s="195"/>
      <c r="E228" s="195"/>
      <c r="F228" s="195"/>
      <c r="G228" s="195"/>
      <c r="H228" s="195"/>
      <c r="I228" s="195"/>
      <c r="J228" s="195"/>
      <c r="K228" s="195"/>
      <c r="L228" s="454"/>
      <c r="M228" s="454"/>
      <c r="N228" s="454"/>
      <c r="O228" s="454"/>
      <c r="P228" s="454"/>
      <c r="Q228" s="454"/>
      <c r="R228" s="195"/>
      <c r="S228" s="195"/>
      <c r="T228" s="454"/>
      <c r="U228" s="491"/>
      <c r="V228" s="491"/>
      <c r="W228" s="491"/>
      <c r="AG228" s="484"/>
      <c r="AV228" s="19"/>
      <c r="AW228" s="218"/>
      <c r="AX228" s="195"/>
      <c r="AY228" s="195"/>
      <c r="AZ228" s="195"/>
      <c r="BA228" s="195"/>
      <c r="BB228" s="454"/>
      <c r="BC228" s="454"/>
      <c r="BD228" s="455"/>
      <c r="BE228" s="195"/>
      <c r="BF228" s="19"/>
      <c r="BG228" s="260"/>
      <c r="BK228" s="19"/>
      <c r="BL228" s="19"/>
      <c r="BP228" s="195"/>
      <c r="BQ228" s="195"/>
      <c r="BR228" s="195"/>
      <c r="BS228" s="195"/>
      <c r="BT228" s="195"/>
      <c r="BU228" s="454"/>
      <c r="BV228" s="454"/>
      <c r="BW228" s="195"/>
      <c r="BX228" s="454"/>
      <c r="BY228" s="260"/>
      <c r="BZ228" s="195"/>
      <c r="CA228" s="19"/>
    </row>
    <row r="229" spans="1:79" x14ac:dyDescent="0.2">
      <c r="A229" s="490"/>
      <c r="B229" s="19"/>
      <c r="C229" s="195"/>
      <c r="D229" s="195"/>
      <c r="E229" s="195"/>
      <c r="F229" s="195"/>
      <c r="G229" s="195"/>
      <c r="H229" s="195"/>
      <c r="I229" s="195"/>
      <c r="J229" s="195"/>
      <c r="K229" s="195"/>
      <c r="L229" s="454"/>
      <c r="M229" s="454"/>
      <c r="N229" s="454"/>
      <c r="O229" s="454"/>
      <c r="P229" s="454"/>
      <c r="Q229" s="454"/>
      <c r="R229" s="195"/>
      <c r="S229" s="195"/>
      <c r="T229" s="454"/>
      <c r="U229" s="491"/>
      <c r="V229" s="491"/>
      <c r="W229" s="491"/>
      <c r="AG229" s="484"/>
      <c r="AV229" s="19"/>
      <c r="AW229" s="218"/>
      <c r="AX229" s="195"/>
      <c r="AY229" s="195"/>
      <c r="AZ229" s="195"/>
      <c r="BA229" s="195"/>
      <c r="BB229" s="454"/>
      <c r="BC229" s="454"/>
      <c r="BD229" s="455"/>
      <c r="BE229" s="195"/>
      <c r="BF229" s="19"/>
      <c r="BG229" s="260"/>
      <c r="BK229" s="19"/>
      <c r="BL229" s="19"/>
      <c r="BP229" s="195"/>
      <c r="BQ229" s="195"/>
      <c r="BR229" s="195"/>
      <c r="BS229" s="195"/>
      <c r="BT229" s="195"/>
      <c r="BU229" s="454"/>
      <c r="BV229" s="454"/>
      <c r="BW229" s="195"/>
      <c r="BX229" s="454"/>
      <c r="BY229" s="260"/>
      <c r="BZ229" s="195"/>
      <c r="CA229" s="19"/>
    </row>
    <row r="230" spans="1:79" x14ac:dyDescent="0.2">
      <c r="A230" s="490"/>
      <c r="B230" s="19"/>
      <c r="C230" s="195"/>
      <c r="D230" s="195"/>
      <c r="E230" s="195"/>
      <c r="F230" s="195"/>
      <c r="G230" s="195"/>
      <c r="H230" s="195"/>
      <c r="I230" s="195"/>
      <c r="J230" s="195"/>
      <c r="K230" s="195"/>
      <c r="L230" s="454"/>
      <c r="M230" s="454"/>
      <c r="N230" s="454"/>
      <c r="O230" s="454"/>
      <c r="P230" s="454"/>
      <c r="Q230" s="454"/>
      <c r="R230" s="195"/>
      <c r="S230" s="195"/>
      <c r="T230" s="454"/>
      <c r="U230" s="491"/>
      <c r="V230" s="491"/>
      <c r="W230" s="491"/>
      <c r="AG230" s="484"/>
      <c r="AV230" s="19"/>
      <c r="AW230" s="218"/>
      <c r="AX230" s="195"/>
      <c r="AY230" s="195"/>
      <c r="AZ230" s="195"/>
      <c r="BA230" s="195"/>
      <c r="BB230" s="454"/>
      <c r="BC230" s="454"/>
      <c r="BD230" s="455"/>
      <c r="BE230" s="195"/>
      <c r="BF230" s="19"/>
      <c r="BG230" s="260"/>
      <c r="BK230" s="19"/>
      <c r="BL230" s="19"/>
      <c r="BP230" s="195"/>
      <c r="BQ230" s="195"/>
      <c r="BR230" s="195"/>
      <c r="BS230" s="195"/>
      <c r="BT230" s="195"/>
      <c r="BU230" s="454"/>
      <c r="BV230" s="454"/>
      <c r="BW230" s="195"/>
      <c r="BX230" s="454"/>
      <c r="BY230" s="260"/>
      <c r="BZ230" s="195"/>
      <c r="CA230" s="19"/>
    </row>
    <row r="231" spans="1:79" x14ac:dyDescent="0.2">
      <c r="A231" s="490"/>
      <c r="B231" s="19"/>
      <c r="C231" s="195"/>
      <c r="D231" s="195"/>
      <c r="E231" s="195"/>
      <c r="F231" s="195"/>
      <c r="G231" s="195"/>
      <c r="H231" s="195"/>
      <c r="I231" s="195"/>
      <c r="J231" s="195"/>
      <c r="K231" s="195"/>
      <c r="L231" s="454"/>
      <c r="M231" s="454"/>
      <c r="N231" s="454"/>
      <c r="O231" s="454"/>
      <c r="P231" s="454"/>
      <c r="Q231" s="454"/>
      <c r="R231" s="195"/>
      <c r="S231" s="195"/>
      <c r="T231" s="454"/>
      <c r="U231" s="491"/>
      <c r="V231" s="491"/>
      <c r="W231" s="491"/>
      <c r="AG231" s="484"/>
      <c r="AV231" s="19"/>
      <c r="AW231" s="218"/>
      <c r="AX231" s="195"/>
      <c r="AY231" s="195"/>
      <c r="AZ231" s="195"/>
      <c r="BA231" s="195"/>
      <c r="BB231" s="454"/>
      <c r="BC231" s="454"/>
      <c r="BD231" s="455"/>
      <c r="BE231" s="195"/>
      <c r="BF231" s="19"/>
      <c r="BG231" s="260"/>
      <c r="BK231" s="19"/>
      <c r="BL231" s="19"/>
      <c r="BP231" s="195"/>
      <c r="BQ231" s="195"/>
      <c r="BR231" s="195"/>
      <c r="BS231" s="195"/>
      <c r="BT231" s="195"/>
      <c r="BU231" s="454"/>
      <c r="BV231" s="454"/>
      <c r="BW231" s="195"/>
      <c r="BX231" s="454"/>
      <c r="BY231" s="260"/>
      <c r="BZ231" s="195"/>
      <c r="CA231" s="19"/>
    </row>
    <row r="232" spans="1:79" x14ac:dyDescent="0.2">
      <c r="A232" s="490"/>
      <c r="B232" s="19"/>
      <c r="C232" s="195"/>
      <c r="D232" s="195"/>
      <c r="E232" s="195"/>
      <c r="F232" s="195"/>
      <c r="G232" s="195"/>
      <c r="H232" s="195"/>
      <c r="I232" s="195"/>
      <c r="J232" s="195"/>
      <c r="K232" s="195"/>
      <c r="L232" s="454"/>
      <c r="M232" s="454"/>
      <c r="N232" s="454"/>
      <c r="O232" s="454"/>
      <c r="P232" s="454"/>
      <c r="Q232" s="454"/>
      <c r="R232" s="195"/>
      <c r="S232" s="195"/>
      <c r="T232" s="454"/>
      <c r="U232" s="491"/>
      <c r="V232" s="491"/>
      <c r="W232" s="491"/>
      <c r="AG232" s="484"/>
      <c r="AV232" s="19"/>
      <c r="AW232" s="218"/>
      <c r="AX232" s="195"/>
      <c r="AY232" s="195"/>
      <c r="AZ232" s="195"/>
      <c r="BA232" s="195"/>
      <c r="BB232" s="454"/>
      <c r="BC232" s="454"/>
      <c r="BD232" s="455"/>
      <c r="BE232" s="195"/>
      <c r="BF232" s="19"/>
      <c r="BG232" s="260"/>
      <c r="BK232" s="19"/>
      <c r="BL232" s="19"/>
      <c r="BP232" s="195"/>
      <c r="BQ232" s="195"/>
      <c r="BR232" s="195"/>
      <c r="BS232" s="195"/>
      <c r="BT232" s="195"/>
      <c r="BU232" s="454"/>
      <c r="BV232" s="454"/>
      <c r="BW232" s="195"/>
      <c r="BX232" s="454"/>
      <c r="BY232" s="260"/>
      <c r="BZ232" s="195"/>
      <c r="CA232" s="19"/>
    </row>
    <row r="233" spans="1:79" x14ac:dyDescent="0.2">
      <c r="A233" s="490"/>
      <c r="B233" s="19"/>
      <c r="C233" s="195"/>
      <c r="D233" s="195"/>
      <c r="E233" s="195"/>
      <c r="F233" s="195"/>
      <c r="G233" s="195"/>
      <c r="H233" s="195"/>
      <c r="I233" s="195"/>
      <c r="J233" s="195"/>
      <c r="K233" s="195"/>
      <c r="L233" s="454"/>
      <c r="M233" s="454"/>
      <c r="N233" s="454"/>
      <c r="O233" s="454"/>
      <c r="P233" s="454"/>
      <c r="Q233" s="454"/>
      <c r="R233" s="195"/>
      <c r="S233" s="195"/>
      <c r="T233" s="454"/>
      <c r="U233" s="491"/>
      <c r="V233" s="491"/>
      <c r="W233" s="491"/>
      <c r="AG233" s="484"/>
      <c r="AV233" s="19"/>
      <c r="AW233" s="218"/>
      <c r="AX233" s="195"/>
      <c r="AY233" s="195"/>
      <c r="AZ233" s="195"/>
      <c r="BA233" s="195"/>
      <c r="BB233" s="454"/>
      <c r="BC233" s="454"/>
      <c r="BD233" s="455"/>
      <c r="BE233" s="195"/>
      <c r="BF233" s="19"/>
      <c r="BG233" s="260"/>
      <c r="BK233" s="19"/>
      <c r="BL233" s="19"/>
      <c r="BP233" s="195"/>
      <c r="BQ233" s="195"/>
      <c r="BR233" s="195"/>
      <c r="BS233" s="195"/>
      <c r="BT233" s="195"/>
      <c r="BU233" s="454"/>
      <c r="BV233" s="454"/>
      <c r="BW233" s="195"/>
      <c r="BX233" s="454"/>
      <c r="BY233" s="260"/>
      <c r="BZ233" s="195"/>
      <c r="CA233" s="19"/>
    </row>
    <row r="234" spans="1:79" x14ac:dyDescent="0.2">
      <c r="A234" s="490"/>
      <c r="B234" s="19"/>
      <c r="C234" s="195"/>
      <c r="D234" s="195"/>
      <c r="E234" s="195"/>
      <c r="F234" s="195"/>
      <c r="G234" s="195"/>
      <c r="H234" s="195"/>
      <c r="I234" s="195"/>
      <c r="J234" s="195"/>
      <c r="K234" s="195"/>
      <c r="L234" s="454"/>
      <c r="M234" s="454"/>
      <c r="N234" s="454"/>
      <c r="O234" s="454"/>
      <c r="P234" s="454"/>
      <c r="Q234" s="454"/>
      <c r="R234" s="195"/>
      <c r="S234" s="195"/>
      <c r="T234" s="454"/>
      <c r="U234" s="491"/>
      <c r="V234" s="491"/>
      <c r="W234" s="491"/>
      <c r="AG234" s="484"/>
      <c r="AV234" s="19"/>
      <c r="AW234" s="218"/>
      <c r="AX234" s="195"/>
      <c r="AY234" s="195"/>
      <c r="AZ234" s="195"/>
      <c r="BA234" s="195"/>
      <c r="BB234" s="454"/>
      <c r="BC234" s="454"/>
      <c r="BD234" s="455"/>
      <c r="BE234" s="195"/>
      <c r="BF234" s="19"/>
      <c r="BG234" s="260"/>
      <c r="BK234" s="19"/>
      <c r="BL234" s="19"/>
      <c r="BP234" s="195"/>
      <c r="BQ234" s="195"/>
      <c r="BR234" s="195"/>
      <c r="BS234" s="195"/>
      <c r="BT234" s="195"/>
      <c r="BU234" s="454"/>
      <c r="BV234" s="454"/>
      <c r="BW234" s="195"/>
      <c r="BX234" s="454"/>
      <c r="BY234" s="260"/>
      <c r="BZ234" s="195"/>
      <c r="CA234" s="19"/>
    </row>
    <row r="235" spans="1:79" x14ac:dyDescent="0.2">
      <c r="A235" s="490"/>
      <c r="B235" s="19"/>
      <c r="C235" s="195"/>
      <c r="D235" s="195"/>
      <c r="E235" s="195"/>
      <c r="F235" s="195"/>
      <c r="G235" s="195"/>
      <c r="H235" s="195"/>
      <c r="I235" s="195"/>
      <c r="J235" s="195"/>
      <c r="K235" s="195"/>
      <c r="L235" s="454"/>
      <c r="M235" s="454"/>
      <c r="N235" s="454"/>
      <c r="O235" s="454"/>
      <c r="P235" s="454"/>
      <c r="Q235" s="454"/>
      <c r="R235" s="195"/>
      <c r="S235" s="195"/>
      <c r="T235" s="454"/>
      <c r="U235" s="491"/>
      <c r="V235" s="491"/>
      <c r="W235" s="491"/>
      <c r="AG235" s="484"/>
      <c r="AV235" s="19"/>
      <c r="AW235" s="218"/>
      <c r="AX235" s="195"/>
      <c r="AY235" s="195"/>
      <c r="AZ235" s="195"/>
      <c r="BA235" s="195"/>
      <c r="BB235" s="454"/>
      <c r="BC235" s="454"/>
      <c r="BD235" s="455"/>
      <c r="BE235" s="195"/>
      <c r="BF235" s="19"/>
      <c r="BG235" s="260"/>
      <c r="BK235" s="19"/>
      <c r="BL235" s="19"/>
      <c r="BP235" s="195"/>
      <c r="BQ235" s="195"/>
      <c r="BR235" s="195"/>
      <c r="BS235" s="195"/>
      <c r="BT235" s="195"/>
      <c r="BU235" s="454"/>
      <c r="BV235" s="454"/>
      <c r="BW235" s="195"/>
      <c r="BX235" s="454"/>
      <c r="BY235" s="260"/>
      <c r="BZ235" s="195"/>
      <c r="CA235" s="19"/>
    </row>
    <row r="236" spans="1:79" x14ac:dyDescent="0.2">
      <c r="A236" s="427"/>
      <c r="AG236" s="484"/>
      <c r="AV236" s="19"/>
      <c r="AW236" s="218"/>
      <c r="AX236" s="195"/>
      <c r="AY236" s="195"/>
      <c r="AZ236" s="195"/>
      <c r="BA236" s="195"/>
      <c r="BB236" s="454"/>
      <c r="BC236" s="454"/>
      <c r="BD236" s="455"/>
      <c r="BE236" s="195"/>
      <c r="BF236" s="19"/>
      <c r="BG236" s="260"/>
      <c r="BK236" s="19"/>
      <c r="BL236" s="19"/>
      <c r="BP236" s="195"/>
      <c r="BQ236" s="195"/>
      <c r="BR236" s="195"/>
      <c r="BS236" s="195"/>
      <c r="BT236" s="195"/>
      <c r="BU236" s="454"/>
      <c r="BV236" s="454"/>
      <c r="BW236" s="195"/>
      <c r="BX236" s="454"/>
      <c r="BY236" s="260"/>
      <c r="BZ236" s="195"/>
      <c r="CA236" s="19"/>
    </row>
    <row r="237" spans="1:79" x14ac:dyDescent="0.2">
      <c r="A237" s="427"/>
      <c r="AG237" s="484"/>
      <c r="AV237" s="19"/>
      <c r="AW237" s="218"/>
      <c r="AX237" s="195"/>
      <c r="AY237" s="195"/>
      <c r="AZ237" s="195"/>
      <c r="BA237" s="195"/>
      <c r="BB237" s="454"/>
      <c r="BC237" s="454"/>
      <c r="BD237" s="455"/>
      <c r="BE237" s="195"/>
      <c r="BF237" s="19"/>
      <c r="BG237" s="260"/>
      <c r="BK237" s="19"/>
      <c r="BL237" s="19"/>
      <c r="BP237" s="195"/>
      <c r="BQ237" s="195"/>
      <c r="BR237" s="195"/>
      <c r="BS237" s="195"/>
      <c r="BT237" s="195"/>
      <c r="BU237" s="454"/>
      <c r="BV237" s="454"/>
      <c r="BW237" s="195"/>
      <c r="BX237" s="454"/>
      <c r="BY237" s="260"/>
      <c r="BZ237" s="195"/>
      <c r="CA237" s="19"/>
    </row>
    <row r="238" spans="1:79" x14ac:dyDescent="0.2">
      <c r="A238" s="427"/>
      <c r="AG238" s="484"/>
      <c r="AV238" s="19"/>
      <c r="AW238" s="218"/>
      <c r="AX238" s="195"/>
      <c r="AY238" s="195"/>
      <c r="AZ238" s="195"/>
      <c r="BA238" s="195"/>
      <c r="BB238" s="454"/>
      <c r="BC238" s="454"/>
      <c r="BD238" s="455"/>
      <c r="BE238" s="195"/>
      <c r="BF238" s="19"/>
      <c r="BG238" s="260"/>
      <c r="BK238" s="19"/>
      <c r="BL238" s="19"/>
      <c r="BP238" s="195"/>
      <c r="BQ238" s="195"/>
      <c r="BR238" s="195"/>
      <c r="BS238" s="195"/>
      <c r="BT238" s="195"/>
      <c r="BU238" s="454"/>
      <c r="BV238" s="454"/>
      <c r="BW238" s="195"/>
      <c r="BX238" s="454"/>
      <c r="BY238" s="260"/>
      <c r="BZ238" s="195"/>
      <c r="CA238" s="19"/>
    </row>
    <row r="239" spans="1:79" x14ac:dyDescent="0.2">
      <c r="A239" s="427"/>
      <c r="AG239" s="484"/>
      <c r="AV239" s="19"/>
      <c r="AW239" s="218"/>
      <c r="AX239" s="195"/>
      <c r="AY239" s="195"/>
      <c r="AZ239" s="195"/>
      <c r="BA239" s="195"/>
      <c r="BB239" s="454"/>
      <c r="BC239" s="454"/>
      <c r="BD239" s="455"/>
      <c r="BE239" s="195"/>
      <c r="BF239" s="19"/>
      <c r="BG239" s="260"/>
      <c r="BK239" s="19"/>
      <c r="BL239" s="19"/>
      <c r="BP239" s="195"/>
      <c r="BQ239" s="195"/>
      <c r="BR239" s="195"/>
      <c r="BS239" s="195"/>
      <c r="BT239" s="195"/>
      <c r="BU239" s="454"/>
      <c r="BV239" s="454"/>
      <c r="BW239" s="195"/>
      <c r="BX239" s="454"/>
      <c r="BY239" s="260"/>
      <c r="BZ239" s="195"/>
      <c r="CA239" s="19"/>
    </row>
    <row r="240" spans="1:79" x14ac:dyDescent="0.2">
      <c r="A240" s="427"/>
      <c r="AG240" s="484"/>
      <c r="AV240" s="19"/>
      <c r="AW240" s="218"/>
      <c r="AX240" s="195"/>
      <c r="AY240" s="195"/>
      <c r="AZ240" s="195"/>
      <c r="BA240" s="195"/>
      <c r="BB240" s="454"/>
      <c r="BC240" s="454"/>
      <c r="BD240" s="455"/>
      <c r="BE240" s="195"/>
      <c r="BF240" s="19"/>
      <c r="BG240" s="260"/>
      <c r="BK240" s="19"/>
      <c r="BL240" s="19"/>
      <c r="BP240" s="195"/>
      <c r="BQ240" s="195"/>
      <c r="BR240" s="195"/>
      <c r="BS240" s="195"/>
      <c r="BT240" s="195"/>
      <c r="BU240" s="454"/>
      <c r="BV240" s="454"/>
      <c r="BW240" s="195"/>
      <c r="BX240" s="454"/>
      <c r="BY240" s="260"/>
      <c r="BZ240" s="195"/>
      <c r="CA240" s="19"/>
    </row>
    <row r="241" spans="1:79" x14ac:dyDescent="0.2">
      <c r="A241" s="427"/>
      <c r="AG241" s="484"/>
      <c r="AV241" s="19"/>
      <c r="AW241" s="218"/>
      <c r="AX241" s="195"/>
      <c r="AY241" s="195"/>
      <c r="AZ241" s="195"/>
      <c r="BA241" s="195"/>
      <c r="BB241" s="454"/>
      <c r="BC241" s="454"/>
      <c r="BD241" s="455"/>
      <c r="BE241" s="195"/>
      <c r="BF241" s="19"/>
      <c r="BG241" s="260"/>
      <c r="BK241" s="19"/>
      <c r="BL241" s="19"/>
      <c r="BP241" s="195"/>
      <c r="BQ241" s="195"/>
      <c r="BR241" s="195"/>
      <c r="BS241" s="195"/>
      <c r="BT241" s="195"/>
      <c r="BU241" s="454"/>
      <c r="BV241" s="454"/>
      <c r="BW241" s="195"/>
      <c r="BX241" s="454"/>
      <c r="BY241" s="260"/>
      <c r="BZ241" s="195"/>
      <c r="CA241" s="19"/>
    </row>
    <row r="242" spans="1:79" x14ac:dyDescent="0.2">
      <c r="A242" s="427"/>
      <c r="AG242" s="484"/>
      <c r="AV242" s="19"/>
      <c r="AW242" s="218"/>
      <c r="AX242" s="195"/>
      <c r="AY242" s="195"/>
      <c r="AZ242" s="195"/>
      <c r="BA242" s="195"/>
      <c r="BB242" s="454"/>
      <c r="BC242" s="454"/>
      <c r="BD242" s="455"/>
      <c r="BE242" s="195"/>
      <c r="BF242" s="19"/>
      <c r="BG242" s="260"/>
      <c r="BK242" s="19"/>
      <c r="BL242" s="19"/>
      <c r="BP242" s="195"/>
      <c r="BQ242" s="195"/>
      <c r="BR242" s="195"/>
      <c r="BS242" s="195"/>
      <c r="BT242" s="195"/>
      <c r="BU242" s="454"/>
      <c r="BV242" s="454"/>
      <c r="BW242" s="195"/>
      <c r="BX242" s="454"/>
      <c r="BY242" s="260"/>
      <c r="BZ242" s="195"/>
      <c r="CA242" s="19"/>
    </row>
    <row r="243" spans="1:79" x14ac:dyDescent="0.2">
      <c r="A243" s="427"/>
      <c r="AG243" s="484"/>
      <c r="AV243" s="19"/>
      <c r="AW243" s="218"/>
      <c r="AX243" s="195"/>
      <c r="AY243" s="195"/>
      <c r="AZ243" s="195"/>
      <c r="BA243" s="195"/>
      <c r="BB243" s="454"/>
      <c r="BC243" s="454"/>
      <c r="BD243" s="455"/>
      <c r="BE243" s="195"/>
      <c r="BF243" s="19"/>
      <c r="BG243" s="260"/>
      <c r="BK243" s="19"/>
      <c r="BL243" s="19"/>
      <c r="BP243" s="195"/>
      <c r="BQ243" s="195"/>
      <c r="BR243" s="195"/>
      <c r="BS243" s="195"/>
      <c r="BT243" s="195"/>
      <c r="BU243" s="454"/>
      <c r="BV243" s="454"/>
      <c r="BW243" s="195"/>
      <c r="BX243" s="454"/>
      <c r="BY243" s="260"/>
      <c r="BZ243" s="195"/>
      <c r="CA243" s="19"/>
    </row>
    <row r="244" spans="1:79" x14ac:dyDescent="0.2">
      <c r="A244" s="427"/>
      <c r="AG244" s="484"/>
      <c r="AV244" s="19"/>
      <c r="AW244" s="218"/>
      <c r="AX244" s="195"/>
      <c r="AY244" s="195"/>
      <c r="AZ244" s="195"/>
      <c r="BA244" s="195"/>
      <c r="BB244" s="454"/>
      <c r="BC244" s="454"/>
      <c r="BD244" s="455"/>
      <c r="BE244" s="195"/>
      <c r="BF244" s="19"/>
      <c r="BG244" s="260"/>
      <c r="BK244" s="19"/>
      <c r="BL244" s="19"/>
      <c r="BP244" s="195"/>
      <c r="BQ244" s="195"/>
      <c r="BR244" s="195"/>
      <c r="BS244" s="195"/>
      <c r="BT244" s="195"/>
      <c r="BU244" s="454"/>
      <c r="BV244" s="454"/>
      <c r="BW244" s="195"/>
      <c r="BX244" s="454"/>
      <c r="BY244" s="260"/>
      <c r="BZ244" s="195"/>
      <c r="CA244" s="19"/>
    </row>
    <row r="245" spans="1:79" x14ac:dyDescent="0.2">
      <c r="A245" s="427"/>
      <c r="AG245" s="484"/>
      <c r="AV245" s="19"/>
      <c r="AW245" s="218"/>
      <c r="AX245" s="195"/>
      <c r="AY245" s="195"/>
      <c r="AZ245" s="195"/>
      <c r="BA245" s="195"/>
      <c r="BB245" s="454"/>
      <c r="BC245" s="454"/>
      <c r="BD245" s="455"/>
      <c r="BE245" s="195"/>
      <c r="BF245" s="19"/>
      <c r="BG245" s="260"/>
      <c r="BK245" s="19"/>
      <c r="BL245" s="19"/>
      <c r="BP245" s="195"/>
      <c r="BQ245" s="195"/>
      <c r="BR245" s="195"/>
      <c r="BS245" s="195"/>
      <c r="BT245" s="195"/>
      <c r="BU245" s="454"/>
      <c r="BV245" s="454"/>
      <c r="BW245" s="195"/>
      <c r="BX245" s="454"/>
      <c r="BY245" s="260"/>
      <c r="BZ245" s="195"/>
      <c r="CA245" s="19"/>
    </row>
    <row r="246" spans="1:79" x14ac:dyDescent="0.2">
      <c r="A246" s="427"/>
      <c r="AG246" s="484"/>
      <c r="AV246" s="19"/>
      <c r="AW246" s="218"/>
      <c r="AX246" s="195"/>
      <c r="AY246" s="195"/>
      <c r="AZ246" s="195"/>
      <c r="BA246" s="195"/>
      <c r="BB246" s="454"/>
      <c r="BC246" s="454"/>
      <c r="BD246" s="455"/>
      <c r="BE246" s="195"/>
      <c r="BF246" s="19"/>
      <c r="BG246" s="260"/>
      <c r="BK246" s="19"/>
      <c r="BL246" s="19"/>
      <c r="BP246" s="195"/>
      <c r="BQ246" s="195"/>
      <c r="BR246" s="195"/>
      <c r="BS246" s="195"/>
      <c r="BT246" s="195"/>
      <c r="BU246" s="454"/>
      <c r="BV246" s="454"/>
      <c r="BW246" s="195"/>
      <c r="BX246" s="454"/>
      <c r="BY246" s="260"/>
      <c r="BZ246" s="195"/>
      <c r="CA246" s="19"/>
    </row>
    <row r="247" spans="1:79" x14ac:dyDescent="0.2">
      <c r="A247" s="427"/>
      <c r="AG247" s="484"/>
      <c r="AV247" s="19"/>
      <c r="AW247" s="218"/>
      <c r="AX247" s="195"/>
      <c r="AY247" s="195"/>
      <c r="AZ247" s="195"/>
      <c r="BA247" s="195"/>
      <c r="BB247" s="454"/>
      <c r="BC247" s="454"/>
      <c r="BD247" s="455"/>
      <c r="BE247" s="195"/>
      <c r="BF247" s="19"/>
      <c r="BG247" s="260"/>
      <c r="BK247" s="19"/>
      <c r="BL247" s="19"/>
      <c r="BP247" s="195"/>
      <c r="BQ247" s="195"/>
      <c r="BR247" s="195"/>
      <c r="BS247" s="195"/>
      <c r="BT247" s="195"/>
      <c r="BU247" s="454"/>
      <c r="BV247" s="454"/>
      <c r="BW247" s="195"/>
      <c r="BX247" s="454"/>
      <c r="BY247" s="260"/>
      <c r="BZ247" s="195"/>
      <c r="CA247" s="19"/>
    </row>
    <row r="248" spans="1:79" x14ac:dyDescent="0.2">
      <c r="A248" s="427"/>
      <c r="AG248" s="484"/>
      <c r="AV248" s="19"/>
      <c r="AW248" s="218"/>
      <c r="AX248" s="195"/>
      <c r="AY248" s="195"/>
      <c r="AZ248" s="195"/>
      <c r="BA248" s="195"/>
      <c r="BB248" s="454"/>
      <c r="BC248" s="454"/>
      <c r="BD248" s="455"/>
      <c r="BE248" s="195"/>
      <c r="BF248" s="19"/>
      <c r="BG248" s="260"/>
      <c r="BK248" s="19"/>
      <c r="BL248" s="19"/>
      <c r="BP248" s="195"/>
      <c r="BQ248" s="195"/>
      <c r="BR248" s="195"/>
      <c r="BS248" s="195"/>
      <c r="BT248" s="195"/>
      <c r="BU248" s="454"/>
      <c r="BV248" s="454"/>
      <c r="BW248" s="195"/>
      <c r="BX248" s="454"/>
      <c r="BY248" s="260"/>
      <c r="BZ248" s="195"/>
      <c r="CA248" s="19"/>
    </row>
    <row r="249" spans="1:79" x14ac:dyDescent="0.2">
      <c r="A249" s="427"/>
      <c r="AG249" s="484"/>
      <c r="AV249" s="19"/>
      <c r="AW249" s="218"/>
      <c r="AX249" s="195"/>
      <c r="AY249" s="195"/>
      <c r="AZ249" s="195"/>
      <c r="BA249" s="195"/>
      <c r="BB249" s="454"/>
      <c r="BC249" s="454"/>
      <c r="BD249" s="455"/>
      <c r="BE249" s="195"/>
      <c r="BF249" s="19"/>
      <c r="BG249" s="260"/>
      <c r="BK249" s="19"/>
      <c r="BL249" s="19"/>
      <c r="BP249" s="195"/>
      <c r="BQ249" s="195"/>
      <c r="BR249" s="195"/>
      <c r="BS249" s="195"/>
      <c r="BT249" s="195"/>
      <c r="BU249" s="454"/>
      <c r="BV249" s="454"/>
      <c r="BW249" s="195"/>
      <c r="BX249" s="454"/>
      <c r="BY249" s="260"/>
      <c r="BZ249" s="195"/>
      <c r="CA249" s="19"/>
    </row>
    <row r="250" spans="1:79" x14ac:dyDescent="0.2">
      <c r="A250" s="427"/>
      <c r="AG250" s="484"/>
      <c r="AV250" s="19"/>
      <c r="AW250" s="218"/>
      <c r="AX250" s="195"/>
      <c r="AY250" s="195"/>
      <c r="AZ250" s="195"/>
      <c r="BA250" s="195"/>
      <c r="BB250" s="454"/>
      <c r="BC250" s="454"/>
      <c r="BD250" s="455"/>
      <c r="BE250" s="195"/>
      <c r="BF250" s="19"/>
      <c r="BG250" s="260"/>
      <c r="BK250" s="19"/>
      <c r="BL250" s="19"/>
      <c r="BP250" s="195"/>
      <c r="BQ250" s="195"/>
      <c r="BR250" s="195"/>
      <c r="BS250" s="195"/>
      <c r="BT250" s="195"/>
      <c r="BU250" s="454"/>
      <c r="BV250" s="454"/>
      <c r="BW250" s="195"/>
      <c r="BX250" s="454"/>
      <c r="BY250" s="260"/>
      <c r="BZ250" s="195"/>
      <c r="CA250" s="19"/>
    </row>
    <row r="251" spans="1:79" x14ac:dyDescent="0.2">
      <c r="A251" s="427"/>
      <c r="AG251" s="484"/>
      <c r="AV251" s="19"/>
      <c r="AW251" s="218"/>
      <c r="AX251" s="195"/>
      <c r="AY251" s="195"/>
      <c r="AZ251" s="195"/>
      <c r="BA251" s="195"/>
      <c r="BB251" s="454"/>
      <c r="BC251" s="454"/>
      <c r="BD251" s="455"/>
      <c r="BE251" s="195"/>
      <c r="BF251" s="19"/>
      <c r="BG251" s="260"/>
      <c r="BK251" s="19"/>
      <c r="BL251" s="19"/>
      <c r="BP251" s="195"/>
      <c r="BQ251" s="195"/>
      <c r="BR251" s="195"/>
      <c r="BS251" s="195"/>
      <c r="BT251" s="195"/>
      <c r="BU251" s="454"/>
      <c r="BV251" s="454"/>
      <c r="BW251" s="195"/>
      <c r="BX251" s="454"/>
      <c r="BY251" s="260"/>
      <c r="BZ251" s="195"/>
      <c r="CA251" s="19"/>
    </row>
    <row r="252" spans="1:79" x14ac:dyDescent="0.2">
      <c r="A252" s="427"/>
      <c r="AG252" s="484"/>
      <c r="AV252" s="19"/>
      <c r="AW252" s="218"/>
      <c r="AX252" s="195"/>
      <c r="AY252" s="195"/>
      <c r="AZ252" s="195"/>
      <c r="BA252" s="195"/>
      <c r="BB252" s="454"/>
      <c r="BC252" s="454"/>
      <c r="BD252" s="455"/>
      <c r="BE252" s="195"/>
      <c r="BF252" s="19"/>
      <c r="BG252" s="260"/>
      <c r="BK252" s="19"/>
      <c r="BL252" s="19"/>
      <c r="BP252" s="195"/>
      <c r="BQ252" s="195"/>
      <c r="BR252" s="195"/>
      <c r="BS252" s="195"/>
      <c r="BT252" s="195"/>
      <c r="BU252" s="454"/>
      <c r="BV252" s="454"/>
      <c r="BW252" s="195"/>
      <c r="BX252" s="454"/>
      <c r="BY252" s="260"/>
      <c r="BZ252" s="195"/>
      <c r="CA252" s="19"/>
    </row>
    <row r="253" spans="1:79" x14ac:dyDescent="0.2">
      <c r="A253" s="427"/>
      <c r="AG253" s="484"/>
      <c r="AV253" s="19"/>
      <c r="AW253" s="218"/>
      <c r="AX253" s="195"/>
      <c r="AY253" s="195"/>
      <c r="AZ253" s="195"/>
      <c r="BA253" s="195"/>
      <c r="BB253" s="454"/>
      <c r="BC253" s="454"/>
      <c r="BD253" s="455"/>
      <c r="BE253" s="195"/>
      <c r="BF253" s="19"/>
      <c r="BG253" s="260"/>
      <c r="BK253" s="19"/>
      <c r="BL253" s="19"/>
      <c r="BP253" s="195"/>
      <c r="BQ253" s="195"/>
      <c r="BR253" s="195"/>
      <c r="BS253" s="195"/>
      <c r="BT253" s="195"/>
      <c r="BU253" s="454"/>
      <c r="BV253" s="454"/>
      <c r="BW253" s="195"/>
      <c r="BX253" s="454"/>
      <c r="BY253" s="260"/>
      <c r="BZ253" s="195"/>
      <c r="CA253" s="19"/>
    </row>
    <row r="254" spans="1:79" x14ac:dyDescent="0.2">
      <c r="A254" s="427"/>
      <c r="AG254" s="484"/>
      <c r="AV254" s="19"/>
      <c r="AW254" s="218"/>
      <c r="AX254" s="195"/>
      <c r="AY254" s="195"/>
      <c r="AZ254" s="195"/>
      <c r="BA254" s="195"/>
      <c r="BB254" s="454"/>
      <c r="BC254" s="454"/>
      <c r="BD254" s="455"/>
      <c r="BE254" s="195"/>
      <c r="BF254" s="19"/>
      <c r="BG254" s="260"/>
      <c r="BK254" s="19"/>
      <c r="BL254" s="19"/>
      <c r="BP254" s="195"/>
      <c r="BQ254" s="195"/>
      <c r="BR254" s="195"/>
      <c r="BS254" s="195"/>
      <c r="BT254" s="195"/>
      <c r="BU254" s="454"/>
      <c r="BV254" s="454"/>
      <c r="BW254" s="195"/>
      <c r="BX254" s="454"/>
      <c r="BY254" s="260"/>
      <c r="BZ254" s="195"/>
      <c r="CA254" s="19"/>
    </row>
    <row r="255" spans="1:79" x14ac:dyDescent="0.2">
      <c r="A255" s="427"/>
      <c r="AG255" s="484"/>
      <c r="AV255" s="19"/>
      <c r="AW255" s="218"/>
      <c r="AX255" s="195"/>
      <c r="AY255" s="195"/>
      <c r="AZ255" s="195"/>
      <c r="BA255" s="195"/>
      <c r="BB255" s="454"/>
      <c r="BC255" s="454"/>
      <c r="BD255" s="455"/>
      <c r="BE255" s="195"/>
      <c r="BF255" s="19"/>
      <c r="BG255" s="260"/>
      <c r="BK255" s="19"/>
      <c r="BL255" s="19"/>
      <c r="BP255" s="195"/>
      <c r="BQ255" s="195"/>
      <c r="BR255" s="195"/>
      <c r="BS255" s="195"/>
      <c r="BT255" s="195"/>
      <c r="BU255" s="454"/>
      <c r="BV255" s="454"/>
      <c r="BW255" s="195"/>
      <c r="BX255" s="454"/>
      <c r="BY255" s="260"/>
      <c r="BZ255" s="195"/>
      <c r="CA255" s="19"/>
    </row>
    <row r="256" spans="1:79" x14ac:dyDescent="0.2">
      <c r="A256" s="427"/>
      <c r="AG256" s="484"/>
      <c r="AV256" s="19"/>
      <c r="AW256" s="218"/>
      <c r="AX256" s="195"/>
      <c r="AY256" s="195"/>
      <c r="AZ256" s="195"/>
      <c r="BA256" s="195"/>
      <c r="BB256" s="454"/>
      <c r="BC256" s="454"/>
      <c r="BD256" s="455"/>
      <c r="BE256" s="195"/>
      <c r="BF256" s="19"/>
      <c r="BG256" s="260"/>
      <c r="BK256" s="19"/>
      <c r="BL256" s="19"/>
      <c r="BP256" s="195"/>
      <c r="BQ256" s="195"/>
      <c r="BR256" s="195"/>
      <c r="BS256" s="195"/>
      <c r="BT256" s="195"/>
      <c r="BU256" s="454"/>
      <c r="BV256" s="454"/>
      <c r="BW256" s="195"/>
      <c r="BX256" s="454"/>
      <c r="BY256" s="260"/>
      <c r="BZ256" s="195"/>
      <c r="CA256" s="19"/>
    </row>
    <row r="257" spans="1:79" x14ac:dyDescent="0.2">
      <c r="A257" s="427"/>
      <c r="AG257" s="484"/>
      <c r="AV257" s="19"/>
      <c r="AW257" s="218"/>
      <c r="AX257" s="195"/>
      <c r="AY257" s="195"/>
      <c r="AZ257" s="195"/>
      <c r="BA257" s="195"/>
      <c r="BB257" s="454"/>
      <c r="BC257" s="454"/>
      <c r="BD257" s="455"/>
      <c r="BE257" s="195"/>
      <c r="BF257" s="19"/>
      <c r="BG257" s="260"/>
      <c r="BK257" s="19"/>
      <c r="BL257" s="19"/>
      <c r="BP257" s="195"/>
      <c r="BQ257" s="195"/>
      <c r="BR257" s="195"/>
      <c r="BS257" s="195"/>
      <c r="BT257" s="195"/>
      <c r="BU257" s="454"/>
      <c r="BV257" s="454"/>
      <c r="BW257" s="195"/>
      <c r="BX257" s="454"/>
      <c r="BY257" s="260"/>
      <c r="BZ257" s="195"/>
      <c r="CA257" s="19"/>
    </row>
    <row r="258" spans="1:79" x14ac:dyDescent="0.2">
      <c r="A258" s="427"/>
      <c r="AG258" s="484"/>
      <c r="AV258" s="19"/>
      <c r="AW258" s="218"/>
      <c r="AX258" s="195"/>
      <c r="AY258" s="195"/>
      <c r="AZ258" s="195"/>
      <c r="BA258" s="195"/>
      <c r="BB258" s="454"/>
      <c r="BC258" s="454"/>
      <c r="BD258" s="455"/>
      <c r="BE258" s="195"/>
      <c r="BF258" s="19"/>
      <c r="BG258" s="260"/>
      <c r="BK258" s="19"/>
      <c r="BL258" s="19"/>
      <c r="BP258" s="195"/>
      <c r="BQ258" s="195"/>
      <c r="BR258" s="195"/>
      <c r="BS258" s="195"/>
      <c r="BT258" s="195"/>
      <c r="BU258" s="454"/>
      <c r="BV258" s="454"/>
      <c r="BW258" s="195"/>
      <c r="BX258" s="454"/>
      <c r="BY258" s="260"/>
      <c r="BZ258" s="195"/>
      <c r="CA258" s="19"/>
    </row>
    <row r="259" spans="1:79" x14ac:dyDescent="0.2">
      <c r="A259" s="427"/>
      <c r="AG259" s="484"/>
      <c r="AV259" s="19"/>
      <c r="AW259" s="218"/>
      <c r="AX259" s="195"/>
      <c r="AY259" s="195"/>
      <c r="AZ259" s="195"/>
      <c r="BA259" s="195"/>
      <c r="BB259" s="454"/>
      <c r="BC259" s="454"/>
      <c r="BD259" s="455"/>
      <c r="BE259" s="195"/>
      <c r="BF259" s="19"/>
      <c r="BG259" s="260"/>
      <c r="BK259" s="19"/>
      <c r="BL259" s="19"/>
      <c r="BP259" s="195"/>
      <c r="BQ259" s="195"/>
      <c r="BR259" s="195"/>
      <c r="BS259" s="195"/>
      <c r="BT259" s="195"/>
      <c r="BU259" s="454"/>
      <c r="BV259" s="454"/>
      <c r="BW259" s="195"/>
      <c r="BX259" s="454"/>
      <c r="BY259" s="260"/>
      <c r="BZ259" s="195"/>
      <c r="CA259" s="19"/>
    </row>
    <row r="260" spans="1:79" x14ac:dyDescent="0.2">
      <c r="A260" s="427"/>
      <c r="AG260" s="484"/>
      <c r="AV260" s="19"/>
      <c r="AW260" s="218"/>
      <c r="AX260" s="195"/>
      <c r="AY260" s="195"/>
      <c r="AZ260" s="195"/>
      <c r="BA260" s="195"/>
      <c r="BB260" s="454"/>
      <c r="BC260" s="454"/>
      <c r="BD260" s="455"/>
      <c r="BE260" s="195"/>
      <c r="BF260" s="19"/>
      <c r="BG260" s="260"/>
      <c r="BK260" s="19"/>
      <c r="BL260" s="19"/>
      <c r="BP260" s="195"/>
      <c r="BQ260" s="195"/>
      <c r="BR260" s="195"/>
      <c r="BS260" s="195"/>
      <c r="BT260" s="195"/>
      <c r="BU260" s="454"/>
      <c r="BV260" s="454"/>
      <c r="BW260" s="195"/>
      <c r="BX260" s="454"/>
      <c r="BY260" s="260"/>
      <c r="BZ260" s="195"/>
      <c r="CA260" s="19"/>
    </row>
    <row r="261" spans="1:79" x14ac:dyDescent="0.2">
      <c r="A261" s="427"/>
      <c r="AG261" s="484"/>
      <c r="AV261" s="19"/>
      <c r="AW261" s="218"/>
      <c r="AX261" s="195"/>
      <c r="AY261" s="195"/>
      <c r="AZ261" s="195"/>
      <c r="BA261" s="195"/>
      <c r="BB261" s="454"/>
      <c r="BC261" s="454"/>
      <c r="BD261" s="455"/>
      <c r="BE261" s="195"/>
      <c r="BF261" s="19"/>
      <c r="BG261" s="260"/>
      <c r="BK261" s="19"/>
      <c r="BL261" s="19"/>
      <c r="BP261" s="195"/>
      <c r="BQ261" s="195"/>
      <c r="BR261" s="195"/>
      <c r="BS261" s="195"/>
      <c r="BT261" s="195"/>
      <c r="BU261" s="454"/>
      <c r="BV261" s="454"/>
      <c r="BW261" s="195"/>
      <c r="BX261" s="454"/>
      <c r="BY261" s="260"/>
      <c r="BZ261" s="195"/>
      <c r="CA261" s="19"/>
    </row>
    <row r="262" spans="1:79" x14ac:dyDescent="0.2">
      <c r="A262" s="427"/>
      <c r="AG262" s="484"/>
      <c r="AV262" s="19"/>
      <c r="AW262" s="218"/>
      <c r="AX262" s="195"/>
      <c r="AY262" s="195"/>
      <c r="AZ262" s="195"/>
      <c r="BA262" s="195"/>
      <c r="BB262" s="454"/>
      <c r="BC262" s="454"/>
      <c r="BD262" s="455"/>
      <c r="BE262" s="195"/>
      <c r="BF262" s="19"/>
      <c r="BG262" s="260"/>
      <c r="BK262" s="19"/>
      <c r="BL262" s="19"/>
      <c r="BP262" s="195"/>
      <c r="BQ262" s="195"/>
      <c r="BR262" s="195"/>
      <c r="BS262" s="195"/>
      <c r="BT262" s="195"/>
      <c r="BU262" s="454"/>
      <c r="BV262" s="454"/>
      <c r="BW262" s="195"/>
      <c r="BX262" s="454"/>
      <c r="BY262" s="260"/>
      <c r="BZ262" s="195"/>
      <c r="CA262" s="19"/>
    </row>
    <row r="263" spans="1:79" x14ac:dyDescent="0.2">
      <c r="A263" s="427"/>
      <c r="AG263" s="484"/>
      <c r="AV263" s="19"/>
      <c r="AW263" s="218"/>
      <c r="AX263" s="195"/>
      <c r="AY263" s="195"/>
      <c r="AZ263" s="195"/>
      <c r="BA263" s="195"/>
      <c r="BB263" s="454"/>
      <c r="BC263" s="454"/>
      <c r="BD263" s="455"/>
      <c r="BE263" s="195"/>
      <c r="BF263" s="19"/>
      <c r="BG263" s="260"/>
      <c r="BK263" s="19"/>
      <c r="BL263" s="19"/>
      <c r="BP263" s="195"/>
      <c r="BQ263" s="195"/>
      <c r="BR263" s="195"/>
      <c r="BS263" s="195"/>
      <c r="BT263" s="195"/>
      <c r="BU263" s="454"/>
      <c r="BV263" s="454"/>
      <c r="BW263" s="195"/>
      <c r="BX263" s="454"/>
      <c r="BY263" s="260"/>
      <c r="BZ263" s="195"/>
      <c r="CA263" s="19"/>
    </row>
    <row r="264" spans="1:79" x14ac:dyDescent="0.2">
      <c r="A264" s="427"/>
      <c r="AG264" s="484"/>
      <c r="AV264" s="19"/>
      <c r="AW264" s="218"/>
      <c r="AX264" s="195"/>
      <c r="AY264" s="195"/>
      <c r="AZ264" s="195"/>
      <c r="BA264" s="195"/>
      <c r="BB264" s="454"/>
      <c r="BC264" s="454"/>
      <c r="BD264" s="455"/>
      <c r="BE264" s="195"/>
      <c r="BF264" s="19"/>
      <c r="BG264" s="260"/>
      <c r="BK264" s="19"/>
      <c r="BL264" s="19"/>
      <c r="BP264" s="195"/>
      <c r="BQ264" s="195"/>
      <c r="BR264" s="195"/>
      <c r="BS264" s="195"/>
      <c r="BT264" s="195"/>
      <c r="BU264" s="454"/>
      <c r="BV264" s="454"/>
      <c r="BW264" s="195"/>
      <c r="BX264" s="454"/>
      <c r="BY264" s="260"/>
      <c r="BZ264" s="195"/>
      <c r="CA264" s="19"/>
    </row>
    <row r="265" spans="1:79" x14ac:dyDescent="0.2">
      <c r="A265" s="427"/>
      <c r="AG265" s="484"/>
      <c r="AV265" s="19"/>
      <c r="AW265" s="218"/>
      <c r="AX265" s="195"/>
      <c r="AY265" s="195"/>
      <c r="AZ265" s="195"/>
      <c r="BA265" s="195"/>
      <c r="BB265" s="454"/>
      <c r="BC265" s="454"/>
      <c r="BD265" s="455"/>
      <c r="BE265" s="195"/>
      <c r="BF265" s="19"/>
      <c r="BG265" s="260"/>
      <c r="BK265" s="19"/>
      <c r="BL265" s="19"/>
      <c r="BP265" s="195"/>
      <c r="BQ265" s="195"/>
      <c r="BR265" s="195"/>
      <c r="BS265" s="195"/>
      <c r="BT265" s="195"/>
      <c r="BU265" s="454"/>
      <c r="BV265" s="454"/>
      <c r="BW265" s="195"/>
      <c r="BX265" s="454"/>
      <c r="BY265" s="260"/>
      <c r="BZ265" s="195"/>
      <c r="CA265" s="19"/>
    </row>
    <row r="266" spans="1:79" x14ac:dyDescent="0.2">
      <c r="A266" s="427"/>
      <c r="AG266" s="484"/>
      <c r="AV266" s="19"/>
      <c r="AW266" s="218"/>
      <c r="AX266" s="195"/>
      <c r="AY266" s="195"/>
      <c r="AZ266" s="195"/>
      <c r="BA266" s="195"/>
      <c r="BB266" s="454"/>
      <c r="BC266" s="454"/>
      <c r="BD266" s="455"/>
      <c r="BE266" s="195"/>
      <c r="BF266" s="19"/>
      <c r="BG266" s="260"/>
      <c r="BK266" s="19"/>
      <c r="BL266" s="19"/>
      <c r="BP266" s="195"/>
      <c r="BQ266" s="195"/>
      <c r="BR266" s="195"/>
      <c r="BS266" s="195"/>
      <c r="BT266" s="195"/>
      <c r="BU266" s="454"/>
      <c r="BV266" s="454"/>
      <c r="BW266" s="195"/>
      <c r="BX266" s="454"/>
      <c r="BY266" s="260"/>
      <c r="BZ266" s="195"/>
      <c r="CA266" s="19"/>
    </row>
    <row r="267" spans="1:79" x14ac:dyDescent="0.2">
      <c r="A267" s="427"/>
      <c r="AG267" s="484"/>
      <c r="AV267" s="19"/>
      <c r="AW267" s="218"/>
      <c r="AX267" s="195"/>
      <c r="AY267" s="195"/>
      <c r="AZ267" s="195"/>
      <c r="BA267" s="195"/>
      <c r="BB267" s="454"/>
      <c r="BC267" s="454"/>
      <c r="BD267" s="455"/>
      <c r="BE267" s="195"/>
      <c r="BF267" s="19"/>
      <c r="BG267" s="260"/>
      <c r="BK267" s="19"/>
      <c r="BL267" s="19"/>
      <c r="BP267" s="195"/>
      <c r="BQ267" s="195"/>
      <c r="BR267" s="195"/>
      <c r="BS267" s="195"/>
      <c r="BT267" s="195"/>
      <c r="BU267" s="454"/>
      <c r="BV267" s="454"/>
      <c r="BW267" s="195"/>
      <c r="BX267" s="454"/>
      <c r="BY267" s="260"/>
      <c r="BZ267" s="195"/>
      <c r="CA267" s="19"/>
    </row>
    <row r="268" spans="1:79" x14ac:dyDescent="0.2">
      <c r="A268" s="427"/>
      <c r="AG268" s="484"/>
      <c r="AV268" s="19"/>
      <c r="AW268" s="218"/>
      <c r="AX268" s="195"/>
      <c r="AY268" s="195"/>
      <c r="AZ268" s="195"/>
      <c r="BA268" s="195"/>
      <c r="BB268" s="454"/>
      <c r="BC268" s="454"/>
      <c r="BD268" s="455"/>
      <c r="BE268" s="195"/>
      <c r="BF268" s="19"/>
      <c r="BG268" s="260"/>
      <c r="BK268" s="19"/>
      <c r="BL268" s="19"/>
      <c r="BP268" s="195"/>
      <c r="BQ268" s="195"/>
      <c r="BR268" s="195"/>
      <c r="BS268" s="195"/>
      <c r="BT268" s="195"/>
      <c r="BU268" s="454"/>
      <c r="BV268" s="454"/>
      <c r="BW268" s="195"/>
      <c r="BX268" s="454"/>
      <c r="BY268" s="260"/>
      <c r="BZ268" s="195"/>
      <c r="CA268" s="19"/>
    </row>
    <row r="269" spans="1:79" x14ac:dyDescent="0.2">
      <c r="A269" s="427"/>
      <c r="AG269" s="484"/>
      <c r="AV269" s="19"/>
      <c r="AW269" s="218"/>
      <c r="AX269" s="195"/>
      <c r="AY269" s="195"/>
      <c r="AZ269" s="195"/>
      <c r="BA269" s="195"/>
      <c r="BB269" s="454"/>
      <c r="BC269" s="454"/>
      <c r="BD269" s="455"/>
      <c r="BE269" s="195"/>
      <c r="BF269" s="19"/>
      <c r="BG269" s="260"/>
      <c r="BK269" s="19"/>
      <c r="BL269" s="19"/>
      <c r="BP269" s="195"/>
      <c r="BQ269" s="195"/>
      <c r="BR269" s="195"/>
      <c r="BS269" s="195"/>
      <c r="BT269" s="195"/>
      <c r="BU269" s="454"/>
      <c r="BV269" s="454"/>
      <c r="BW269" s="195"/>
      <c r="BX269" s="454"/>
      <c r="BY269" s="260"/>
      <c r="BZ269" s="195"/>
      <c r="CA269" s="19"/>
    </row>
    <row r="270" spans="1:79" x14ac:dyDescent="0.2">
      <c r="A270" s="427"/>
      <c r="AG270" s="484"/>
      <c r="AV270" s="19"/>
      <c r="AW270" s="218"/>
      <c r="AX270" s="195"/>
      <c r="AY270" s="195"/>
      <c r="AZ270" s="195"/>
      <c r="BA270" s="195"/>
      <c r="BB270" s="454"/>
      <c r="BC270" s="454"/>
      <c r="BD270" s="455"/>
      <c r="BE270" s="195"/>
      <c r="BF270" s="19"/>
      <c r="BG270" s="260"/>
      <c r="BK270" s="19"/>
      <c r="BL270" s="19"/>
      <c r="BP270" s="195"/>
      <c r="BQ270" s="195"/>
      <c r="BR270" s="195"/>
      <c r="BS270" s="195"/>
      <c r="BT270" s="195"/>
      <c r="BU270" s="454"/>
      <c r="BV270" s="454"/>
      <c r="BW270" s="195"/>
      <c r="BX270" s="454"/>
      <c r="BY270" s="260"/>
      <c r="BZ270" s="195"/>
      <c r="CA270" s="19"/>
    </row>
    <row r="271" spans="1:79" x14ac:dyDescent="0.2">
      <c r="A271" s="427"/>
      <c r="AG271" s="484"/>
      <c r="AV271" s="19"/>
      <c r="AW271" s="218"/>
      <c r="AX271" s="195"/>
      <c r="AY271" s="195"/>
      <c r="AZ271" s="195"/>
      <c r="BA271" s="195"/>
      <c r="BB271" s="454"/>
      <c r="BC271" s="454"/>
      <c r="BD271" s="455"/>
      <c r="BE271" s="195"/>
      <c r="BF271" s="19"/>
      <c r="BG271" s="260"/>
      <c r="BK271" s="19"/>
      <c r="BL271" s="19"/>
      <c r="BP271" s="195"/>
      <c r="BQ271" s="195"/>
      <c r="BR271" s="195"/>
      <c r="BS271" s="195"/>
      <c r="BT271" s="195"/>
      <c r="BU271" s="454"/>
      <c r="BV271" s="454"/>
      <c r="BW271" s="195"/>
      <c r="BX271" s="454"/>
      <c r="BY271" s="260"/>
      <c r="BZ271" s="195"/>
      <c r="CA271" s="19"/>
    </row>
    <row r="272" spans="1:79" x14ac:dyDescent="0.2">
      <c r="A272" s="427"/>
      <c r="AG272" s="484"/>
      <c r="AV272" s="19"/>
      <c r="AW272" s="218"/>
      <c r="AX272" s="195"/>
      <c r="AY272" s="195"/>
      <c r="AZ272" s="195"/>
      <c r="BA272" s="195"/>
      <c r="BB272" s="454"/>
      <c r="BC272" s="454"/>
      <c r="BD272" s="455"/>
      <c r="BE272" s="195"/>
      <c r="BF272" s="19"/>
      <c r="BG272" s="260"/>
      <c r="BK272" s="19"/>
      <c r="BL272" s="19"/>
      <c r="BP272" s="195"/>
      <c r="BQ272" s="195"/>
      <c r="BR272" s="195"/>
      <c r="BS272" s="195"/>
      <c r="BT272" s="195"/>
      <c r="BU272" s="454"/>
      <c r="BV272" s="454"/>
      <c r="BW272" s="195"/>
      <c r="BX272" s="454"/>
      <c r="BY272" s="260"/>
      <c r="BZ272" s="195"/>
      <c r="CA272" s="19"/>
    </row>
    <row r="273" spans="1:79" x14ac:dyDescent="0.2">
      <c r="A273" s="427"/>
      <c r="AG273" s="484"/>
      <c r="AV273" s="19"/>
      <c r="AW273" s="218"/>
      <c r="AX273" s="195"/>
      <c r="AY273" s="195"/>
      <c r="AZ273" s="195"/>
      <c r="BA273" s="195"/>
      <c r="BB273" s="454"/>
      <c r="BC273" s="454"/>
      <c r="BD273" s="455"/>
      <c r="BE273" s="195"/>
      <c r="BF273" s="19"/>
      <c r="BG273" s="260"/>
      <c r="BK273" s="19"/>
      <c r="BL273" s="19"/>
      <c r="BP273" s="195"/>
      <c r="BQ273" s="195"/>
      <c r="BR273" s="195"/>
      <c r="BS273" s="195"/>
      <c r="BT273" s="195"/>
      <c r="BU273" s="454"/>
      <c r="BV273" s="454"/>
      <c r="BW273" s="195"/>
      <c r="BX273" s="454"/>
      <c r="BY273" s="260"/>
      <c r="BZ273" s="195"/>
      <c r="CA273" s="19"/>
    </row>
    <row r="274" spans="1:79" x14ac:dyDescent="0.2">
      <c r="A274" s="427"/>
      <c r="AG274" s="484"/>
      <c r="AV274" s="19"/>
      <c r="AW274" s="218"/>
      <c r="AX274" s="195"/>
      <c r="AY274" s="195"/>
      <c r="AZ274" s="195"/>
      <c r="BA274" s="195"/>
      <c r="BB274" s="454"/>
      <c r="BC274" s="454"/>
      <c r="BD274" s="455"/>
      <c r="BE274" s="195"/>
      <c r="BF274" s="19"/>
      <c r="BG274" s="260"/>
      <c r="BK274" s="19"/>
      <c r="BL274" s="19"/>
      <c r="BP274" s="195"/>
      <c r="BQ274" s="195"/>
      <c r="BR274" s="195"/>
      <c r="BS274" s="195"/>
      <c r="BT274" s="195"/>
      <c r="BU274" s="454"/>
      <c r="BV274" s="454"/>
      <c r="BW274" s="195"/>
      <c r="BX274" s="454"/>
      <c r="BY274" s="260"/>
      <c r="BZ274" s="195"/>
      <c r="CA274" s="19"/>
    </row>
    <row r="275" spans="1:79" x14ac:dyDescent="0.2">
      <c r="A275" s="427"/>
      <c r="AG275" s="484"/>
      <c r="AV275" s="19"/>
      <c r="AW275" s="218"/>
      <c r="AX275" s="195"/>
      <c r="AY275" s="195"/>
      <c r="AZ275" s="195"/>
      <c r="BA275" s="195"/>
      <c r="BB275" s="454"/>
      <c r="BC275" s="454"/>
      <c r="BD275" s="455"/>
      <c r="BE275" s="195"/>
      <c r="BF275" s="19"/>
      <c r="BG275" s="260"/>
      <c r="BK275" s="19"/>
      <c r="BL275" s="19"/>
      <c r="BP275" s="195"/>
      <c r="BQ275" s="195"/>
      <c r="BR275" s="195"/>
      <c r="BS275" s="195"/>
      <c r="BT275" s="195"/>
      <c r="BU275" s="454"/>
      <c r="BV275" s="454"/>
      <c r="BW275" s="195"/>
      <c r="BX275" s="454"/>
      <c r="BY275" s="260"/>
      <c r="BZ275" s="195"/>
      <c r="CA275" s="19"/>
    </row>
    <row r="276" spans="1:79" x14ac:dyDescent="0.2">
      <c r="A276" s="427"/>
      <c r="AG276" s="484"/>
      <c r="AV276" s="19"/>
      <c r="AW276" s="218"/>
      <c r="AX276" s="195"/>
      <c r="AY276" s="195"/>
      <c r="AZ276" s="195"/>
      <c r="BA276" s="195"/>
      <c r="BB276" s="454"/>
      <c r="BC276" s="454"/>
      <c r="BD276" s="455"/>
      <c r="BE276" s="195"/>
      <c r="BF276" s="19"/>
      <c r="BG276" s="260"/>
      <c r="BK276" s="19"/>
      <c r="BL276" s="19"/>
      <c r="BP276" s="195"/>
      <c r="BQ276" s="195"/>
      <c r="BR276" s="195"/>
      <c r="BS276" s="195"/>
      <c r="BT276" s="195"/>
      <c r="BU276" s="454"/>
      <c r="BV276" s="454"/>
      <c r="BW276" s="195"/>
      <c r="BX276" s="454"/>
      <c r="BY276" s="260"/>
      <c r="BZ276" s="195"/>
      <c r="CA276" s="19"/>
    </row>
    <row r="277" spans="1:79" x14ac:dyDescent="0.2">
      <c r="A277" s="427"/>
      <c r="AG277" s="484"/>
      <c r="AV277" s="19"/>
      <c r="AW277" s="218"/>
      <c r="AX277" s="195"/>
      <c r="AY277" s="195"/>
      <c r="AZ277" s="195"/>
      <c r="BA277" s="195"/>
      <c r="BB277" s="454"/>
      <c r="BC277" s="454"/>
      <c r="BD277" s="455"/>
      <c r="BE277" s="195"/>
      <c r="BF277" s="19"/>
      <c r="BG277" s="260"/>
      <c r="BK277" s="19"/>
      <c r="BL277" s="19"/>
      <c r="BP277" s="195"/>
      <c r="BQ277" s="195"/>
      <c r="BR277" s="195"/>
      <c r="BS277" s="195"/>
      <c r="BT277" s="195"/>
      <c r="BU277" s="454"/>
      <c r="BV277" s="454"/>
      <c r="BW277" s="195"/>
      <c r="BX277" s="454"/>
      <c r="BY277" s="260"/>
      <c r="BZ277" s="195"/>
      <c r="CA277" s="19"/>
    </row>
    <row r="278" spans="1:79" x14ac:dyDescent="0.2">
      <c r="A278" s="427"/>
      <c r="AG278" s="484"/>
      <c r="AV278" s="19"/>
      <c r="AW278" s="218"/>
      <c r="AX278" s="195"/>
      <c r="AY278" s="195"/>
      <c r="AZ278" s="195"/>
      <c r="BA278" s="195"/>
      <c r="BB278" s="454"/>
      <c r="BC278" s="454"/>
      <c r="BD278" s="455"/>
      <c r="BE278" s="195"/>
      <c r="BF278" s="19"/>
      <c r="BG278" s="260"/>
      <c r="BK278" s="19"/>
      <c r="BL278" s="19"/>
      <c r="BP278" s="195"/>
      <c r="BQ278" s="195"/>
      <c r="BR278" s="195"/>
      <c r="BS278" s="195"/>
      <c r="BT278" s="195"/>
      <c r="BU278" s="454"/>
      <c r="BV278" s="454"/>
      <c r="BW278" s="195"/>
      <c r="BX278" s="454"/>
      <c r="BY278" s="260"/>
      <c r="BZ278" s="195"/>
      <c r="CA278" s="19"/>
    </row>
    <row r="279" spans="1:79" x14ac:dyDescent="0.2">
      <c r="A279" s="427"/>
      <c r="AG279" s="484"/>
      <c r="AV279" s="19"/>
      <c r="AW279" s="218"/>
      <c r="AX279" s="195"/>
      <c r="AY279" s="195"/>
      <c r="AZ279" s="195"/>
      <c r="BA279" s="195"/>
      <c r="BB279" s="454"/>
      <c r="BC279" s="454"/>
      <c r="BD279" s="455"/>
      <c r="BE279" s="195"/>
      <c r="BF279" s="19"/>
      <c r="BG279" s="260"/>
      <c r="BK279" s="19"/>
      <c r="BL279" s="19"/>
      <c r="BP279" s="195"/>
      <c r="BQ279" s="195"/>
      <c r="BR279" s="195"/>
      <c r="BS279" s="195"/>
      <c r="BT279" s="195"/>
      <c r="BU279" s="454"/>
      <c r="BV279" s="454"/>
      <c r="BW279" s="195"/>
      <c r="BX279" s="454"/>
      <c r="BY279" s="260"/>
      <c r="BZ279" s="195"/>
      <c r="CA279" s="19"/>
    </row>
    <row r="280" spans="1:79" x14ac:dyDescent="0.2">
      <c r="A280" s="427"/>
      <c r="AG280" s="484"/>
      <c r="AV280" s="19"/>
      <c r="AW280" s="218"/>
      <c r="AX280" s="195"/>
      <c r="AY280" s="195"/>
      <c r="AZ280" s="195"/>
      <c r="BA280" s="195"/>
      <c r="BB280" s="454"/>
      <c r="BC280" s="454"/>
      <c r="BD280" s="455"/>
      <c r="BE280" s="195"/>
      <c r="BF280" s="19"/>
      <c r="BG280" s="260"/>
      <c r="BK280" s="19"/>
      <c r="BL280" s="19"/>
      <c r="BP280" s="195"/>
      <c r="BQ280" s="195"/>
      <c r="BR280" s="195"/>
      <c r="BS280" s="195"/>
      <c r="BT280" s="195"/>
      <c r="BU280" s="454"/>
      <c r="BV280" s="454"/>
      <c r="BW280" s="195"/>
      <c r="BX280" s="454"/>
      <c r="BY280" s="260"/>
      <c r="BZ280" s="195"/>
      <c r="CA280" s="19"/>
    </row>
    <row r="281" spans="1:79" x14ac:dyDescent="0.2">
      <c r="A281" s="427"/>
      <c r="AG281" s="484"/>
      <c r="AV281" s="19"/>
      <c r="AW281" s="218"/>
      <c r="AX281" s="195"/>
      <c r="AY281" s="195"/>
      <c r="AZ281" s="195"/>
      <c r="BA281" s="195"/>
      <c r="BB281" s="454"/>
      <c r="BC281" s="454"/>
      <c r="BD281" s="455"/>
      <c r="BE281" s="195"/>
      <c r="BF281" s="19"/>
      <c r="BG281" s="260"/>
      <c r="BK281" s="19"/>
      <c r="BL281" s="19"/>
      <c r="BP281" s="195"/>
      <c r="BQ281" s="195"/>
      <c r="BR281" s="195"/>
      <c r="BS281" s="195"/>
      <c r="BT281" s="195"/>
      <c r="BU281" s="454"/>
      <c r="BV281" s="454"/>
      <c r="BW281" s="195"/>
      <c r="BX281" s="454"/>
      <c r="BY281" s="260"/>
      <c r="BZ281" s="195"/>
      <c r="CA281" s="19"/>
    </row>
    <row r="282" spans="1:79" x14ac:dyDescent="0.2">
      <c r="A282" s="427"/>
      <c r="AG282" s="484"/>
      <c r="AV282" s="19"/>
      <c r="AW282" s="218"/>
      <c r="AX282" s="195"/>
      <c r="AY282" s="195"/>
      <c r="AZ282" s="195"/>
      <c r="BA282" s="195"/>
      <c r="BB282" s="454"/>
      <c r="BC282" s="454"/>
      <c r="BD282" s="455"/>
      <c r="BE282" s="195"/>
      <c r="BF282" s="19"/>
      <c r="BG282" s="260"/>
      <c r="BK282" s="19"/>
      <c r="BL282" s="19"/>
      <c r="BP282" s="195"/>
      <c r="BQ282" s="195"/>
      <c r="BR282" s="195"/>
      <c r="BS282" s="195"/>
      <c r="BT282" s="195"/>
      <c r="BU282" s="454"/>
      <c r="BV282" s="454"/>
      <c r="BW282" s="195"/>
      <c r="BX282" s="454"/>
      <c r="BY282" s="260"/>
      <c r="BZ282" s="195"/>
      <c r="CA282" s="19"/>
    </row>
    <row r="283" spans="1:79" x14ac:dyDescent="0.2">
      <c r="A283" s="427"/>
      <c r="AG283" s="484"/>
      <c r="AV283" s="19"/>
      <c r="AW283" s="218"/>
      <c r="AX283" s="195"/>
      <c r="AY283" s="195"/>
      <c r="AZ283" s="195"/>
      <c r="BA283" s="195"/>
      <c r="BB283" s="454"/>
      <c r="BC283" s="454"/>
      <c r="BD283" s="455"/>
      <c r="BE283" s="195"/>
      <c r="BF283" s="19"/>
      <c r="BG283" s="260"/>
      <c r="BK283" s="19"/>
      <c r="BL283" s="19"/>
      <c r="BP283" s="195"/>
      <c r="BQ283" s="195"/>
      <c r="BR283" s="195"/>
      <c r="BS283" s="195"/>
      <c r="BT283" s="195"/>
      <c r="BU283" s="454"/>
      <c r="BV283" s="454"/>
      <c r="BW283" s="195"/>
      <c r="BX283" s="454"/>
      <c r="BY283" s="260"/>
      <c r="BZ283" s="195"/>
      <c r="CA283" s="19"/>
    </row>
    <row r="284" spans="1:79" x14ac:dyDescent="0.2">
      <c r="A284" s="427"/>
      <c r="AG284" s="484"/>
      <c r="AV284" s="19"/>
      <c r="AW284" s="218"/>
      <c r="AX284" s="195"/>
      <c r="AY284" s="195"/>
      <c r="AZ284" s="195"/>
      <c r="BA284" s="195"/>
      <c r="BB284" s="454"/>
      <c r="BC284" s="454"/>
      <c r="BD284" s="455"/>
      <c r="BE284" s="195"/>
      <c r="BF284" s="19"/>
      <c r="BG284" s="260"/>
      <c r="BK284" s="19"/>
      <c r="BL284" s="19"/>
      <c r="BP284" s="195"/>
      <c r="BQ284" s="195"/>
      <c r="BR284" s="195"/>
      <c r="BS284" s="195"/>
      <c r="BT284" s="195"/>
      <c r="BU284" s="454"/>
      <c r="BV284" s="454"/>
      <c r="BW284" s="195"/>
      <c r="BX284" s="454"/>
      <c r="BY284" s="260"/>
      <c r="BZ284" s="195"/>
      <c r="CA284" s="19"/>
    </row>
    <row r="285" spans="1:79" x14ac:dyDescent="0.2">
      <c r="A285" s="427"/>
      <c r="AG285" s="484"/>
      <c r="AV285" s="19"/>
      <c r="AW285" s="218"/>
      <c r="AX285" s="195"/>
      <c r="AY285" s="195"/>
      <c r="AZ285" s="195"/>
      <c r="BA285" s="195"/>
      <c r="BB285" s="454"/>
      <c r="BC285" s="454"/>
      <c r="BD285" s="455"/>
      <c r="BE285" s="195"/>
      <c r="BF285" s="19"/>
      <c r="BG285" s="260"/>
      <c r="BK285" s="19"/>
      <c r="BL285" s="19"/>
      <c r="BP285" s="195"/>
      <c r="BQ285" s="195"/>
      <c r="BR285" s="195"/>
      <c r="BS285" s="195"/>
      <c r="BT285" s="195"/>
      <c r="BU285" s="454"/>
      <c r="BV285" s="454"/>
      <c r="BW285" s="195"/>
      <c r="BX285" s="454"/>
      <c r="BY285" s="260"/>
      <c r="BZ285" s="195"/>
      <c r="CA285" s="19"/>
    </row>
    <row r="286" spans="1:79" x14ac:dyDescent="0.2">
      <c r="A286" s="427"/>
      <c r="AG286" s="484"/>
      <c r="AV286" s="19"/>
      <c r="AW286" s="218"/>
      <c r="AX286" s="195"/>
      <c r="AY286" s="195"/>
      <c r="AZ286" s="195"/>
      <c r="BA286" s="195"/>
      <c r="BB286" s="454"/>
      <c r="BC286" s="454"/>
      <c r="BD286" s="455"/>
      <c r="BE286" s="195"/>
      <c r="BF286" s="19"/>
      <c r="BG286" s="260"/>
      <c r="BK286" s="19"/>
      <c r="BL286" s="19"/>
      <c r="BP286" s="195"/>
      <c r="BQ286" s="195"/>
      <c r="BR286" s="195"/>
      <c r="BS286" s="195"/>
      <c r="BT286" s="195"/>
      <c r="BU286" s="454"/>
      <c r="BV286" s="454"/>
      <c r="BW286" s="195"/>
      <c r="BX286" s="454"/>
      <c r="BY286" s="260"/>
      <c r="BZ286" s="195"/>
      <c r="CA286" s="19"/>
    </row>
    <row r="287" spans="1:79" x14ac:dyDescent="0.2">
      <c r="A287" s="427"/>
      <c r="AG287" s="484"/>
      <c r="AV287" s="19"/>
      <c r="AW287" s="218"/>
      <c r="AX287" s="195"/>
      <c r="AY287" s="195"/>
      <c r="AZ287" s="195"/>
      <c r="BA287" s="195"/>
      <c r="BB287" s="454"/>
      <c r="BC287" s="454"/>
      <c r="BD287" s="455"/>
      <c r="BE287" s="195"/>
      <c r="BF287" s="19"/>
      <c r="BG287" s="260"/>
      <c r="BK287" s="19"/>
      <c r="BL287" s="19"/>
      <c r="BP287" s="195"/>
      <c r="BQ287" s="195"/>
      <c r="BR287" s="195"/>
      <c r="BS287" s="195"/>
      <c r="BT287" s="195"/>
      <c r="BU287" s="454"/>
      <c r="BV287" s="454"/>
      <c r="BW287" s="195"/>
      <c r="BX287" s="454"/>
      <c r="BY287" s="260"/>
      <c r="BZ287" s="195"/>
      <c r="CA287" s="19"/>
    </row>
    <row r="288" spans="1:79" x14ac:dyDescent="0.2">
      <c r="A288" s="427"/>
      <c r="AG288" s="484"/>
      <c r="AV288" s="19"/>
      <c r="AW288" s="218"/>
      <c r="AX288" s="195"/>
      <c r="AY288" s="195"/>
      <c r="AZ288" s="195"/>
      <c r="BA288" s="195"/>
      <c r="BB288" s="454"/>
      <c r="BC288" s="454"/>
      <c r="BD288" s="455"/>
      <c r="BE288" s="195"/>
      <c r="BF288" s="19"/>
      <c r="BG288" s="260"/>
      <c r="BK288" s="19"/>
      <c r="BL288" s="19"/>
      <c r="BP288" s="195"/>
      <c r="BQ288" s="195"/>
      <c r="BR288" s="195"/>
      <c r="BS288" s="195"/>
      <c r="BT288" s="195"/>
      <c r="BU288" s="454"/>
      <c r="BV288" s="454"/>
      <c r="BW288" s="195"/>
      <c r="BX288" s="454"/>
      <c r="BY288" s="260"/>
      <c r="BZ288" s="195"/>
      <c r="CA288" s="19"/>
    </row>
    <row r="289" spans="1:79" x14ac:dyDescent="0.2">
      <c r="A289" s="477"/>
      <c r="B289" s="419"/>
      <c r="C289" s="419"/>
      <c r="D289" s="419"/>
      <c r="E289" s="419"/>
      <c r="F289" s="419"/>
      <c r="G289" s="419"/>
      <c r="H289" s="419"/>
      <c r="I289" s="419"/>
      <c r="J289" s="419"/>
      <c r="K289" s="419"/>
      <c r="L289" s="419"/>
      <c r="M289" s="419"/>
      <c r="N289" s="419"/>
      <c r="O289" s="419"/>
      <c r="P289" s="419"/>
      <c r="Q289" s="419"/>
      <c r="R289" s="419"/>
      <c r="S289" s="419"/>
      <c r="T289" s="419"/>
      <c r="U289" s="419"/>
      <c r="V289" s="419"/>
      <c r="W289" s="419"/>
      <c r="X289" s="419"/>
      <c r="Y289" s="419"/>
      <c r="Z289" s="419"/>
      <c r="AA289" s="419"/>
      <c r="AB289" s="419"/>
      <c r="AC289" s="419"/>
      <c r="AD289" s="419"/>
      <c r="AE289" s="419"/>
      <c r="AF289" s="478"/>
      <c r="AG289" s="479"/>
      <c r="AH289" s="419"/>
      <c r="AI289" s="419"/>
      <c r="AJ289" s="419"/>
      <c r="AK289" s="419"/>
      <c r="AL289" s="419"/>
      <c r="AM289" s="419"/>
      <c r="AN289" s="419"/>
      <c r="AO289" s="419"/>
      <c r="AP289" s="419"/>
      <c r="AQ289" s="419"/>
      <c r="AR289" s="419"/>
      <c r="AS289" s="419"/>
      <c r="AT289" s="419"/>
      <c r="AU289" s="419"/>
      <c r="AV289" s="478"/>
      <c r="AW289" s="257"/>
      <c r="AX289" s="258"/>
      <c r="AY289" s="258"/>
      <c r="AZ289" s="258"/>
      <c r="BA289" s="258"/>
      <c r="BB289" s="492"/>
      <c r="BC289" s="492"/>
      <c r="BD289" s="480"/>
      <c r="BE289" s="195"/>
      <c r="BF289" s="19"/>
      <c r="BG289" s="260"/>
      <c r="BK289" s="19"/>
      <c r="BL289" s="19"/>
      <c r="BP289" s="195"/>
      <c r="BQ289" s="195"/>
      <c r="BR289" s="195"/>
      <c r="BS289" s="195"/>
      <c r="BT289" s="195"/>
      <c r="BU289" s="454"/>
      <c r="BV289" s="454"/>
      <c r="BW289" s="195"/>
      <c r="BX289" s="454"/>
      <c r="BY289" s="260"/>
      <c r="BZ289" s="195"/>
      <c r="CA289" s="19"/>
    </row>
    <row r="290" spans="1:79" x14ac:dyDescent="0.2">
      <c r="A290" s="472"/>
      <c r="B290" s="472"/>
      <c r="C290" s="472"/>
      <c r="D290" s="472"/>
      <c r="E290" s="472"/>
      <c r="F290" s="472"/>
      <c r="G290" s="472"/>
      <c r="H290" s="472"/>
      <c r="I290" s="472"/>
      <c r="J290" s="472"/>
      <c r="K290" s="472"/>
      <c r="L290" s="472"/>
      <c r="M290" s="472"/>
      <c r="N290" s="472"/>
      <c r="O290" s="472"/>
      <c r="P290" s="472"/>
      <c r="Q290" s="472"/>
      <c r="R290" s="472"/>
      <c r="S290" s="472"/>
      <c r="T290" s="472"/>
      <c r="U290" s="472"/>
      <c r="V290" s="472"/>
      <c r="W290" s="472"/>
      <c r="X290" s="472"/>
      <c r="Y290" s="472"/>
      <c r="Z290" s="472"/>
      <c r="AA290" s="472"/>
      <c r="AB290" s="472"/>
      <c r="AC290" s="472"/>
      <c r="AD290" s="472"/>
      <c r="AE290" s="472"/>
      <c r="AF290" s="472"/>
      <c r="AG290" s="472"/>
      <c r="AH290" s="472"/>
      <c r="AI290" s="472"/>
      <c r="AJ290" s="472"/>
      <c r="AK290" s="472"/>
      <c r="AL290" s="472"/>
      <c r="AM290" s="472"/>
      <c r="AN290" s="472"/>
      <c r="AO290" s="472"/>
      <c r="AP290" s="472"/>
      <c r="AQ290" s="472"/>
      <c r="AR290" s="472"/>
      <c r="AS290" s="472"/>
      <c r="AT290" s="472"/>
      <c r="AU290" s="472"/>
      <c r="AV290" s="472"/>
      <c r="AW290" s="290"/>
      <c r="AX290" s="291"/>
      <c r="AY290" s="291"/>
      <c r="AZ290" s="291"/>
      <c r="BA290" s="291"/>
      <c r="BB290" s="493"/>
      <c r="BC290" s="493"/>
      <c r="BD290" s="493"/>
      <c r="BE290" s="195"/>
      <c r="BF290" s="19"/>
      <c r="BG290" s="260"/>
      <c r="BK290" s="19"/>
      <c r="BL290" s="19"/>
      <c r="BP290" s="195"/>
      <c r="BQ290" s="195"/>
      <c r="BR290" s="195"/>
      <c r="BS290" s="195"/>
      <c r="BT290" s="195"/>
      <c r="BU290" s="454"/>
      <c r="BV290" s="454"/>
      <c r="BW290" s="195"/>
      <c r="BX290" s="454"/>
      <c r="BY290" s="260"/>
      <c r="BZ290" s="195"/>
      <c r="CA290" s="19"/>
    </row>
    <row r="291" spans="1:79" ht="18" x14ac:dyDescent="0.25">
      <c r="A291" s="486" t="s">
        <v>16</v>
      </c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G291" s="484"/>
      <c r="AV291" s="19"/>
      <c r="AW291" s="218"/>
      <c r="AX291" s="195"/>
      <c r="AY291" s="195"/>
      <c r="AZ291" s="195"/>
      <c r="BA291" s="195"/>
      <c r="BB291" s="454"/>
      <c r="BC291" s="454"/>
      <c r="BD291" s="454"/>
      <c r="BE291" s="195"/>
      <c r="BF291" s="19"/>
      <c r="BG291" s="260"/>
      <c r="BK291" s="19"/>
      <c r="BL291" s="19"/>
      <c r="BP291" s="195"/>
      <c r="BQ291" s="195"/>
      <c r="BR291" s="195"/>
      <c r="BS291" s="195"/>
      <c r="BT291" s="195"/>
      <c r="BU291" s="454"/>
      <c r="BV291" s="454"/>
      <c r="BW291" s="195"/>
      <c r="BX291" s="454"/>
      <c r="BY291" s="260"/>
      <c r="BZ291" s="195"/>
      <c r="CA291" s="19"/>
    </row>
    <row r="292" spans="1:79" ht="26.25" thickBot="1" x14ac:dyDescent="0.35">
      <c r="J292" s="18" t="s">
        <v>20</v>
      </c>
      <c r="K292" s="48"/>
      <c r="L292" s="18"/>
      <c r="M292" s="48"/>
      <c r="N292" s="48"/>
      <c r="O292" s="48"/>
      <c r="P292" s="48"/>
      <c r="Q292" s="255" t="s">
        <v>335</v>
      </c>
      <c r="R292" s="48" t="s">
        <v>337</v>
      </c>
      <c r="S292" s="487" t="e">
        <f ca="1">DEGREES(ASIN($G$5/$G$4))</f>
        <v>#NUM!</v>
      </c>
      <c r="T292" s="48"/>
      <c r="U292" s="231" t="s">
        <v>336</v>
      </c>
      <c r="V292" s="231"/>
      <c r="W292" s="231"/>
      <c r="X292" s="195"/>
      <c r="Y292" s="48"/>
      <c r="Z292" s="48"/>
      <c r="AA292" s="48"/>
      <c r="AB292" s="48"/>
      <c r="AC292" s="48"/>
      <c r="AD292" s="48"/>
      <c r="AE292" s="48"/>
      <c r="AG292" s="484"/>
      <c r="AH292" s="18" t="s">
        <v>26</v>
      </c>
      <c r="AI292" s="48"/>
      <c r="AJ292" s="18"/>
      <c r="AK292" s="48"/>
      <c r="AL292" s="48"/>
      <c r="AM292" s="48"/>
      <c r="AN292" s="48"/>
      <c r="AO292" s="255" t="s">
        <v>335</v>
      </c>
      <c r="AP292" s="48" t="s">
        <v>337</v>
      </c>
      <c r="AQ292" s="487" t="e">
        <f ca="1">DEGREES(ASIN($G$5/$G$4))</f>
        <v>#NUM!</v>
      </c>
      <c r="AR292" s="48"/>
      <c r="AS292" s="231" t="s">
        <v>336</v>
      </c>
      <c r="AT292" s="231"/>
      <c r="AU292" s="231"/>
      <c r="AV292" s="195"/>
      <c r="AW292" s="48"/>
      <c r="AX292" s="48"/>
      <c r="AY292" s="48"/>
      <c r="AZ292" s="48"/>
      <c r="BA292" s="48"/>
      <c r="BB292" s="48"/>
      <c r="BD292" s="48"/>
      <c r="BE292" s="195"/>
      <c r="BF292" s="19"/>
      <c r="BG292" s="260"/>
      <c r="BK292" s="19"/>
      <c r="BL292" s="19"/>
      <c r="BP292" s="195"/>
      <c r="BQ292" s="195"/>
      <c r="BR292" s="195"/>
      <c r="BS292" s="195"/>
      <c r="BT292" s="195"/>
      <c r="BU292" s="454"/>
      <c r="BV292" s="454"/>
      <c r="BW292" s="195"/>
      <c r="BX292" s="454"/>
      <c r="BY292" s="260"/>
      <c r="BZ292" s="195"/>
      <c r="CA292" s="19"/>
    </row>
    <row r="293" spans="1:79" ht="41.25" x14ac:dyDescent="0.2">
      <c r="A293" s="427"/>
      <c r="B293" s="48"/>
      <c r="C293" s="48"/>
      <c r="D293" s="48"/>
      <c r="E293" s="48"/>
      <c r="F293" s="48"/>
      <c r="G293" s="48"/>
      <c r="J293" s="48"/>
      <c r="K293" s="149" t="s">
        <v>116</v>
      </c>
      <c r="L293" s="149" t="s">
        <v>117</v>
      </c>
      <c r="M293" s="149" t="s">
        <v>297</v>
      </c>
      <c r="N293" s="149" t="s">
        <v>118</v>
      </c>
      <c r="O293" s="149" t="s">
        <v>298</v>
      </c>
      <c r="P293" s="220" t="s">
        <v>333</v>
      </c>
      <c r="Q293" s="223" t="s">
        <v>334</v>
      </c>
      <c r="R293" s="224" t="s">
        <v>332</v>
      </c>
      <c r="S293" s="224" t="s">
        <v>105</v>
      </c>
      <c r="T293" s="283" t="s">
        <v>283</v>
      </c>
      <c r="U293" s="223" t="s">
        <v>149</v>
      </c>
      <c r="V293" s="224" t="s">
        <v>150</v>
      </c>
      <c r="W293" s="225" t="s">
        <v>283</v>
      </c>
      <c r="X293" s="222" t="s">
        <v>103</v>
      </c>
      <c r="Y293" s="148" t="s">
        <v>102</v>
      </c>
      <c r="Z293" s="148" t="s">
        <v>282</v>
      </c>
      <c r="AA293" s="148" t="s">
        <v>104</v>
      </c>
      <c r="AB293" s="149" t="s">
        <v>296</v>
      </c>
      <c r="AC293" s="149" t="s">
        <v>295</v>
      </c>
      <c r="AD293" s="149" t="s">
        <v>108</v>
      </c>
      <c r="AE293" s="149" t="s">
        <v>1570</v>
      </c>
      <c r="AG293" s="484"/>
      <c r="AH293" s="48"/>
      <c r="AI293" s="149" t="s">
        <v>116</v>
      </c>
      <c r="AJ293" s="149" t="s">
        <v>117</v>
      </c>
      <c r="AK293" s="149" t="s">
        <v>297</v>
      </c>
      <c r="AL293" s="149" t="s">
        <v>118</v>
      </c>
      <c r="AM293" s="149" t="s">
        <v>298</v>
      </c>
      <c r="AN293" s="220" t="s">
        <v>333</v>
      </c>
      <c r="AO293" s="223" t="s">
        <v>334</v>
      </c>
      <c r="AP293" s="224" t="s">
        <v>332</v>
      </c>
      <c r="AQ293" s="224" t="s">
        <v>105</v>
      </c>
      <c r="AR293" s="283" t="s">
        <v>283</v>
      </c>
      <c r="AS293" s="223" t="s">
        <v>149</v>
      </c>
      <c r="AT293" s="224" t="s">
        <v>150</v>
      </c>
      <c r="AU293" s="225" t="s">
        <v>283</v>
      </c>
      <c r="AV293" s="222" t="s">
        <v>103</v>
      </c>
      <c r="AW293" s="148" t="s">
        <v>102</v>
      </c>
      <c r="AX293" s="148" t="s">
        <v>282</v>
      </c>
      <c r="AY293" s="148" t="s">
        <v>104</v>
      </c>
      <c r="AZ293" s="149" t="s">
        <v>296</v>
      </c>
      <c r="BA293" s="149" t="s">
        <v>295</v>
      </c>
      <c r="BB293" s="149" t="s">
        <v>108</v>
      </c>
      <c r="BC293" s="149" t="s">
        <v>1570</v>
      </c>
      <c r="BE293" s="195"/>
      <c r="BF293" s="19"/>
      <c r="BG293" s="260"/>
      <c r="BK293" s="19"/>
      <c r="BL293" s="19"/>
      <c r="BP293" s="195"/>
      <c r="BQ293" s="195"/>
      <c r="BR293" s="195"/>
      <c r="BS293" s="195"/>
      <c r="BT293" s="195"/>
      <c r="BU293" s="454"/>
      <c r="BV293" s="454"/>
      <c r="BW293" s="195"/>
      <c r="BX293" s="454"/>
      <c r="BY293" s="260"/>
      <c r="BZ293" s="195"/>
      <c r="CA293" s="19"/>
    </row>
    <row r="294" spans="1:79" x14ac:dyDescent="0.2">
      <c r="A294" s="427"/>
      <c r="B294" s="48"/>
      <c r="C294" s="48"/>
      <c r="D294" s="48"/>
      <c r="E294" s="48"/>
      <c r="F294" s="48"/>
      <c r="G294" s="48"/>
      <c r="J294" s="48" t="s">
        <v>291</v>
      </c>
      <c r="K294" s="21">
        <v>0</v>
      </c>
      <c r="L294" s="324">
        <f>$C$312+(K294*$C$313)</f>
        <v>9</v>
      </c>
      <c r="M294" s="440">
        <f>DEGREES(ATAN(L294/$C$304))</f>
        <v>1.4729954416287203</v>
      </c>
      <c r="N294" s="440">
        <f>$C$312+$C$315+(K294*$C$313)</f>
        <v>10.9</v>
      </c>
      <c r="O294" s="440">
        <f>DEGREES(ATAN(N294/$C$304))</f>
        <v>1.7837777433419924</v>
      </c>
      <c r="P294" s="441">
        <f>DEGREES(ATAN((L294+($C$315/2))/$C$304))</f>
        <v>1.6283985732325152</v>
      </c>
      <c r="Q294" s="442" t="e">
        <f ca="1">IF(P294&gt;$S$292,"no scattering",P294+DEGREES(ASIN(($F$4/$F$5)*SIN(RADIANS(P294)))))</f>
        <v>#NUM!</v>
      </c>
      <c r="R294" s="440" t="e">
        <f ca="1">(($E$4*$E$5*$N$16*0.000000000000001)^2)*((1/(4*$K$20))^2)*(1/((SIN(RADIANS(Q294)/2))^4))/1E-31</f>
        <v>#NUM!</v>
      </c>
      <c r="S294" s="440" t="e">
        <f ca="1">R294/((((SIN(RADIANS(P294)))^2)/((SIN(RADIANS(Q294))^2)))*COS(RADIANS(Q294)-RADIANS(P294)))</f>
        <v>#NUM!</v>
      </c>
      <c r="T294" s="441" t="e">
        <f ca="1">$K$19-((2*$K$19*$F$4*$F$5*(1-COS(RADIANS(Q294))))/($F$4+$F$5)^2)</f>
        <v>#NUM!</v>
      </c>
      <c r="U294" s="443" t="e">
        <f ca="1">DEGREES(0.5*(PI()-RADIANS(Q294)))</f>
        <v>#NUM!</v>
      </c>
      <c r="V294" s="383" t="e">
        <f ca="1">DEGREES(2*RADIANS(U294))</f>
        <v>#NUM!</v>
      </c>
      <c r="W294" s="444" t="e">
        <f ca="1">$K$19-T294</f>
        <v>#NUM!</v>
      </c>
      <c r="X294" s="445">
        <v>81.599999999999994</v>
      </c>
      <c r="Y294" s="446">
        <f>(RADIANS(X294))*(COS(RADIANS(M294))-COS(RADIANS(O294)))</f>
        <v>2.1952149836833323E-4</v>
      </c>
      <c r="Z294" s="494" t="e">
        <f ca="1">$K$16*($K$17*10000)*(S294*1E-28*0.001)*Y294*($K$18/100)</f>
        <v>#NUM!</v>
      </c>
      <c r="AA294" s="440">
        <v>0.26900000000000002</v>
      </c>
      <c r="AB294" s="495" t="e">
        <f t="shared" ref="AB294:AB309" ca="1" si="105">Z294/AA294</f>
        <v>#NUM!</v>
      </c>
      <c r="AC294" s="448" t="e">
        <f ca="1">($C$316/AB294)/(60*60)</f>
        <v>#NUM!</v>
      </c>
      <c r="AD294" s="449" t="e">
        <f ca="1">AC294/24</f>
        <v>#NUM!</v>
      </c>
      <c r="AE294" s="449" t="e">
        <f ca="1">Z294*($C$9*60*60)</f>
        <v>#NUM!</v>
      </c>
      <c r="AG294" s="484"/>
      <c r="AH294" s="48" t="s">
        <v>291</v>
      </c>
      <c r="AI294" s="21">
        <v>0</v>
      </c>
      <c r="AJ294" s="324">
        <f>$G$312+(AI294*$G$313)</f>
        <v>9</v>
      </c>
      <c r="AK294" s="440" t="e">
        <f>DEGREES(ATAN(AJ294/$C$305))</f>
        <v>#VALUE!</v>
      </c>
      <c r="AL294" s="440">
        <f>$G$312+$G$315+(AI294*$G$313)</f>
        <v>10.9</v>
      </c>
      <c r="AM294" s="440" t="e">
        <f>DEGREES(ATAN(AL294/$C$305))</f>
        <v>#VALUE!</v>
      </c>
      <c r="AN294" s="441" t="e">
        <f>DEGREES(ATAN((AJ294+($G$315/2))/$C$305))</f>
        <v>#VALUE!</v>
      </c>
      <c r="AO294" s="442" t="e">
        <f t="shared" ref="AO294:AO309" ca="1" si="106">IF(AN294&gt;$AQ$292,"no scattering",AN294+DEGREES(ASIN(($F$4/$F$5)*SIN(RADIANS(AN294)))))</f>
        <v>#VALUE!</v>
      </c>
      <c r="AP294" s="440" t="e">
        <f ca="1">(($E$4*$E$5*$N$16*0.000000000000001)^2)*((1/(4*$K$20))^2)*(1/((SIN(RADIANS(AO294)/2))^4))/1E-31</f>
        <v>#VALUE!</v>
      </c>
      <c r="AQ294" s="440" t="e">
        <f ca="1">AP294/((((SIN(RADIANS(AN294)))^2)/((SIN(RADIANS(AO294))^2)))*COS(RADIANS(AO294)-RADIANS(AN294)))</f>
        <v>#VALUE!</v>
      </c>
      <c r="AR294" s="441" t="e">
        <f ca="1">$K$19-((2*$K$19*$F$4*$F$5*(1-COS(RADIANS(AO294))))/($F$4+$F$5)^2)</f>
        <v>#VALUE!</v>
      </c>
      <c r="AS294" s="443" t="e">
        <f ca="1">DEGREES(0.5*(PI()-RADIANS(AO294)))</f>
        <v>#VALUE!</v>
      </c>
      <c r="AT294" s="383" t="e">
        <f ca="1">DEGREES(2*RADIANS(AS294))</f>
        <v>#VALUE!</v>
      </c>
      <c r="AU294" s="444" t="e">
        <f ca="1">$K$19-AR294</f>
        <v>#VALUE!</v>
      </c>
      <c r="AV294" s="445">
        <v>81.599999999999994</v>
      </c>
      <c r="AW294" s="446" t="e">
        <f>(RADIANS(AV294))*(COS(RADIANS(AK294))-COS(RADIANS(AM294)))</f>
        <v>#VALUE!</v>
      </c>
      <c r="AX294" s="494" t="e">
        <f ca="1">$K$16*($K$17*10000)*(AQ294*1E-28*0.001)*AW294*($K$18/100)</f>
        <v>#VALUE!</v>
      </c>
      <c r="AY294" s="440">
        <v>0.26900000000000002</v>
      </c>
      <c r="AZ294" s="495" t="e">
        <f t="shared" ref="AZ294:AZ309" ca="1" si="107">AX294/AY294</f>
        <v>#VALUE!</v>
      </c>
      <c r="BA294" s="448" t="e">
        <f ca="1">($G$316/AZ294)/(60*60)</f>
        <v>#VALUE!</v>
      </c>
      <c r="BB294" s="449" t="e">
        <f t="shared" ref="BB294:BB309" ca="1" si="108">BA294/24</f>
        <v>#VALUE!</v>
      </c>
      <c r="BC294" s="449" t="e">
        <f ca="1">AX294*($C$9*60*60)</f>
        <v>#VALUE!</v>
      </c>
      <c r="BE294" s="195"/>
      <c r="BF294" s="19"/>
      <c r="BG294" s="260"/>
      <c r="BK294" s="19"/>
      <c r="BL294" s="19"/>
      <c r="BP294" s="195"/>
      <c r="BQ294" s="195"/>
      <c r="BR294" s="195"/>
      <c r="BS294" s="195"/>
      <c r="BT294" s="195"/>
      <c r="BU294" s="454"/>
      <c r="BV294" s="454"/>
      <c r="BW294" s="195"/>
      <c r="BX294" s="454"/>
      <c r="BY294" s="260"/>
      <c r="BZ294" s="195"/>
      <c r="CA294" s="19"/>
    </row>
    <row r="295" spans="1:79" x14ac:dyDescent="0.2">
      <c r="A295" s="427"/>
      <c r="B295" s="48"/>
      <c r="C295" s="48"/>
      <c r="D295" s="48"/>
      <c r="E295" s="48"/>
      <c r="F295" s="48"/>
      <c r="G295" s="48"/>
      <c r="K295" s="21">
        <v>1</v>
      </c>
      <c r="L295" s="324">
        <f t="shared" ref="L295:L309" si="109">$C$312+(K295*$C$313)</f>
        <v>11</v>
      </c>
      <c r="M295" s="440">
        <f t="shared" ref="M295:M309" si="110">DEGREES(ATAN(L295/$C$304))</f>
        <v>1.8001319585101434</v>
      </c>
      <c r="N295" s="440">
        <f t="shared" ref="N295:N309" si="111">$C$312+$C$315+(K295*$C$313)</f>
        <v>12.9</v>
      </c>
      <c r="O295" s="440">
        <f t="shared" ref="O295:O309" si="112">DEGREES(ATAN(N295/$C$304))</f>
        <v>2.1108032704396411</v>
      </c>
      <c r="P295" s="441">
        <f t="shared" ref="P295:P309" si="113">DEGREES(ATAN((L295+($C$315/2))/$C$304))</f>
        <v>1.9554819931368055</v>
      </c>
      <c r="Q295" s="442" t="e">
        <f t="shared" ref="Q295:Q309" ca="1" si="114">IF(P295&gt;$S$292,"no scattering",P295+DEGREES(ASIN(($F$4/$F$5)*SIN(RADIANS(P295)))))</f>
        <v>#NUM!</v>
      </c>
      <c r="R295" s="440" t="e">
        <f t="shared" ref="R295:R309" ca="1" si="115">(($E$4*$E$5*$N$16*0.000000000000001)^2)*((1/(4*$K$20))^2)*(1/((SIN(RADIANS(Q295)/2))^4))/1E-31</f>
        <v>#NUM!</v>
      </c>
      <c r="S295" s="440" t="e">
        <f t="shared" ref="S295:S309" ca="1" si="116">R295/((((SIN(RADIANS(P295)))^2)/((SIN(RADIANS(Q295))^2)))*COS(RADIANS(Q295)-RADIANS(P295)))</f>
        <v>#NUM!</v>
      </c>
      <c r="T295" s="441" t="e">
        <f t="shared" ref="T295:T309" ca="1" si="117">$K$19-((2*$K$19*$F$4*$F$5*(1-COS(RADIANS(Q295))))/($F$4+$F$5)^2)</f>
        <v>#NUM!</v>
      </c>
      <c r="U295" s="443" t="e">
        <f t="shared" ref="U295:U309" ca="1" si="118">DEGREES(0.5*(PI()-RADIANS(Q295)))</f>
        <v>#NUM!</v>
      </c>
      <c r="V295" s="383" t="e">
        <f t="shared" ref="V295:V309" ca="1" si="119">DEGREES(2*RADIANS(U295))</f>
        <v>#NUM!</v>
      </c>
      <c r="W295" s="444" t="e">
        <f t="shared" ref="W295:W309" ca="1" si="120">$K$19-T295</f>
        <v>#NUM!</v>
      </c>
      <c r="X295" s="445">
        <v>81.599999999999994</v>
      </c>
      <c r="Y295" s="446">
        <f t="shared" ref="Y295:Y309" si="121">(RADIANS(X295))*(COS(RADIANS(M295))-COS(RADIANS(O295)))</f>
        <v>2.6350520211429918E-4</v>
      </c>
      <c r="Z295" s="494" t="e">
        <f t="shared" ref="Z295:Z309" ca="1" si="122">$K$16*($K$17*10000)*(S295*1E-28*0.001)*Y295*($K$18/100)</f>
        <v>#NUM!</v>
      </c>
      <c r="AA295" s="145">
        <v>0.32300000000000001</v>
      </c>
      <c r="AB295" s="495" t="e">
        <f t="shared" ca="1" si="105"/>
        <v>#NUM!</v>
      </c>
      <c r="AC295" s="448" t="e">
        <f t="shared" ref="AC295:AC309" ca="1" si="123">($C$316/AB295)/(60*60)</f>
        <v>#NUM!</v>
      </c>
      <c r="AD295" s="449" t="e">
        <f t="shared" ref="AD295:AD309" ca="1" si="124">AC295/24</f>
        <v>#NUM!</v>
      </c>
      <c r="AE295" s="449" t="e">
        <f t="shared" ref="AE295:AE309" ca="1" si="125">Z295*($C$9*60*60)</f>
        <v>#NUM!</v>
      </c>
      <c r="AG295" s="484"/>
      <c r="AI295" s="21">
        <v>1</v>
      </c>
      <c r="AJ295" s="324">
        <f t="shared" ref="AJ295:AJ309" si="126">$G$312+(AI295*$G$313)</f>
        <v>11</v>
      </c>
      <c r="AK295" s="440" t="e">
        <f t="shared" ref="AK295:AK309" si="127">DEGREES(ATAN(AJ295/$C$305))</f>
        <v>#VALUE!</v>
      </c>
      <c r="AL295" s="440">
        <f t="shared" ref="AL295:AL309" si="128">$G$312+$G$315+(AI295*$G$313)</f>
        <v>12.9</v>
      </c>
      <c r="AM295" s="440" t="e">
        <f t="shared" ref="AM295:AM309" si="129">DEGREES(ATAN(AL295/$C$305))</f>
        <v>#VALUE!</v>
      </c>
      <c r="AN295" s="441" t="e">
        <f t="shared" ref="AN295:AN309" si="130">DEGREES(ATAN((AJ295+($G$315/2))/$C$305))</f>
        <v>#VALUE!</v>
      </c>
      <c r="AO295" s="442" t="e">
        <f t="shared" ca="1" si="106"/>
        <v>#VALUE!</v>
      </c>
      <c r="AP295" s="440" t="e">
        <f t="shared" ref="AP295:AP309" ca="1" si="131">(($E$4*$E$5*$N$16*0.000000000000001)^2)*((1/(4*$K$20))^2)*(1/((SIN(RADIANS(AO295)/2))^4))/1E-31</f>
        <v>#VALUE!</v>
      </c>
      <c r="AQ295" s="440" t="e">
        <f t="shared" ref="AQ295:AQ309" ca="1" si="132">AP295/((((SIN(RADIANS(AN295)))^2)/((SIN(RADIANS(AO295))^2)))*COS(RADIANS(AO295)-RADIANS(AN295)))</f>
        <v>#VALUE!</v>
      </c>
      <c r="AR295" s="441" t="e">
        <f t="shared" ref="AR295:AR309" ca="1" si="133">$K$19-((2*$K$19*$F$4*$F$5*(1-COS(RADIANS(AO295))))/($F$4+$F$5)^2)</f>
        <v>#VALUE!</v>
      </c>
      <c r="AS295" s="443" t="e">
        <f t="shared" ref="AS295:AS309" ca="1" si="134">DEGREES(0.5*(PI()-RADIANS(AO295)))</f>
        <v>#VALUE!</v>
      </c>
      <c r="AT295" s="383" t="e">
        <f t="shared" ref="AT295:AT309" ca="1" si="135">DEGREES(2*RADIANS(AS295))</f>
        <v>#VALUE!</v>
      </c>
      <c r="AU295" s="444" t="e">
        <f t="shared" ref="AU295:AU309" ca="1" si="136">$K$19-AR295</f>
        <v>#VALUE!</v>
      </c>
      <c r="AV295" s="445">
        <v>81.599999999999994</v>
      </c>
      <c r="AW295" s="446" t="e">
        <f t="shared" ref="AW295:AW309" si="137">(RADIANS(AV295))*(COS(RADIANS(AK295))-COS(RADIANS(AM295)))</f>
        <v>#VALUE!</v>
      </c>
      <c r="AX295" s="494" t="e">
        <f t="shared" ref="AX295:AX309" ca="1" si="138">$K$16*($K$17*10000)*(AQ295*1E-28*0.001)*AW295*($K$18/100)</f>
        <v>#VALUE!</v>
      </c>
      <c r="AY295" s="145">
        <v>0.32300000000000001</v>
      </c>
      <c r="AZ295" s="495" t="e">
        <f t="shared" ca="1" si="107"/>
        <v>#VALUE!</v>
      </c>
      <c r="BA295" s="448" t="e">
        <f t="shared" ref="BA295:BA309" ca="1" si="139">($G$316/AZ295)/(60*60)</f>
        <v>#VALUE!</v>
      </c>
      <c r="BB295" s="449" t="e">
        <f t="shared" ca="1" si="108"/>
        <v>#VALUE!</v>
      </c>
      <c r="BC295" s="449" t="e">
        <f t="shared" ref="BC295:BC309" ca="1" si="140">AX295*($C$9*60*60)</f>
        <v>#VALUE!</v>
      </c>
      <c r="BE295" s="195"/>
      <c r="BF295" s="19"/>
      <c r="BG295" s="260"/>
      <c r="BK295" s="19"/>
      <c r="BL295" s="19"/>
      <c r="BP295" s="195"/>
      <c r="BQ295" s="195"/>
      <c r="BR295" s="195"/>
      <c r="BS295" s="195"/>
      <c r="BT295" s="195"/>
      <c r="BU295" s="454"/>
      <c r="BV295" s="454"/>
      <c r="BW295" s="195"/>
      <c r="BX295" s="454"/>
      <c r="BY295" s="260"/>
      <c r="BZ295" s="195"/>
      <c r="CA295" s="19"/>
    </row>
    <row r="296" spans="1:79" x14ac:dyDescent="0.2">
      <c r="A296" s="427"/>
      <c r="B296" s="48"/>
      <c r="C296" s="48"/>
      <c r="D296" s="48"/>
      <c r="E296" s="48"/>
      <c r="F296" s="48"/>
      <c r="G296" s="48"/>
      <c r="K296" s="21">
        <v>2</v>
      </c>
      <c r="L296" s="324">
        <f t="shared" si="109"/>
        <v>13</v>
      </c>
      <c r="M296" s="440">
        <f t="shared" si="110"/>
        <v>2.1271511128508025</v>
      </c>
      <c r="N296" s="440">
        <f t="shared" si="111"/>
        <v>14.9</v>
      </c>
      <c r="O296" s="440">
        <f t="shared" si="112"/>
        <v>2.4376912651630254</v>
      </c>
      <c r="P296" s="441">
        <f t="shared" si="113"/>
        <v>2.2824379599696765</v>
      </c>
      <c r="Q296" s="442" t="e">
        <f t="shared" ca="1" si="114"/>
        <v>#NUM!</v>
      </c>
      <c r="R296" s="440" t="e">
        <f t="shared" ca="1" si="115"/>
        <v>#NUM!</v>
      </c>
      <c r="S296" s="440" t="e">
        <f t="shared" ca="1" si="116"/>
        <v>#NUM!</v>
      </c>
      <c r="T296" s="441" t="e">
        <f t="shared" ca="1" si="117"/>
        <v>#NUM!</v>
      </c>
      <c r="U296" s="443" t="e">
        <f t="shared" ca="1" si="118"/>
        <v>#NUM!</v>
      </c>
      <c r="V296" s="383" t="e">
        <f t="shared" ca="1" si="119"/>
        <v>#NUM!</v>
      </c>
      <c r="W296" s="444" t="e">
        <f t="shared" ca="1" si="120"/>
        <v>#NUM!</v>
      </c>
      <c r="X296" s="445">
        <v>81.599999999999994</v>
      </c>
      <c r="Y296" s="446">
        <f t="shared" si="121"/>
        <v>3.0741171460298443E-4</v>
      </c>
      <c r="Z296" s="494" t="e">
        <f t="shared" ca="1" si="122"/>
        <v>#NUM!</v>
      </c>
      <c r="AA296" s="145">
        <v>0.377</v>
      </c>
      <c r="AB296" s="495" t="e">
        <f t="shared" ca="1" si="105"/>
        <v>#NUM!</v>
      </c>
      <c r="AC296" s="448" t="e">
        <f t="shared" ca="1" si="123"/>
        <v>#NUM!</v>
      </c>
      <c r="AD296" s="449" t="e">
        <f t="shared" ca="1" si="124"/>
        <v>#NUM!</v>
      </c>
      <c r="AE296" s="449" t="e">
        <f t="shared" ca="1" si="125"/>
        <v>#NUM!</v>
      </c>
      <c r="AG296" s="484"/>
      <c r="AI296" s="21">
        <v>2</v>
      </c>
      <c r="AJ296" s="324">
        <f t="shared" si="126"/>
        <v>13</v>
      </c>
      <c r="AK296" s="440" t="e">
        <f t="shared" si="127"/>
        <v>#VALUE!</v>
      </c>
      <c r="AL296" s="440">
        <f t="shared" si="128"/>
        <v>14.9</v>
      </c>
      <c r="AM296" s="440" t="e">
        <f t="shared" si="129"/>
        <v>#VALUE!</v>
      </c>
      <c r="AN296" s="441" t="e">
        <f t="shared" si="130"/>
        <v>#VALUE!</v>
      </c>
      <c r="AO296" s="442" t="e">
        <f t="shared" ca="1" si="106"/>
        <v>#VALUE!</v>
      </c>
      <c r="AP296" s="440" t="e">
        <f t="shared" ca="1" si="131"/>
        <v>#VALUE!</v>
      </c>
      <c r="AQ296" s="440" t="e">
        <f t="shared" ca="1" si="132"/>
        <v>#VALUE!</v>
      </c>
      <c r="AR296" s="441" t="e">
        <f t="shared" ca="1" si="133"/>
        <v>#VALUE!</v>
      </c>
      <c r="AS296" s="443" t="e">
        <f t="shared" ca="1" si="134"/>
        <v>#VALUE!</v>
      </c>
      <c r="AT296" s="383" t="e">
        <f t="shared" ca="1" si="135"/>
        <v>#VALUE!</v>
      </c>
      <c r="AU296" s="444" t="e">
        <f t="shared" ca="1" si="136"/>
        <v>#VALUE!</v>
      </c>
      <c r="AV296" s="445">
        <v>81.599999999999994</v>
      </c>
      <c r="AW296" s="446" t="e">
        <f t="shared" si="137"/>
        <v>#VALUE!</v>
      </c>
      <c r="AX296" s="494" t="e">
        <f t="shared" ca="1" si="138"/>
        <v>#VALUE!</v>
      </c>
      <c r="AY296" s="145">
        <v>0.377</v>
      </c>
      <c r="AZ296" s="495" t="e">
        <f t="shared" ca="1" si="107"/>
        <v>#VALUE!</v>
      </c>
      <c r="BA296" s="448" t="e">
        <f t="shared" ca="1" si="139"/>
        <v>#VALUE!</v>
      </c>
      <c r="BB296" s="449" t="e">
        <f t="shared" ca="1" si="108"/>
        <v>#VALUE!</v>
      </c>
      <c r="BC296" s="449" t="e">
        <f t="shared" ca="1" si="140"/>
        <v>#VALUE!</v>
      </c>
      <c r="BE296" s="195"/>
      <c r="BF296" s="19"/>
      <c r="BG296" s="260"/>
      <c r="BK296" s="19"/>
      <c r="BL296" s="19"/>
      <c r="BP296" s="195"/>
      <c r="BQ296" s="195"/>
      <c r="BR296" s="195"/>
      <c r="BS296" s="195"/>
      <c r="BT296" s="195"/>
      <c r="BU296" s="454"/>
      <c r="BV296" s="454"/>
      <c r="BW296" s="195"/>
      <c r="BX296" s="454"/>
      <c r="BY296" s="260"/>
      <c r="BZ296" s="195"/>
      <c r="CA296" s="19"/>
    </row>
    <row r="297" spans="1:79" x14ac:dyDescent="0.2">
      <c r="A297" s="427"/>
      <c r="B297" s="48"/>
      <c r="C297" s="48"/>
      <c r="D297" s="48"/>
      <c r="E297" s="48"/>
      <c r="F297" s="48"/>
      <c r="G297" s="48"/>
      <c r="K297" s="21">
        <v>3</v>
      </c>
      <c r="L297" s="324">
        <f t="shared" si="109"/>
        <v>15</v>
      </c>
      <c r="M297" s="440">
        <f t="shared" si="110"/>
        <v>2.4540316745270756</v>
      </c>
      <c r="N297" s="440">
        <f t="shared" si="111"/>
        <v>16.899999999999999</v>
      </c>
      <c r="O297" s="440">
        <f t="shared" si="112"/>
        <v>2.7644205485645656</v>
      </c>
      <c r="P297" s="441">
        <f t="shared" si="113"/>
        <v>2.6092452682697913</v>
      </c>
      <c r="Q297" s="442" t="e">
        <f t="shared" ca="1" si="114"/>
        <v>#NUM!</v>
      </c>
      <c r="R297" s="440" t="e">
        <f t="shared" ca="1" si="115"/>
        <v>#NUM!</v>
      </c>
      <c r="S297" s="440" t="e">
        <f t="shared" ca="1" si="116"/>
        <v>#NUM!</v>
      </c>
      <c r="T297" s="441" t="e">
        <f t="shared" ca="1" si="117"/>
        <v>#NUM!</v>
      </c>
      <c r="U297" s="443" t="e">
        <f t="shared" ca="1" si="118"/>
        <v>#NUM!</v>
      </c>
      <c r="V297" s="383" t="e">
        <f t="shared" ca="1" si="119"/>
        <v>#NUM!</v>
      </c>
      <c r="W297" s="444" t="e">
        <f t="shared" ca="1" si="120"/>
        <v>#NUM!</v>
      </c>
      <c r="X297" s="445">
        <v>81.599999999999994</v>
      </c>
      <c r="Y297" s="446">
        <f t="shared" si="121"/>
        <v>3.5122827524658137E-4</v>
      </c>
      <c r="Z297" s="494" t="e">
        <f t="shared" ca="1" si="122"/>
        <v>#NUM!</v>
      </c>
      <c r="AA297" s="145">
        <v>0.432</v>
      </c>
      <c r="AB297" s="495" t="e">
        <f t="shared" ca="1" si="105"/>
        <v>#NUM!</v>
      </c>
      <c r="AC297" s="448" t="e">
        <f t="shared" ca="1" si="123"/>
        <v>#NUM!</v>
      </c>
      <c r="AD297" s="449" t="e">
        <f t="shared" ca="1" si="124"/>
        <v>#NUM!</v>
      </c>
      <c r="AE297" s="449" t="e">
        <f t="shared" ca="1" si="125"/>
        <v>#NUM!</v>
      </c>
      <c r="AG297" s="484"/>
      <c r="AI297" s="21">
        <v>3</v>
      </c>
      <c r="AJ297" s="324">
        <f t="shared" si="126"/>
        <v>15</v>
      </c>
      <c r="AK297" s="440" t="e">
        <f t="shared" si="127"/>
        <v>#VALUE!</v>
      </c>
      <c r="AL297" s="440">
        <f t="shared" si="128"/>
        <v>16.899999999999999</v>
      </c>
      <c r="AM297" s="440" t="e">
        <f t="shared" si="129"/>
        <v>#VALUE!</v>
      </c>
      <c r="AN297" s="441" t="e">
        <f t="shared" si="130"/>
        <v>#VALUE!</v>
      </c>
      <c r="AO297" s="442" t="e">
        <f t="shared" ca="1" si="106"/>
        <v>#VALUE!</v>
      </c>
      <c r="AP297" s="440" t="e">
        <f t="shared" ca="1" si="131"/>
        <v>#VALUE!</v>
      </c>
      <c r="AQ297" s="440" t="e">
        <f t="shared" ca="1" si="132"/>
        <v>#VALUE!</v>
      </c>
      <c r="AR297" s="441" t="e">
        <f t="shared" ca="1" si="133"/>
        <v>#VALUE!</v>
      </c>
      <c r="AS297" s="443" t="e">
        <f t="shared" ca="1" si="134"/>
        <v>#VALUE!</v>
      </c>
      <c r="AT297" s="383" t="e">
        <f t="shared" ca="1" si="135"/>
        <v>#VALUE!</v>
      </c>
      <c r="AU297" s="444" t="e">
        <f t="shared" ca="1" si="136"/>
        <v>#VALUE!</v>
      </c>
      <c r="AV297" s="445">
        <v>81.599999999999994</v>
      </c>
      <c r="AW297" s="446" t="e">
        <f t="shared" si="137"/>
        <v>#VALUE!</v>
      </c>
      <c r="AX297" s="494" t="e">
        <f t="shared" ca="1" si="138"/>
        <v>#VALUE!</v>
      </c>
      <c r="AY297" s="145">
        <v>0.432</v>
      </c>
      <c r="AZ297" s="495" t="e">
        <f t="shared" ca="1" si="107"/>
        <v>#VALUE!</v>
      </c>
      <c r="BA297" s="448" t="e">
        <f t="shared" ca="1" si="139"/>
        <v>#VALUE!</v>
      </c>
      <c r="BB297" s="449" t="e">
        <f t="shared" ca="1" si="108"/>
        <v>#VALUE!</v>
      </c>
      <c r="BC297" s="449" t="e">
        <f t="shared" ca="1" si="140"/>
        <v>#VALUE!</v>
      </c>
      <c r="BE297" s="195"/>
      <c r="BF297" s="19"/>
      <c r="BG297" s="260"/>
      <c r="BK297" s="19"/>
      <c r="BL297" s="19"/>
      <c r="BP297" s="195"/>
      <c r="BQ297" s="195"/>
      <c r="BR297" s="195"/>
      <c r="BS297" s="195"/>
      <c r="BT297" s="195"/>
      <c r="BU297" s="454"/>
      <c r="BV297" s="454"/>
      <c r="BW297" s="195"/>
      <c r="BX297" s="454"/>
      <c r="BY297" s="260"/>
      <c r="BZ297" s="195"/>
      <c r="CA297" s="19"/>
    </row>
    <row r="298" spans="1:79" x14ac:dyDescent="0.2">
      <c r="A298" s="427"/>
      <c r="B298" s="48"/>
      <c r="C298" s="48"/>
      <c r="D298" s="48"/>
      <c r="E298" s="48"/>
      <c r="F298" s="48"/>
      <c r="G298" s="48"/>
      <c r="K298" s="21">
        <v>4</v>
      </c>
      <c r="L298" s="324">
        <f t="shared" si="109"/>
        <v>17</v>
      </c>
      <c r="M298" s="440">
        <f t="shared" si="110"/>
        <v>2.7807524674897768</v>
      </c>
      <c r="N298" s="440">
        <f t="shared" si="111"/>
        <v>18.899999999999999</v>
      </c>
      <c r="O298" s="440">
        <f t="shared" si="112"/>
        <v>3.0909700035405021</v>
      </c>
      <c r="P298" s="441">
        <f t="shared" si="113"/>
        <v>2.9358827705412991</v>
      </c>
      <c r="Q298" s="442" t="e">
        <f t="shared" ca="1" si="114"/>
        <v>#NUM!</v>
      </c>
      <c r="R298" s="440" t="e">
        <f t="shared" ca="1" si="115"/>
        <v>#NUM!</v>
      </c>
      <c r="S298" s="440" t="e">
        <f t="shared" ca="1" si="116"/>
        <v>#NUM!</v>
      </c>
      <c r="T298" s="441" t="e">
        <f t="shared" ca="1" si="117"/>
        <v>#NUM!</v>
      </c>
      <c r="U298" s="443" t="e">
        <f t="shared" ca="1" si="118"/>
        <v>#NUM!</v>
      </c>
      <c r="V298" s="383" t="e">
        <f t="shared" ca="1" si="119"/>
        <v>#NUM!</v>
      </c>
      <c r="W298" s="444" t="e">
        <f t="shared" ca="1" si="120"/>
        <v>#NUM!</v>
      </c>
      <c r="X298" s="445">
        <v>81.599999999999994</v>
      </c>
      <c r="Y298" s="446">
        <f t="shared" si="121"/>
        <v>3.9494219640568936E-4</v>
      </c>
      <c r="Z298" s="494" t="e">
        <f t="shared" ca="1" si="122"/>
        <v>#NUM!</v>
      </c>
      <c r="AA298" s="145">
        <v>0.48599999999999999</v>
      </c>
      <c r="AB298" s="495" t="e">
        <f t="shared" ca="1" si="105"/>
        <v>#NUM!</v>
      </c>
      <c r="AC298" s="448" t="e">
        <f t="shared" ca="1" si="123"/>
        <v>#NUM!</v>
      </c>
      <c r="AD298" s="449" t="e">
        <f t="shared" ca="1" si="124"/>
        <v>#NUM!</v>
      </c>
      <c r="AE298" s="449" t="e">
        <f t="shared" ca="1" si="125"/>
        <v>#NUM!</v>
      </c>
      <c r="AG298" s="484"/>
      <c r="AI298" s="21">
        <v>4</v>
      </c>
      <c r="AJ298" s="324">
        <f t="shared" si="126"/>
        <v>17</v>
      </c>
      <c r="AK298" s="440" t="e">
        <f t="shared" si="127"/>
        <v>#VALUE!</v>
      </c>
      <c r="AL298" s="440">
        <f t="shared" si="128"/>
        <v>18.899999999999999</v>
      </c>
      <c r="AM298" s="440" t="e">
        <f t="shared" si="129"/>
        <v>#VALUE!</v>
      </c>
      <c r="AN298" s="441" t="e">
        <f t="shared" si="130"/>
        <v>#VALUE!</v>
      </c>
      <c r="AO298" s="442" t="e">
        <f t="shared" ca="1" si="106"/>
        <v>#VALUE!</v>
      </c>
      <c r="AP298" s="440" t="e">
        <f t="shared" ca="1" si="131"/>
        <v>#VALUE!</v>
      </c>
      <c r="AQ298" s="440" t="e">
        <f t="shared" ca="1" si="132"/>
        <v>#VALUE!</v>
      </c>
      <c r="AR298" s="441" t="e">
        <f t="shared" ca="1" si="133"/>
        <v>#VALUE!</v>
      </c>
      <c r="AS298" s="443" t="e">
        <f t="shared" ca="1" si="134"/>
        <v>#VALUE!</v>
      </c>
      <c r="AT298" s="383" t="e">
        <f t="shared" ca="1" si="135"/>
        <v>#VALUE!</v>
      </c>
      <c r="AU298" s="444" t="e">
        <f t="shared" ca="1" si="136"/>
        <v>#VALUE!</v>
      </c>
      <c r="AV298" s="445">
        <v>81.599999999999994</v>
      </c>
      <c r="AW298" s="446" t="e">
        <f t="shared" si="137"/>
        <v>#VALUE!</v>
      </c>
      <c r="AX298" s="494" t="e">
        <f t="shared" ca="1" si="138"/>
        <v>#VALUE!</v>
      </c>
      <c r="AY298" s="145">
        <v>0.48599999999999999</v>
      </c>
      <c r="AZ298" s="495" t="e">
        <f t="shared" ca="1" si="107"/>
        <v>#VALUE!</v>
      </c>
      <c r="BA298" s="448" t="e">
        <f t="shared" ca="1" si="139"/>
        <v>#VALUE!</v>
      </c>
      <c r="BB298" s="449" t="e">
        <f t="shared" ca="1" si="108"/>
        <v>#VALUE!</v>
      </c>
      <c r="BC298" s="449" t="e">
        <f t="shared" ca="1" si="140"/>
        <v>#VALUE!</v>
      </c>
      <c r="BE298" s="195"/>
      <c r="BF298" s="19"/>
      <c r="BG298" s="260"/>
      <c r="BK298" s="19"/>
      <c r="BL298" s="19"/>
      <c r="BP298" s="195"/>
      <c r="BQ298" s="195"/>
      <c r="BR298" s="195"/>
      <c r="BS298" s="195"/>
      <c r="BT298" s="195"/>
      <c r="BU298" s="454"/>
      <c r="BV298" s="454"/>
      <c r="BW298" s="195"/>
      <c r="BX298" s="454"/>
      <c r="BY298" s="260"/>
      <c r="BZ298" s="195"/>
      <c r="CA298" s="19"/>
    </row>
    <row r="299" spans="1:79" x14ac:dyDescent="0.2">
      <c r="A299" s="427"/>
      <c r="B299" s="48"/>
      <c r="C299" s="48"/>
      <c r="D299" s="48"/>
      <c r="E299" s="48"/>
      <c r="F299" s="48"/>
      <c r="G299" s="48"/>
      <c r="K299" s="21">
        <v>5</v>
      </c>
      <c r="L299" s="324">
        <f t="shared" si="109"/>
        <v>19</v>
      </c>
      <c r="M299" s="440">
        <f t="shared" si="110"/>
        <v>3.1072923779410062</v>
      </c>
      <c r="N299" s="440">
        <f t="shared" si="111"/>
        <v>20.9</v>
      </c>
      <c r="O299" s="440">
        <f t="shared" si="112"/>
        <v>3.4173185829504664</v>
      </c>
      <c r="P299" s="441">
        <f t="shared" si="113"/>
        <v>3.2623293854029303</v>
      </c>
      <c r="Q299" s="442" t="e">
        <f t="shared" ca="1" si="114"/>
        <v>#NUM!</v>
      </c>
      <c r="R299" s="440" t="e">
        <f t="shared" ca="1" si="115"/>
        <v>#NUM!</v>
      </c>
      <c r="S299" s="440" t="e">
        <f t="shared" ca="1" si="116"/>
        <v>#NUM!</v>
      </c>
      <c r="T299" s="441" t="e">
        <f t="shared" ca="1" si="117"/>
        <v>#NUM!</v>
      </c>
      <c r="U299" s="443" t="e">
        <f t="shared" ca="1" si="118"/>
        <v>#NUM!</v>
      </c>
      <c r="V299" s="383" t="e">
        <f t="shared" ca="1" si="119"/>
        <v>#NUM!</v>
      </c>
      <c r="W299" s="444" t="e">
        <f t="shared" ca="1" si="120"/>
        <v>#NUM!</v>
      </c>
      <c r="X299" s="445">
        <v>81.599999999999994</v>
      </c>
      <c r="Y299" s="446">
        <f t="shared" si="121"/>
        <v>4.385408735158989E-4</v>
      </c>
      <c r="Z299" s="494" t="e">
        <f t="shared" ca="1" si="122"/>
        <v>#NUM!</v>
      </c>
      <c r="AA299" s="145">
        <v>0.54</v>
      </c>
      <c r="AB299" s="495" t="e">
        <f t="shared" ca="1" si="105"/>
        <v>#NUM!</v>
      </c>
      <c r="AC299" s="448" t="e">
        <f t="shared" ca="1" si="123"/>
        <v>#NUM!</v>
      </c>
      <c r="AD299" s="449" t="e">
        <f t="shared" ca="1" si="124"/>
        <v>#NUM!</v>
      </c>
      <c r="AE299" s="449" t="e">
        <f t="shared" ca="1" si="125"/>
        <v>#NUM!</v>
      </c>
      <c r="AG299" s="484"/>
      <c r="AI299" s="21">
        <v>5</v>
      </c>
      <c r="AJ299" s="324">
        <f t="shared" si="126"/>
        <v>19</v>
      </c>
      <c r="AK299" s="440" t="e">
        <f t="shared" si="127"/>
        <v>#VALUE!</v>
      </c>
      <c r="AL299" s="440">
        <f t="shared" si="128"/>
        <v>20.9</v>
      </c>
      <c r="AM299" s="440" t="e">
        <f t="shared" si="129"/>
        <v>#VALUE!</v>
      </c>
      <c r="AN299" s="441" t="e">
        <f t="shared" si="130"/>
        <v>#VALUE!</v>
      </c>
      <c r="AO299" s="442" t="e">
        <f t="shared" ca="1" si="106"/>
        <v>#VALUE!</v>
      </c>
      <c r="AP299" s="440" t="e">
        <f t="shared" ca="1" si="131"/>
        <v>#VALUE!</v>
      </c>
      <c r="AQ299" s="440" t="e">
        <f t="shared" ca="1" si="132"/>
        <v>#VALUE!</v>
      </c>
      <c r="AR299" s="441" t="e">
        <f t="shared" ca="1" si="133"/>
        <v>#VALUE!</v>
      </c>
      <c r="AS299" s="443" t="e">
        <f t="shared" ca="1" si="134"/>
        <v>#VALUE!</v>
      </c>
      <c r="AT299" s="383" t="e">
        <f t="shared" ca="1" si="135"/>
        <v>#VALUE!</v>
      </c>
      <c r="AU299" s="444" t="e">
        <f t="shared" ca="1" si="136"/>
        <v>#VALUE!</v>
      </c>
      <c r="AV299" s="445">
        <v>81.599999999999994</v>
      </c>
      <c r="AW299" s="446" t="e">
        <f t="shared" si="137"/>
        <v>#VALUE!</v>
      </c>
      <c r="AX299" s="494" t="e">
        <f t="shared" ca="1" si="138"/>
        <v>#VALUE!</v>
      </c>
      <c r="AY299" s="145">
        <v>0.54</v>
      </c>
      <c r="AZ299" s="495" t="e">
        <f t="shared" ca="1" si="107"/>
        <v>#VALUE!</v>
      </c>
      <c r="BA299" s="448" t="e">
        <f t="shared" ca="1" si="139"/>
        <v>#VALUE!</v>
      </c>
      <c r="BB299" s="449" t="e">
        <f t="shared" ca="1" si="108"/>
        <v>#VALUE!</v>
      </c>
      <c r="BC299" s="449" t="e">
        <f t="shared" ca="1" si="140"/>
        <v>#VALUE!</v>
      </c>
      <c r="BE299" s="195"/>
      <c r="BF299" s="19"/>
      <c r="BG299" s="260"/>
      <c r="BK299" s="19"/>
      <c r="BL299" s="19"/>
      <c r="BP299" s="195"/>
      <c r="BQ299" s="195"/>
      <c r="BR299" s="195"/>
      <c r="BS299" s="195"/>
      <c r="BT299" s="195"/>
      <c r="BU299" s="454"/>
      <c r="BV299" s="454"/>
      <c r="BW299" s="195"/>
      <c r="BX299" s="454"/>
      <c r="BY299" s="260"/>
      <c r="BZ299" s="195"/>
      <c r="CA299" s="19"/>
    </row>
    <row r="300" spans="1:79" x14ac:dyDescent="0.2">
      <c r="A300" s="427"/>
      <c r="B300" s="48"/>
      <c r="C300" s="48"/>
      <c r="D300" s="48"/>
      <c r="E300" s="48"/>
      <c r="F300" s="48"/>
      <c r="G300" s="48"/>
      <c r="K300" s="21">
        <v>6</v>
      </c>
      <c r="L300" s="324">
        <f t="shared" si="109"/>
        <v>21</v>
      </c>
      <c r="M300" s="440">
        <f t="shared" si="110"/>
        <v>3.433630362450522</v>
      </c>
      <c r="N300" s="440">
        <f t="shared" si="111"/>
        <v>22.9</v>
      </c>
      <c r="O300" s="440">
        <f t="shared" si="112"/>
        <v>3.7434453176692388</v>
      </c>
      <c r="P300" s="441">
        <f t="shared" si="113"/>
        <v>3.5885641056729223</v>
      </c>
      <c r="Q300" s="442" t="e">
        <f t="shared" ca="1" si="114"/>
        <v>#NUM!</v>
      </c>
      <c r="R300" s="440" t="e">
        <f t="shared" ca="1" si="115"/>
        <v>#NUM!</v>
      </c>
      <c r="S300" s="440" t="e">
        <f t="shared" ca="1" si="116"/>
        <v>#NUM!</v>
      </c>
      <c r="T300" s="441" t="e">
        <f t="shared" ca="1" si="117"/>
        <v>#NUM!</v>
      </c>
      <c r="U300" s="443" t="e">
        <f t="shared" ca="1" si="118"/>
        <v>#NUM!</v>
      </c>
      <c r="V300" s="383" t="e">
        <f t="shared" ca="1" si="119"/>
        <v>#NUM!</v>
      </c>
      <c r="W300" s="444" t="e">
        <f t="shared" ca="1" si="120"/>
        <v>#NUM!</v>
      </c>
      <c r="X300" s="445">
        <v>81.599999999999994</v>
      </c>
      <c r="Y300" s="446">
        <f t="shared" si="121"/>
        <v>4.820117950821907E-4</v>
      </c>
      <c r="Z300" s="494" t="e">
        <f t="shared" ca="1" si="122"/>
        <v>#NUM!</v>
      </c>
      <c r="AA300" s="145">
        <v>0.59399999999999997</v>
      </c>
      <c r="AB300" s="495" t="e">
        <f t="shared" ca="1" si="105"/>
        <v>#NUM!</v>
      </c>
      <c r="AC300" s="448" t="e">
        <f t="shared" ca="1" si="123"/>
        <v>#NUM!</v>
      </c>
      <c r="AD300" s="449" t="e">
        <f t="shared" ca="1" si="124"/>
        <v>#NUM!</v>
      </c>
      <c r="AE300" s="449" t="e">
        <f t="shared" ca="1" si="125"/>
        <v>#NUM!</v>
      </c>
      <c r="AG300" s="484"/>
      <c r="AI300" s="21">
        <v>6</v>
      </c>
      <c r="AJ300" s="324">
        <f t="shared" si="126"/>
        <v>21</v>
      </c>
      <c r="AK300" s="440" t="e">
        <f t="shared" si="127"/>
        <v>#VALUE!</v>
      </c>
      <c r="AL300" s="440">
        <f t="shared" si="128"/>
        <v>22.9</v>
      </c>
      <c r="AM300" s="440" t="e">
        <f t="shared" si="129"/>
        <v>#VALUE!</v>
      </c>
      <c r="AN300" s="441" t="e">
        <f t="shared" si="130"/>
        <v>#VALUE!</v>
      </c>
      <c r="AO300" s="442" t="e">
        <f t="shared" ca="1" si="106"/>
        <v>#VALUE!</v>
      </c>
      <c r="AP300" s="440" t="e">
        <f t="shared" ca="1" si="131"/>
        <v>#VALUE!</v>
      </c>
      <c r="AQ300" s="440" t="e">
        <f t="shared" ca="1" si="132"/>
        <v>#VALUE!</v>
      </c>
      <c r="AR300" s="441" t="e">
        <f t="shared" ca="1" si="133"/>
        <v>#VALUE!</v>
      </c>
      <c r="AS300" s="443" t="e">
        <f t="shared" ca="1" si="134"/>
        <v>#VALUE!</v>
      </c>
      <c r="AT300" s="383" t="e">
        <f t="shared" ca="1" si="135"/>
        <v>#VALUE!</v>
      </c>
      <c r="AU300" s="444" t="e">
        <f t="shared" ca="1" si="136"/>
        <v>#VALUE!</v>
      </c>
      <c r="AV300" s="445">
        <v>81.599999999999994</v>
      </c>
      <c r="AW300" s="446" t="e">
        <f t="shared" si="137"/>
        <v>#VALUE!</v>
      </c>
      <c r="AX300" s="494" t="e">
        <f t="shared" ca="1" si="138"/>
        <v>#VALUE!</v>
      </c>
      <c r="AY300" s="145">
        <v>0.59399999999999997</v>
      </c>
      <c r="AZ300" s="495" t="e">
        <f t="shared" ca="1" si="107"/>
        <v>#VALUE!</v>
      </c>
      <c r="BA300" s="448" t="e">
        <f t="shared" ca="1" si="139"/>
        <v>#VALUE!</v>
      </c>
      <c r="BB300" s="449" t="e">
        <f t="shared" ca="1" si="108"/>
        <v>#VALUE!</v>
      </c>
      <c r="BC300" s="449" t="e">
        <f t="shared" ca="1" si="140"/>
        <v>#VALUE!</v>
      </c>
      <c r="BE300" s="195"/>
      <c r="BF300" s="19"/>
      <c r="BG300" s="260"/>
      <c r="BK300" s="19"/>
      <c r="BL300" s="19"/>
      <c r="BP300" s="195"/>
      <c r="BQ300" s="195"/>
      <c r="BR300" s="195"/>
      <c r="BS300" s="195"/>
      <c r="BT300" s="195"/>
      <c r="BU300" s="454"/>
      <c r="BV300" s="454"/>
      <c r="BW300" s="195"/>
      <c r="BX300" s="454"/>
      <c r="BY300" s="260"/>
      <c r="BZ300" s="195"/>
      <c r="CA300" s="19"/>
    </row>
    <row r="301" spans="1:79" x14ac:dyDescent="0.2">
      <c r="A301" s="427"/>
      <c r="B301" s="48"/>
      <c r="C301" s="48"/>
      <c r="D301" s="48"/>
      <c r="E301" s="48"/>
      <c r="F301" s="48"/>
      <c r="G301" s="48"/>
      <c r="K301" s="21">
        <v>7</v>
      </c>
      <c r="L301" s="324">
        <f t="shared" si="109"/>
        <v>23</v>
      </c>
      <c r="M301" s="440">
        <f t="shared" si="110"/>
        <v>3.7597454560038992</v>
      </c>
      <c r="N301" s="440">
        <f t="shared" si="111"/>
        <v>24.9</v>
      </c>
      <c r="O301" s="440">
        <f t="shared" si="112"/>
        <v>4.0693293245630633</v>
      </c>
      <c r="P301" s="441">
        <f t="shared" si="113"/>
        <v>3.9145660063821093</v>
      </c>
      <c r="Q301" s="442" t="e">
        <f t="shared" ca="1" si="114"/>
        <v>#NUM!</v>
      </c>
      <c r="R301" s="440" t="e">
        <f t="shared" ca="1" si="115"/>
        <v>#NUM!</v>
      </c>
      <c r="S301" s="440" t="e">
        <f t="shared" ca="1" si="116"/>
        <v>#NUM!</v>
      </c>
      <c r="T301" s="441" t="e">
        <f t="shared" ca="1" si="117"/>
        <v>#NUM!</v>
      </c>
      <c r="U301" s="443" t="e">
        <f t="shared" ca="1" si="118"/>
        <v>#NUM!</v>
      </c>
      <c r="V301" s="383" t="e">
        <f t="shared" ca="1" si="119"/>
        <v>#NUM!</v>
      </c>
      <c r="W301" s="444" t="e">
        <f t="shared" ca="1" si="120"/>
        <v>#NUM!</v>
      </c>
      <c r="X301" s="445">
        <v>81.599999999999994</v>
      </c>
      <c r="Y301" s="446">
        <f t="shared" si="121"/>
        <v>5.2534255252881571E-4</v>
      </c>
      <c r="Z301" s="494" t="e">
        <f t="shared" ca="1" si="122"/>
        <v>#NUM!</v>
      </c>
      <c r="AA301" s="145">
        <v>0.64800000000000002</v>
      </c>
      <c r="AB301" s="495" t="e">
        <f t="shared" ca="1" si="105"/>
        <v>#NUM!</v>
      </c>
      <c r="AC301" s="448" t="e">
        <f t="shared" ca="1" si="123"/>
        <v>#NUM!</v>
      </c>
      <c r="AD301" s="449" t="e">
        <f t="shared" ca="1" si="124"/>
        <v>#NUM!</v>
      </c>
      <c r="AE301" s="449" t="e">
        <f t="shared" ca="1" si="125"/>
        <v>#NUM!</v>
      </c>
      <c r="AG301" s="484"/>
      <c r="AI301" s="21">
        <v>7</v>
      </c>
      <c r="AJ301" s="324">
        <f t="shared" si="126"/>
        <v>23</v>
      </c>
      <c r="AK301" s="440" t="e">
        <f t="shared" si="127"/>
        <v>#VALUE!</v>
      </c>
      <c r="AL301" s="440">
        <f t="shared" si="128"/>
        <v>24.9</v>
      </c>
      <c r="AM301" s="440" t="e">
        <f t="shared" si="129"/>
        <v>#VALUE!</v>
      </c>
      <c r="AN301" s="441" t="e">
        <f t="shared" si="130"/>
        <v>#VALUE!</v>
      </c>
      <c r="AO301" s="442" t="e">
        <f t="shared" ca="1" si="106"/>
        <v>#VALUE!</v>
      </c>
      <c r="AP301" s="440" t="e">
        <f t="shared" ca="1" si="131"/>
        <v>#VALUE!</v>
      </c>
      <c r="AQ301" s="440" t="e">
        <f t="shared" ca="1" si="132"/>
        <v>#VALUE!</v>
      </c>
      <c r="AR301" s="441" t="e">
        <f t="shared" ca="1" si="133"/>
        <v>#VALUE!</v>
      </c>
      <c r="AS301" s="443" t="e">
        <f t="shared" ca="1" si="134"/>
        <v>#VALUE!</v>
      </c>
      <c r="AT301" s="383" t="e">
        <f t="shared" ca="1" si="135"/>
        <v>#VALUE!</v>
      </c>
      <c r="AU301" s="444" t="e">
        <f t="shared" ca="1" si="136"/>
        <v>#VALUE!</v>
      </c>
      <c r="AV301" s="445">
        <v>81.599999999999994</v>
      </c>
      <c r="AW301" s="446" t="e">
        <f t="shared" si="137"/>
        <v>#VALUE!</v>
      </c>
      <c r="AX301" s="494" t="e">
        <f t="shared" ca="1" si="138"/>
        <v>#VALUE!</v>
      </c>
      <c r="AY301" s="145">
        <v>0.64800000000000002</v>
      </c>
      <c r="AZ301" s="495" t="e">
        <f t="shared" ca="1" si="107"/>
        <v>#VALUE!</v>
      </c>
      <c r="BA301" s="448" t="e">
        <f t="shared" ca="1" si="139"/>
        <v>#VALUE!</v>
      </c>
      <c r="BB301" s="449" t="e">
        <f t="shared" ca="1" si="108"/>
        <v>#VALUE!</v>
      </c>
      <c r="BC301" s="449" t="e">
        <f t="shared" ca="1" si="140"/>
        <v>#VALUE!</v>
      </c>
      <c r="BE301" s="195"/>
      <c r="BF301" s="19"/>
      <c r="BG301" s="260"/>
      <c r="BK301" s="19"/>
      <c r="BL301" s="19"/>
      <c r="BP301" s="195"/>
      <c r="BQ301" s="195"/>
      <c r="BR301" s="195"/>
      <c r="BS301" s="195"/>
      <c r="BT301" s="195"/>
      <c r="BU301" s="454"/>
      <c r="BV301" s="454"/>
      <c r="BW301" s="195"/>
      <c r="BX301" s="454"/>
      <c r="BY301" s="260"/>
      <c r="BZ301" s="195"/>
      <c r="CA301" s="19"/>
    </row>
    <row r="302" spans="1:79" x14ac:dyDescent="0.2">
      <c r="A302" s="427"/>
      <c r="B302" s="48"/>
      <c r="C302" s="48"/>
      <c r="D302" s="48"/>
      <c r="E302" s="48"/>
      <c r="F302" s="48"/>
      <c r="G302" s="48"/>
      <c r="K302" s="21">
        <v>8</v>
      </c>
      <c r="L302" s="324">
        <f t="shared" si="109"/>
        <v>25</v>
      </c>
      <c r="M302" s="440">
        <f t="shared" si="110"/>
        <v>4.0856167799748766</v>
      </c>
      <c r="N302" s="440">
        <f t="shared" si="111"/>
        <v>26.9</v>
      </c>
      <c r="O302" s="440">
        <f t="shared" si="112"/>
        <v>4.3949498143830414</v>
      </c>
      <c r="P302" s="441">
        <f t="shared" si="113"/>
        <v>4.2403142527076279</v>
      </c>
      <c r="Q302" s="442" t="e">
        <f t="shared" ca="1" si="114"/>
        <v>#NUM!</v>
      </c>
      <c r="R302" s="440" t="e">
        <f t="shared" ca="1" si="115"/>
        <v>#NUM!</v>
      </c>
      <c r="S302" s="440" t="e">
        <f t="shared" ca="1" si="116"/>
        <v>#NUM!</v>
      </c>
      <c r="T302" s="441" t="e">
        <f t="shared" ca="1" si="117"/>
        <v>#NUM!</v>
      </c>
      <c r="U302" s="443" t="e">
        <f t="shared" ca="1" si="118"/>
        <v>#NUM!</v>
      </c>
      <c r="V302" s="383" t="e">
        <f t="shared" ca="1" si="119"/>
        <v>#NUM!</v>
      </c>
      <c r="W302" s="444" t="e">
        <f t="shared" ca="1" si="120"/>
        <v>#NUM!</v>
      </c>
      <c r="X302" s="445">
        <v>81.599999999999994</v>
      </c>
      <c r="Y302" s="446">
        <f t="shared" si="121"/>
        <v>5.6852084988536639E-4</v>
      </c>
      <c r="Z302" s="494" t="e">
        <f t="shared" ca="1" si="122"/>
        <v>#NUM!</v>
      </c>
      <c r="AA302" s="145">
        <v>0.70199999999999996</v>
      </c>
      <c r="AB302" s="495" t="e">
        <f t="shared" ca="1" si="105"/>
        <v>#NUM!</v>
      </c>
      <c r="AC302" s="448" t="e">
        <f t="shared" ca="1" si="123"/>
        <v>#NUM!</v>
      </c>
      <c r="AD302" s="449" t="e">
        <f t="shared" ca="1" si="124"/>
        <v>#NUM!</v>
      </c>
      <c r="AE302" s="449" t="e">
        <f t="shared" ca="1" si="125"/>
        <v>#NUM!</v>
      </c>
      <c r="AG302" s="484"/>
      <c r="AI302" s="21">
        <v>8</v>
      </c>
      <c r="AJ302" s="324">
        <f t="shared" si="126"/>
        <v>25</v>
      </c>
      <c r="AK302" s="440" t="e">
        <f t="shared" si="127"/>
        <v>#VALUE!</v>
      </c>
      <c r="AL302" s="440">
        <f t="shared" si="128"/>
        <v>26.9</v>
      </c>
      <c r="AM302" s="440" t="e">
        <f t="shared" si="129"/>
        <v>#VALUE!</v>
      </c>
      <c r="AN302" s="441" t="e">
        <f t="shared" si="130"/>
        <v>#VALUE!</v>
      </c>
      <c r="AO302" s="442" t="e">
        <f t="shared" ca="1" si="106"/>
        <v>#VALUE!</v>
      </c>
      <c r="AP302" s="440" t="e">
        <f t="shared" ca="1" si="131"/>
        <v>#VALUE!</v>
      </c>
      <c r="AQ302" s="440" t="e">
        <f t="shared" ca="1" si="132"/>
        <v>#VALUE!</v>
      </c>
      <c r="AR302" s="441" t="e">
        <f t="shared" ca="1" si="133"/>
        <v>#VALUE!</v>
      </c>
      <c r="AS302" s="443" t="e">
        <f t="shared" ca="1" si="134"/>
        <v>#VALUE!</v>
      </c>
      <c r="AT302" s="383" t="e">
        <f t="shared" ca="1" si="135"/>
        <v>#VALUE!</v>
      </c>
      <c r="AU302" s="444" t="e">
        <f t="shared" ca="1" si="136"/>
        <v>#VALUE!</v>
      </c>
      <c r="AV302" s="445">
        <v>81.599999999999994</v>
      </c>
      <c r="AW302" s="446" t="e">
        <f t="shared" si="137"/>
        <v>#VALUE!</v>
      </c>
      <c r="AX302" s="494" t="e">
        <f t="shared" ca="1" si="138"/>
        <v>#VALUE!</v>
      </c>
      <c r="AY302" s="145">
        <v>0.70199999999999996</v>
      </c>
      <c r="AZ302" s="495" t="e">
        <f t="shared" ca="1" si="107"/>
        <v>#VALUE!</v>
      </c>
      <c r="BA302" s="448" t="e">
        <f t="shared" ca="1" si="139"/>
        <v>#VALUE!</v>
      </c>
      <c r="BB302" s="449" t="e">
        <f t="shared" ca="1" si="108"/>
        <v>#VALUE!</v>
      </c>
      <c r="BC302" s="449" t="e">
        <f t="shared" ca="1" si="140"/>
        <v>#VALUE!</v>
      </c>
      <c r="BE302" s="195"/>
      <c r="BF302" s="19"/>
      <c r="BG302" s="260"/>
      <c r="BK302" s="19"/>
      <c r="BL302" s="19"/>
      <c r="BP302" s="195"/>
      <c r="BQ302" s="195"/>
      <c r="BR302" s="195"/>
      <c r="BS302" s="195"/>
      <c r="BT302" s="195"/>
      <c r="BU302" s="454"/>
      <c r="BV302" s="454"/>
      <c r="BW302" s="195"/>
      <c r="BX302" s="454"/>
      <c r="BY302" s="260"/>
      <c r="BZ302" s="195"/>
      <c r="CA302" s="19"/>
    </row>
    <row r="303" spans="1:79" x14ac:dyDescent="0.2">
      <c r="A303" s="427"/>
      <c r="B303" s="48" t="s">
        <v>287</v>
      </c>
      <c r="C303" s="48"/>
      <c r="D303" s="48"/>
      <c r="E303" s="48"/>
      <c r="F303" s="48"/>
      <c r="G303" s="48"/>
      <c r="K303" s="21">
        <v>9</v>
      </c>
      <c r="L303" s="324">
        <f t="shared" si="109"/>
        <v>27</v>
      </c>
      <c r="M303" s="440">
        <f t="shared" si="110"/>
        <v>4.4112235500144106</v>
      </c>
      <c r="N303" s="440">
        <f t="shared" si="111"/>
        <v>28.9</v>
      </c>
      <c r="O303" s="440">
        <f t="shared" si="112"/>
        <v>4.7202860995682778</v>
      </c>
      <c r="P303" s="441">
        <f t="shared" si="113"/>
        <v>4.5657881078198344</v>
      </c>
      <c r="Q303" s="442" t="e">
        <f t="shared" ca="1" si="114"/>
        <v>#NUM!</v>
      </c>
      <c r="R303" s="440" t="e">
        <f t="shared" ca="1" si="115"/>
        <v>#NUM!</v>
      </c>
      <c r="S303" s="440" t="e">
        <f t="shared" ca="1" si="116"/>
        <v>#NUM!</v>
      </c>
      <c r="T303" s="441" t="e">
        <f t="shared" ca="1" si="117"/>
        <v>#NUM!</v>
      </c>
      <c r="U303" s="443" t="e">
        <f t="shared" ca="1" si="118"/>
        <v>#NUM!</v>
      </c>
      <c r="V303" s="383" t="e">
        <f t="shared" ca="1" si="119"/>
        <v>#NUM!</v>
      </c>
      <c r="W303" s="444" t="e">
        <f t="shared" ca="1" si="120"/>
        <v>#NUM!</v>
      </c>
      <c r="X303" s="445">
        <v>81.599999999999994</v>
      </c>
      <c r="Y303" s="446">
        <f t="shared" si="121"/>
        <v>6.1153451329718021E-4</v>
      </c>
      <c r="Z303" s="494" t="e">
        <f t="shared" ca="1" si="122"/>
        <v>#NUM!</v>
      </c>
      <c r="AA303" s="145">
        <v>0.75600000000000001</v>
      </c>
      <c r="AB303" s="495" t="e">
        <f t="shared" ca="1" si="105"/>
        <v>#NUM!</v>
      </c>
      <c r="AC303" s="448" t="e">
        <f t="shared" ca="1" si="123"/>
        <v>#NUM!</v>
      </c>
      <c r="AD303" s="449" t="e">
        <f t="shared" ca="1" si="124"/>
        <v>#NUM!</v>
      </c>
      <c r="AE303" s="449" t="e">
        <f t="shared" ca="1" si="125"/>
        <v>#NUM!</v>
      </c>
      <c r="AG303" s="484"/>
      <c r="AI303" s="21">
        <v>9</v>
      </c>
      <c r="AJ303" s="324">
        <f t="shared" si="126"/>
        <v>27</v>
      </c>
      <c r="AK303" s="440" t="e">
        <f t="shared" si="127"/>
        <v>#VALUE!</v>
      </c>
      <c r="AL303" s="440">
        <f t="shared" si="128"/>
        <v>28.9</v>
      </c>
      <c r="AM303" s="440" t="e">
        <f t="shared" si="129"/>
        <v>#VALUE!</v>
      </c>
      <c r="AN303" s="441" t="e">
        <f t="shared" si="130"/>
        <v>#VALUE!</v>
      </c>
      <c r="AO303" s="442" t="e">
        <f t="shared" ca="1" si="106"/>
        <v>#VALUE!</v>
      </c>
      <c r="AP303" s="440" t="e">
        <f t="shared" ca="1" si="131"/>
        <v>#VALUE!</v>
      </c>
      <c r="AQ303" s="440" t="e">
        <f t="shared" ca="1" si="132"/>
        <v>#VALUE!</v>
      </c>
      <c r="AR303" s="441" t="e">
        <f t="shared" ca="1" si="133"/>
        <v>#VALUE!</v>
      </c>
      <c r="AS303" s="443" t="e">
        <f t="shared" ca="1" si="134"/>
        <v>#VALUE!</v>
      </c>
      <c r="AT303" s="383" t="e">
        <f t="shared" ca="1" si="135"/>
        <v>#VALUE!</v>
      </c>
      <c r="AU303" s="444" t="e">
        <f t="shared" ca="1" si="136"/>
        <v>#VALUE!</v>
      </c>
      <c r="AV303" s="445">
        <v>81.599999999999994</v>
      </c>
      <c r="AW303" s="446" t="e">
        <f t="shared" si="137"/>
        <v>#VALUE!</v>
      </c>
      <c r="AX303" s="494" t="e">
        <f t="shared" ca="1" si="138"/>
        <v>#VALUE!</v>
      </c>
      <c r="AY303" s="145">
        <v>0.75600000000000001</v>
      </c>
      <c r="AZ303" s="495" t="e">
        <f t="shared" ca="1" si="107"/>
        <v>#VALUE!</v>
      </c>
      <c r="BA303" s="448" t="e">
        <f t="shared" ca="1" si="139"/>
        <v>#VALUE!</v>
      </c>
      <c r="BB303" s="449" t="e">
        <f t="shared" ca="1" si="108"/>
        <v>#VALUE!</v>
      </c>
      <c r="BC303" s="449" t="e">
        <f t="shared" ca="1" si="140"/>
        <v>#VALUE!</v>
      </c>
      <c r="BE303" s="195"/>
      <c r="BF303" s="19"/>
      <c r="BG303" s="260"/>
      <c r="BK303" s="19"/>
      <c r="BL303" s="19"/>
      <c r="BP303" s="195"/>
      <c r="BQ303" s="195"/>
      <c r="BR303" s="195"/>
      <c r="BS303" s="195"/>
      <c r="BT303" s="195"/>
      <c r="BU303" s="454"/>
      <c r="BV303" s="454"/>
      <c r="BW303" s="195"/>
      <c r="BX303" s="454"/>
      <c r="BY303" s="260"/>
      <c r="BZ303" s="195"/>
      <c r="CA303" s="19"/>
    </row>
    <row r="304" spans="1:79" x14ac:dyDescent="0.2">
      <c r="A304" s="427"/>
      <c r="B304" s="50" t="s">
        <v>241</v>
      </c>
      <c r="C304" s="23">
        <v>350</v>
      </c>
      <c r="D304" s="48" t="s">
        <v>1623</v>
      </c>
      <c r="E304" s="48"/>
      <c r="F304" s="48"/>
      <c r="G304" s="48"/>
      <c r="K304" s="21">
        <v>10</v>
      </c>
      <c r="L304" s="324">
        <f t="shared" si="109"/>
        <v>29</v>
      </c>
      <c r="M304" s="440">
        <f t="shared" si="110"/>
        <v>4.7365450838491245</v>
      </c>
      <c r="N304" s="440">
        <f t="shared" si="111"/>
        <v>30.9</v>
      </c>
      <c r="O304" s="440">
        <f t="shared" si="112"/>
        <v>5.045317601951619</v>
      </c>
      <c r="P304" s="441">
        <f t="shared" si="113"/>
        <v>4.8909669406351988</v>
      </c>
      <c r="Q304" s="442" t="e">
        <f t="shared" ca="1" si="114"/>
        <v>#NUM!</v>
      </c>
      <c r="R304" s="440" t="e">
        <f t="shared" ca="1" si="115"/>
        <v>#NUM!</v>
      </c>
      <c r="S304" s="440" t="e">
        <f t="shared" ca="1" si="116"/>
        <v>#NUM!</v>
      </c>
      <c r="T304" s="441" t="e">
        <f t="shared" ca="1" si="117"/>
        <v>#NUM!</v>
      </c>
      <c r="U304" s="443" t="e">
        <f t="shared" ca="1" si="118"/>
        <v>#NUM!</v>
      </c>
      <c r="V304" s="383" t="e">
        <f t="shared" ca="1" si="119"/>
        <v>#NUM!</v>
      </c>
      <c r="W304" s="444" t="e">
        <f t="shared" ca="1" si="120"/>
        <v>#NUM!</v>
      </c>
      <c r="X304" s="445">
        <v>81.599999999999994</v>
      </c>
      <c r="Y304" s="446">
        <f t="shared" si="121"/>
        <v>6.5437150034568725E-4</v>
      </c>
      <c r="Z304" s="494" t="e">
        <f t="shared" ca="1" si="122"/>
        <v>#NUM!</v>
      </c>
      <c r="AA304" s="145">
        <v>0.81</v>
      </c>
      <c r="AB304" s="495" t="e">
        <f t="shared" ca="1" si="105"/>
        <v>#NUM!</v>
      </c>
      <c r="AC304" s="448" t="e">
        <f t="shared" ca="1" si="123"/>
        <v>#NUM!</v>
      </c>
      <c r="AD304" s="449" t="e">
        <f t="shared" ca="1" si="124"/>
        <v>#NUM!</v>
      </c>
      <c r="AE304" s="449" t="e">
        <f t="shared" ca="1" si="125"/>
        <v>#NUM!</v>
      </c>
      <c r="AG304" s="484"/>
      <c r="AI304" s="21">
        <v>10</v>
      </c>
      <c r="AJ304" s="324">
        <f t="shared" si="126"/>
        <v>29</v>
      </c>
      <c r="AK304" s="440" t="e">
        <f t="shared" si="127"/>
        <v>#VALUE!</v>
      </c>
      <c r="AL304" s="440">
        <f t="shared" si="128"/>
        <v>30.9</v>
      </c>
      <c r="AM304" s="440" t="e">
        <f t="shared" si="129"/>
        <v>#VALUE!</v>
      </c>
      <c r="AN304" s="441" t="e">
        <f t="shared" si="130"/>
        <v>#VALUE!</v>
      </c>
      <c r="AO304" s="442" t="e">
        <f t="shared" ca="1" si="106"/>
        <v>#VALUE!</v>
      </c>
      <c r="AP304" s="440" t="e">
        <f t="shared" ca="1" si="131"/>
        <v>#VALUE!</v>
      </c>
      <c r="AQ304" s="440" t="e">
        <f t="shared" ca="1" si="132"/>
        <v>#VALUE!</v>
      </c>
      <c r="AR304" s="441" t="e">
        <f t="shared" ca="1" si="133"/>
        <v>#VALUE!</v>
      </c>
      <c r="AS304" s="443" t="e">
        <f t="shared" ca="1" si="134"/>
        <v>#VALUE!</v>
      </c>
      <c r="AT304" s="383" t="e">
        <f t="shared" ca="1" si="135"/>
        <v>#VALUE!</v>
      </c>
      <c r="AU304" s="444" t="e">
        <f t="shared" ca="1" si="136"/>
        <v>#VALUE!</v>
      </c>
      <c r="AV304" s="445">
        <v>81.599999999999994</v>
      </c>
      <c r="AW304" s="446" t="e">
        <f t="shared" si="137"/>
        <v>#VALUE!</v>
      </c>
      <c r="AX304" s="494" t="e">
        <f t="shared" ca="1" si="138"/>
        <v>#VALUE!</v>
      </c>
      <c r="AY304" s="145">
        <v>0.81</v>
      </c>
      <c r="AZ304" s="495" t="e">
        <f t="shared" ca="1" si="107"/>
        <v>#VALUE!</v>
      </c>
      <c r="BA304" s="448" t="e">
        <f t="shared" ca="1" si="139"/>
        <v>#VALUE!</v>
      </c>
      <c r="BB304" s="449" t="e">
        <f t="shared" ca="1" si="108"/>
        <v>#VALUE!</v>
      </c>
      <c r="BC304" s="449" t="e">
        <f t="shared" ca="1" si="140"/>
        <v>#VALUE!</v>
      </c>
      <c r="BE304" s="195"/>
      <c r="BF304" s="19"/>
      <c r="BG304" s="260"/>
      <c r="BK304" s="19"/>
      <c r="BL304" s="19"/>
      <c r="BP304" s="195"/>
      <c r="BQ304" s="195"/>
      <c r="BR304" s="195"/>
      <c r="BS304" s="195"/>
      <c r="BT304" s="195"/>
      <c r="BU304" s="454"/>
      <c r="BV304" s="454"/>
      <c r="BW304" s="195"/>
      <c r="BX304" s="454"/>
      <c r="BY304" s="260"/>
      <c r="BZ304" s="195"/>
      <c r="CA304" s="19"/>
    </row>
    <row r="305" spans="1:79" x14ac:dyDescent="0.2">
      <c r="A305" s="427"/>
      <c r="B305" s="50" t="s">
        <v>521</v>
      </c>
      <c r="C305" s="23" t="s">
        <v>175</v>
      </c>
      <c r="D305" s="48" t="s">
        <v>1623</v>
      </c>
      <c r="E305" s="48"/>
      <c r="F305" s="48"/>
      <c r="G305" s="48"/>
      <c r="K305" s="21">
        <v>11</v>
      </c>
      <c r="L305" s="324">
        <f t="shared" si="109"/>
        <v>31</v>
      </c>
      <c r="M305" s="440">
        <f t="shared" si="110"/>
        <v>5.0615608089819819</v>
      </c>
      <c r="N305" s="440">
        <f t="shared" si="111"/>
        <v>32.9</v>
      </c>
      <c r="O305" s="440">
        <f t="shared" si="112"/>
        <v>5.3700238603609662</v>
      </c>
      <c r="P305" s="441">
        <f t="shared" si="113"/>
        <v>5.215830233468072</v>
      </c>
      <c r="Q305" s="442" t="e">
        <f t="shared" ca="1" si="114"/>
        <v>#NUM!</v>
      </c>
      <c r="R305" s="440" t="e">
        <f t="shared" ca="1" si="115"/>
        <v>#NUM!</v>
      </c>
      <c r="S305" s="440" t="e">
        <f t="shared" ca="1" si="116"/>
        <v>#NUM!</v>
      </c>
      <c r="T305" s="441" t="e">
        <f t="shared" ca="1" si="117"/>
        <v>#NUM!</v>
      </c>
      <c r="U305" s="443" t="e">
        <f t="shared" ca="1" si="118"/>
        <v>#NUM!</v>
      </c>
      <c r="V305" s="383" t="e">
        <f t="shared" ca="1" si="119"/>
        <v>#NUM!</v>
      </c>
      <c r="W305" s="444" t="e">
        <f t="shared" ca="1" si="120"/>
        <v>#NUM!</v>
      </c>
      <c r="X305" s="445">
        <v>81.599999999999994</v>
      </c>
      <c r="Y305" s="446">
        <f t="shared" si="121"/>
        <v>6.970199091635216E-4</v>
      </c>
      <c r="Z305" s="494" t="e">
        <f t="shared" ca="1" si="122"/>
        <v>#NUM!</v>
      </c>
      <c r="AA305" s="145">
        <v>0.86499999999999999</v>
      </c>
      <c r="AB305" s="495" t="e">
        <f t="shared" ca="1" si="105"/>
        <v>#NUM!</v>
      </c>
      <c r="AC305" s="448" t="e">
        <f t="shared" ca="1" si="123"/>
        <v>#NUM!</v>
      </c>
      <c r="AD305" s="449" t="e">
        <f t="shared" ca="1" si="124"/>
        <v>#NUM!</v>
      </c>
      <c r="AE305" s="449" t="e">
        <f t="shared" ca="1" si="125"/>
        <v>#NUM!</v>
      </c>
      <c r="AG305" s="484"/>
      <c r="AI305" s="21">
        <v>11</v>
      </c>
      <c r="AJ305" s="324">
        <f t="shared" si="126"/>
        <v>31</v>
      </c>
      <c r="AK305" s="440" t="e">
        <f t="shared" si="127"/>
        <v>#VALUE!</v>
      </c>
      <c r="AL305" s="440">
        <f t="shared" si="128"/>
        <v>32.9</v>
      </c>
      <c r="AM305" s="440" t="e">
        <f t="shared" si="129"/>
        <v>#VALUE!</v>
      </c>
      <c r="AN305" s="441" t="e">
        <f t="shared" si="130"/>
        <v>#VALUE!</v>
      </c>
      <c r="AO305" s="442" t="e">
        <f t="shared" ca="1" si="106"/>
        <v>#VALUE!</v>
      </c>
      <c r="AP305" s="440" t="e">
        <f t="shared" ca="1" si="131"/>
        <v>#VALUE!</v>
      </c>
      <c r="AQ305" s="440" t="e">
        <f t="shared" ca="1" si="132"/>
        <v>#VALUE!</v>
      </c>
      <c r="AR305" s="441" t="e">
        <f t="shared" ca="1" si="133"/>
        <v>#VALUE!</v>
      </c>
      <c r="AS305" s="443" t="e">
        <f t="shared" ca="1" si="134"/>
        <v>#VALUE!</v>
      </c>
      <c r="AT305" s="383" t="e">
        <f t="shared" ca="1" si="135"/>
        <v>#VALUE!</v>
      </c>
      <c r="AU305" s="444" t="e">
        <f t="shared" ca="1" si="136"/>
        <v>#VALUE!</v>
      </c>
      <c r="AV305" s="445">
        <v>81.599999999999994</v>
      </c>
      <c r="AW305" s="446" t="e">
        <f t="shared" si="137"/>
        <v>#VALUE!</v>
      </c>
      <c r="AX305" s="494" t="e">
        <f t="shared" ca="1" si="138"/>
        <v>#VALUE!</v>
      </c>
      <c r="AY305" s="145">
        <v>0.86499999999999999</v>
      </c>
      <c r="AZ305" s="495" t="e">
        <f t="shared" ca="1" si="107"/>
        <v>#VALUE!</v>
      </c>
      <c r="BA305" s="448" t="e">
        <f t="shared" ca="1" si="139"/>
        <v>#VALUE!</v>
      </c>
      <c r="BB305" s="449" t="e">
        <f t="shared" ca="1" si="108"/>
        <v>#VALUE!</v>
      </c>
      <c r="BC305" s="449" t="e">
        <f t="shared" ca="1" si="140"/>
        <v>#VALUE!</v>
      </c>
      <c r="BE305" s="195"/>
      <c r="BF305" s="19"/>
      <c r="BG305" s="260"/>
      <c r="BK305" s="19"/>
      <c r="BL305" s="19"/>
      <c r="BP305" s="195"/>
      <c r="BQ305" s="195"/>
      <c r="BR305" s="195"/>
      <c r="BS305" s="195"/>
      <c r="BT305" s="195"/>
      <c r="BU305" s="454"/>
      <c r="BV305" s="454"/>
      <c r="BW305" s="195"/>
      <c r="BX305" s="454"/>
      <c r="BY305" s="260"/>
      <c r="BZ305" s="195"/>
      <c r="CA305" s="19"/>
    </row>
    <row r="306" spans="1:79" x14ac:dyDescent="0.2">
      <c r="K306" s="21">
        <v>12</v>
      </c>
      <c r="L306" s="324">
        <f t="shared" si="109"/>
        <v>33</v>
      </c>
      <c r="M306" s="440">
        <f t="shared" si="110"/>
        <v>5.3862502702882074</v>
      </c>
      <c r="N306" s="440">
        <f t="shared" si="111"/>
        <v>34.9</v>
      </c>
      <c r="O306" s="440">
        <f t="shared" si="112"/>
        <v>5.6943845381093778</v>
      </c>
      <c r="P306" s="441">
        <f t="shared" si="113"/>
        <v>5.5403575895744597</v>
      </c>
      <c r="Q306" s="442" t="e">
        <f t="shared" ca="1" si="114"/>
        <v>#NUM!</v>
      </c>
      <c r="R306" s="440" t="e">
        <f t="shared" ca="1" si="115"/>
        <v>#NUM!</v>
      </c>
      <c r="S306" s="440" t="e">
        <f t="shared" ca="1" si="116"/>
        <v>#NUM!</v>
      </c>
      <c r="T306" s="441" t="e">
        <f t="shared" ca="1" si="117"/>
        <v>#NUM!</v>
      </c>
      <c r="U306" s="443" t="e">
        <f t="shared" ca="1" si="118"/>
        <v>#NUM!</v>
      </c>
      <c r="V306" s="383" t="e">
        <f t="shared" ca="1" si="119"/>
        <v>#NUM!</v>
      </c>
      <c r="W306" s="444" t="e">
        <f t="shared" ca="1" si="120"/>
        <v>#NUM!</v>
      </c>
      <c r="X306" s="445">
        <v>81.599999999999994</v>
      </c>
      <c r="Y306" s="446">
        <f t="shared" si="121"/>
        <v>7.394679873344367E-4</v>
      </c>
      <c r="Z306" s="494" t="e">
        <f t="shared" ca="1" si="122"/>
        <v>#NUM!</v>
      </c>
      <c r="AA306" s="145">
        <v>0.91900000000000004</v>
      </c>
      <c r="AB306" s="495" t="e">
        <f t="shared" ca="1" si="105"/>
        <v>#NUM!</v>
      </c>
      <c r="AC306" s="448" t="e">
        <f t="shared" ca="1" si="123"/>
        <v>#NUM!</v>
      </c>
      <c r="AD306" s="449" t="e">
        <f t="shared" ca="1" si="124"/>
        <v>#NUM!</v>
      </c>
      <c r="AE306" s="449" t="e">
        <f t="shared" ca="1" si="125"/>
        <v>#NUM!</v>
      </c>
      <c r="AG306" s="484"/>
      <c r="AI306" s="21">
        <v>12</v>
      </c>
      <c r="AJ306" s="324">
        <f t="shared" si="126"/>
        <v>33</v>
      </c>
      <c r="AK306" s="440" t="e">
        <f t="shared" si="127"/>
        <v>#VALUE!</v>
      </c>
      <c r="AL306" s="440">
        <f t="shared" si="128"/>
        <v>34.9</v>
      </c>
      <c r="AM306" s="440" t="e">
        <f t="shared" si="129"/>
        <v>#VALUE!</v>
      </c>
      <c r="AN306" s="441" t="e">
        <f t="shared" si="130"/>
        <v>#VALUE!</v>
      </c>
      <c r="AO306" s="442" t="e">
        <f t="shared" ca="1" si="106"/>
        <v>#VALUE!</v>
      </c>
      <c r="AP306" s="440" t="e">
        <f t="shared" ca="1" si="131"/>
        <v>#VALUE!</v>
      </c>
      <c r="AQ306" s="440" t="e">
        <f t="shared" ca="1" si="132"/>
        <v>#VALUE!</v>
      </c>
      <c r="AR306" s="441" t="e">
        <f t="shared" ca="1" si="133"/>
        <v>#VALUE!</v>
      </c>
      <c r="AS306" s="443" t="e">
        <f t="shared" ca="1" si="134"/>
        <v>#VALUE!</v>
      </c>
      <c r="AT306" s="383" t="e">
        <f t="shared" ca="1" si="135"/>
        <v>#VALUE!</v>
      </c>
      <c r="AU306" s="444" t="e">
        <f t="shared" ca="1" si="136"/>
        <v>#VALUE!</v>
      </c>
      <c r="AV306" s="445">
        <v>81.599999999999994</v>
      </c>
      <c r="AW306" s="446" t="e">
        <f t="shared" si="137"/>
        <v>#VALUE!</v>
      </c>
      <c r="AX306" s="494" t="e">
        <f t="shared" ca="1" si="138"/>
        <v>#VALUE!</v>
      </c>
      <c r="AY306" s="145">
        <v>0.91900000000000004</v>
      </c>
      <c r="AZ306" s="495" t="e">
        <f t="shared" ca="1" si="107"/>
        <v>#VALUE!</v>
      </c>
      <c r="BA306" s="448" t="e">
        <f t="shared" ca="1" si="139"/>
        <v>#VALUE!</v>
      </c>
      <c r="BB306" s="449" t="e">
        <f t="shared" ca="1" si="108"/>
        <v>#VALUE!</v>
      </c>
      <c r="BC306" s="449" t="e">
        <f t="shared" ca="1" si="140"/>
        <v>#VALUE!</v>
      </c>
      <c r="BE306" s="195"/>
      <c r="BF306" s="19"/>
      <c r="BG306" s="260"/>
      <c r="BK306" s="19"/>
      <c r="BL306" s="19"/>
      <c r="BP306" s="195"/>
      <c r="BQ306" s="195"/>
      <c r="BR306" s="195"/>
      <c r="BS306" s="195"/>
      <c r="BT306" s="195"/>
      <c r="BU306" s="454"/>
      <c r="BV306" s="454"/>
      <c r="BW306" s="195"/>
      <c r="BX306" s="454"/>
      <c r="BY306" s="260"/>
      <c r="BZ306" s="195"/>
      <c r="CA306" s="19"/>
    </row>
    <row r="307" spans="1:79" x14ac:dyDescent="0.2">
      <c r="A307" s="456" t="s">
        <v>289</v>
      </c>
      <c r="K307" s="21">
        <v>13</v>
      </c>
      <c r="L307" s="324">
        <f t="shared" si="109"/>
        <v>35</v>
      </c>
      <c r="M307" s="440">
        <f t="shared" si="110"/>
        <v>5.710593137499643</v>
      </c>
      <c r="N307" s="440">
        <f t="shared" si="111"/>
        <v>36.9</v>
      </c>
      <c r="O307" s="440">
        <f t="shared" si="112"/>
        <v>6.0183794303673226</v>
      </c>
      <c r="P307" s="441">
        <f t="shared" si="113"/>
        <v>5.8645287405810587</v>
      </c>
      <c r="Q307" s="442" t="e">
        <f t="shared" ca="1" si="114"/>
        <v>#NUM!</v>
      </c>
      <c r="R307" s="440" t="e">
        <f t="shared" ca="1" si="115"/>
        <v>#NUM!</v>
      </c>
      <c r="S307" s="440" t="e">
        <f t="shared" ca="1" si="116"/>
        <v>#NUM!</v>
      </c>
      <c r="T307" s="441" t="e">
        <f t="shared" ca="1" si="117"/>
        <v>#NUM!</v>
      </c>
      <c r="U307" s="443" t="e">
        <f t="shared" ca="1" si="118"/>
        <v>#NUM!</v>
      </c>
      <c r="V307" s="383" t="e">
        <f t="shared" ca="1" si="119"/>
        <v>#NUM!</v>
      </c>
      <c r="W307" s="444" t="e">
        <f t="shared" ca="1" si="120"/>
        <v>#NUM!</v>
      </c>
      <c r="X307" s="445">
        <v>81.599999999999994</v>
      </c>
      <c r="Y307" s="446">
        <f t="shared" si="121"/>
        <v>7.8170414056142094E-4</v>
      </c>
      <c r="Z307" s="494" t="e">
        <f t="shared" ca="1" si="122"/>
        <v>#NUM!</v>
      </c>
      <c r="AA307" s="145">
        <v>0.97299999999999998</v>
      </c>
      <c r="AB307" s="495" t="e">
        <f t="shared" ca="1" si="105"/>
        <v>#NUM!</v>
      </c>
      <c r="AC307" s="448" t="e">
        <f t="shared" ca="1" si="123"/>
        <v>#NUM!</v>
      </c>
      <c r="AD307" s="449" t="e">
        <f t="shared" ca="1" si="124"/>
        <v>#NUM!</v>
      </c>
      <c r="AE307" s="449" t="e">
        <f t="shared" ca="1" si="125"/>
        <v>#NUM!</v>
      </c>
      <c r="AG307" s="484"/>
      <c r="AI307" s="21">
        <v>13</v>
      </c>
      <c r="AJ307" s="324">
        <f t="shared" si="126"/>
        <v>35</v>
      </c>
      <c r="AK307" s="440" t="e">
        <f t="shared" si="127"/>
        <v>#VALUE!</v>
      </c>
      <c r="AL307" s="440">
        <f t="shared" si="128"/>
        <v>36.9</v>
      </c>
      <c r="AM307" s="440" t="e">
        <f t="shared" si="129"/>
        <v>#VALUE!</v>
      </c>
      <c r="AN307" s="441" t="e">
        <f t="shared" si="130"/>
        <v>#VALUE!</v>
      </c>
      <c r="AO307" s="442" t="e">
        <f t="shared" ca="1" si="106"/>
        <v>#VALUE!</v>
      </c>
      <c r="AP307" s="440" t="e">
        <f t="shared" ca="1" si="131"/>
        <v>#VALUE!</v>
      </c>
      <c r="AQ307" s="440" t="e">
        <f t="shared" ca="1" si="132"/>
        <v>#VALUE!</v>
      </c>
      <c r="AR307" s="441" t="e">
        <f t="shared" ca="1" si="133"/>
        <v>#VALUE!</v>
      </c>
      <c r="AS307" s="443" t="e">
        <f t="shared" ca="1" si="134"/>
        <v>#VALUE!</v>
      </c>
      <c r="AT307" s="383" t="e">
        <f t="shared" ca="1" si="135"/>
        <v>#VALUE!</v>
      </c>
      <c r="AU307" s="444" t="e">
        <f t="shared" ca="1" si="136"/>
        <v>#VALUE!</v>
      </c>
      <c r="AV307" s="445">
        <v>81.599999999999994</v>
      </c>
      <c r="AW307" s="446" t="e">
        <f t="shared" si="137"/>
        <v>#VALUE!</v>
      </c>
      <c r="AX307" s="494" t="e">
        <f t="shared" ca="1" si="138"/>
        <v>#VALUE!</v>
      </c>
      <c r="AY307" s="145">
        <v>0.97299999999999998</v>
      </c>
      <c r="AZ307" s="495" t="e">
        <f t="shared" ca="1" si="107"/>
        <v>#VALUE!</v>
      </c>
      <c r="BA307" s="448" t="e">
        <f t="shared" ca="1" si="139"/>
        <v>#VALUE!</v>
      </c>
      <c r="BB307" s="449" t="e">
        <f t="shared" ca="1" si="108"/>
        <v>#VALUE!</v>
      </c>
      <c r="BC307" s="449" t="e">
        <f t="shared" ca="1" si="140"/>
        <v>#VALUE!</v>
      </c>
      <c r="BE307" s="195"/>
      <c r="BF307" s="19"/>
      <c r="BG307" s="260"/>
      <c r="BK307" s="19"/>
      <c r="BL307" s="19"/>
      <c r="BP307" s="195"/>
      <c r="BQ307" s="195"/>
      <c r="BR307" s="195"/>
      <c r="BS307" s="195"/>
      <c r="BT307" s="195"/>
      <c r="BU307" s="454"/>
      <c r="BV307" s="454"/>
      <c r="BW307" s="195"/>
      <c r="BX307" s="454"/>
      <c r="BY307" s="260"/>
      <c r="BZ307" s="195"/>
      <c r="CA307" s="19"/>
    </row>
    <row r="308" spans="1:79" x14ac:dyDescent="0.2">
      <c r="K308" s="21">
        <v>14</v>
      </c>
      <c r="L308" s="324">
        <f t="shared" si="109"/>
        <v>37</v>
      </c>
      <c r="M308" s="440">
        <f t="shared" si="110"/>
        <v>6.0345692125709487</v>
      </c>
      <c r="N308" s="440">
        <f t="shared" si="111"/>
        <v>38.9</v>
      </c>
      <c r="O308" s="440">
        <f t="shared" si="112"/>
        <v>6.341988471410688</v>
      </c>
      <c r="P308" s="441">
        <f t="shared" si="113"/>
        <v>6.1883235537930741</v>
      </c>
      <c r="Q308" s="442" t="e">
        <f t="shared" ca="1" si="114"/>
        <v>#NUM!</v>
      </c>
      <c r="R308" s="440" t="e">
        <f t="shared" ca="1" si="115"/>
        <v>#NUM!</v>
      </c>
      <c r="S308" s="440" t="e">
        <f t="shared" ca="1" si="116"/>
        <v>#NUM!</v>
      </c>
      <c r="T308" s="441" t="e">
        <f t="shared" ca="1" si="117"/>
        <v>#NUM!</v>
      </c>
      <c r="U308" s="443" t="e">
        <f t="shared" ca="1" si="118"/>
        <v>#NUM!</v>
      </c>
      <c r="V308" s="383" t="e">
        <f t="shared" ca="1" si="119"/>
        <v>#NUM!</v>
      </c>
      <c r="W308" s="444" t="e">
        <f t="shared" ca="1" si="120"/>
        <v>#NUM!</v>
      </c>
      <c r="X308" s="445">
        <v>81.599999999999994</v>
      </c>
      <c r="Y308" s="446">
        <f t="shared" si="121"/>
        <v>8.2371694109400204E-4</v>
      </c>
      <c r="Z308" s="494" t="e">
        <f t="shared" ca="1" si="122"/>
        <v>#NUM!</v>
      </c>
      <c r="AA308" s="145">
        <v>1.0269999999999999</v>
      </c>
      <c r="AB308" s="495" t="e">
        <f t="shared" ca="1" si="105"/>
        <v>#NUM!</v>
      </c>
      <c r="AC308" s="448" t="e">
        <f t="shared" ca="1" si="123"/>
        <v>#NUM!</v>
      </c>
      <c r="AD308" s="449" t="e">
        <f t="shared" ca="1" si="124"/>
        <v>#NUM!</v>
      </c>
      <c r="AE308" s="449" t="e">
        <f t="shared" ca="1" si="125"/>
        <v>#NUM!</v>
      </c>
      <c r="AG308" s="484"/>
      <c r="AI308" s="21">
        <v>14</v>
      </c>
      <c r="AJ308" s="324">
        <f t="shared" si="126"/>
        <v>37</v>
      </c>
      <c r="AK308" s="440" t="e">
        <f t="shared" si="127"/>
        <v>#VALUE!</v>
      </c>
      <c r="AL308" s="440">
        <f t="shared" si="128"/>
        <v>38.9</v>
      </c>
      <c r="AM308" s="440" t="e">
        <f t="shared" si="129"/>
        <v>#VALUE!</v>
      </c>
      <c r="AN308" s="441" t="e">
        <f t="shared" si="130"/>
        <v>#VALUE!</v>
      </c>
      <c r="AO308" s="442" t="e">
        <f t="shared" ca="1" si="106"/>
        <v>#VALUE!</v>
      </c>
      <c r="AP308" s="440" t="e">
        <f t="shared" ca="1" si="131"/>
        <v>#VALUE!</v>
      </c>
      <c r="AQ308" s="440" t="e">
        <f t="shared" ca="1" si="132"/>
        <v>#VALUE!</v>
      </c>
      <c r="AR308" s="441" t="e">
        <f t="shared" ca="1" si="133"/>
        <v>#VALUE!</v>
      </c>
      <c r="AS308" s="443" t="e">
        <f t="shared" ca="1" si="134"/>
        <v>#VALUE!</v>
      </c>
      <c r="AT308" s="383" t="e">
        <f t="shared" ca="1" si="135"/>
        <v>#VALUE!</v>
      </c>
      <c r="AU308" s="444" t="e">
        <f t="shared" ca="1" si="136"/>
        <v>#VALUE!</v>
      </c>
      <c r="AV308" s="445">
        <v>81.599999999999994</v>
      </c>
      <c r="AW308" s="446" t="e">
        <f t="shared" si="137"/>
        <v>#VALUE!</v>
      </c>
      <c r="AX308" s="494" t="e">
        <f t="shared" ca="1" si="138"/>
        <v>#VALUE!</v>
      </c>
      <c r="AY308" s="145">
        <v>1.0269999999999999</v>
      </c>
      <c r="AZ308" s="495" t="e">
        <f t="shared" ca="1" si="107"/>
        <v>#VALUE!</v>
      </c>
      <c r="BA308" s="448" t="e">
        <f t="shared" ca="1" si="139"/>
        <v>#VALUE!</v>
      </c>
      <c r="BB308" s="449" t="e">
        <f t="shared" ca="1" si="108"/>
        <v>#VALUE!</v>
      </c>
      <c r="BC308" s="449" t="e">
        <f t="shared" ca="1" si="140"/>
        <v>#VALUE!</v>
      </c>
      <c r="BE308" s="195"/>
      <c r="BF308" s="19"/>
      <c r="BG308" s="260"/>
      <c r="BK308" s="19"/>
      <c r="BL308" s="19"/>
      <c r="BP308" s="195"/>
      <c r="BQ308" s="195"/>
      <c r="BR308" s="195"/>
      <c r="BS308" s="195"/>
      <c r="BT308" s="195"/>
      <c r="BU308" s="454"/>
      <c r="BV308" s="454"/>
      <c r="BW308" s="195"/>
      <c r="BX308" s="454"/>
      <c r="BY308" s="260"/>
      <c r="BZ308" s="195"/>
      <c r="CA308" s="19"/>
    </row>
    <row r="309" spans="1:79" x14ac:dyDescent="0.2">
      <c r="B309" s="50" t="s">
        <v>20</v>
      </c>
      <c r="C309" s="48"/>
      <c r="D309" s="48"/>
      <c r="F309" s="50" t="s">
        <v>26</v>
      </c>
      <c r="G309" s="48"/>
      <c r="H309" s="48"/>
      <c r="J309" s="142" t="s">
        <v>292</v>
      </c>
      <c r="K309" s="21">
        <v>15</v>
      </c>
      <c r="L309" s="324">
        <f t="shared" si="109"/>
        <v>39</v>
      </c>
      <c r="M309" s="440">
        <f t="shared" si="110"/>
        <v>6.3581584369212285</v>
      </c>
      <c r="N309" s="440">
        <f t="shared" si="111"/>
        <v>40.9</v>
      </c>
      <c r="O309" s="440">
        <f t="shared" si="112"/>
        <v>6.6651917417383428</v>
      </c>
      <c r="P309" s="441">
        <f t="shared" si="113"/>
        <v>6.5117220393744963</v>
      </c>
      <c r="Q309" s="442" t="e">
        <f t="shared" ca="1" si="114"/>
        <v>#NUM!</v>
      </c>
      <c r="R309" s="440" t="e">
        <f t="shared" ca="1" si="115"/>
        <v>#NUM!</v>
      </c>
      <c r="S309" s="440" t="e">
        <f t="shared" ca="1" si="116"/>
        <v>#NUM!</v>
      </c>
      <c r="T309" s="441" t="e">
        <f t="shared" ca="1" si="117"/>
        <v>#NUM!</v>
      </c>
      <c r="U309" s="443" t="e">
        <f t="shared" ca="1" si="118"/>
        <v>#NUM!</v>
      </c>
      <c r="V309" s="383" t="e">
        <f t="shared" ca="1" si="119"/>
        <v>#NUM!</v>
      </c>
      <c r="W309" s="444" t="e">
        <f t="shared" ca="1" si="120"/>
        <v>#NUM!</v>
      </c>
      <c r="X309" s="445">
        <v>81.599999999999994</v>
      </c>
      <c r="Y309" s="446">
        <f t="shared" si="121"/>
        <v>8.654951359031971E-4</v>
      </c>
      <c r="Z309" s="494" t="e">
        <f t="shared" ca="1" si="122"/>
        <v>#NUM!</v>
      </c>
      <c r="AA309" s="145">
        <v>1.081</v>
      </c>
      <c r="AB309" s="495" t="e">
        <f t="shared" ca="1" si="105"/>
        <v>#NUM!</v>
      </c>
      <c r="AC309" s="448" t="e">
        <f t="shared" ca="1" si="123"/>
        <v>#NUM!</v>
      </c>
      <c r="AD309" s="449" t="e">
        <f t="shared" ca="1" si="124"/>
        <v>#NUM!</v>
      </c>
      <c r="AE309" s="449" t="e">
        <f t="shared" ca="1" si="125"/>
        <v>#NUM!</v>
      </c>
      <c r="AG309" s="484"/>
      <c r="AH309" s="142" t="s">
        <v>292</v>
      </c>
      <c r="AI309" s="21">
        <v>15</v>
      </c>
      <c r="AJ309" s="324">
        <f t="shared" si="126"/>
        <v>39</v>
      </c>
      <c r="AK309" s="440" t="e">
        <f t="shared" si="127"/>
        <v>#VALUE!</v>
      </c>
      <c r="AL309" s="440">
        <f t="shared" si="128"/>
        <v>40.9</v>
      </c>
      <c r="AM309" s="440" t="e">
        <f t="shared" si="129"/>
        <v>#VALUE!</v>
      </c>
      <c r="AN309" s="441" t="e">
        <f t="shared" si="130"/>
        <v>#VALUE!</v>
      </c>
      <c r="AO309" s="442" t="e">
        <f t="shared" ca="1" si="106"/>
        <v>#VALUE!</v>
      </c>
      <c r="AP309" s="440" t="e">
        <f t="shared" ca="1" si="131"/>
        <v>#VALUE!</v>
      </c>
      <c r="AQ309" s="440" t="e">
        <f t="shared" ca="1" si="132"/>
        <v>#VALUE!</v>
      </c>
      <c r="AR309" s="441" t="e">
        <f t="shared" ca="1" si="133"/>
        <v>#VALUE!</v>
      </c>
      <c r="AS309" s="443" t="e">
        <f t="shared" ca="1" si="134"/>
        <v>#VALUE!</v>
      </c>
      <c r="AT309" s="383" t="e">
        <f t="shared" ca="1" si="135"/>
        <v>#VALUE!</v>
      </c>
      <c r="AU309" s="444" t="e">
        <f t="shared" ca="1" si="136"/>
        <v>#VALUE!</v>
      </c>
      <c r="AV309" s="445">
        <v>81.599999999999994</v>
      </c>
      <c r="AW309" s="446" t="e">
        <f t="shared" si="137"/>
        <v>#VALUE!</v>
      </c>
      <c r="AX309" s="494" t="e">
        <f t="shared" ca="1" si="138"/>
        <v>#VALUE!</v>
      </c>
      <c r="AY309" s="145">
        <v>1.081</v>
      </c>
      <c r="AZ309" s="495" t="e">
        <f t="shared" ca="1" si="107"/>
        <v>#VALUE!</v>
      </c>
      <c r="BA309" s="448" t="e">
        <f t="shared" ca="1" si="139"/>
        <v>#VALUE!</v>
      </c>
      <c r="BB309" s="449" t="e">
        <f t="shared" ca="1" si="108"/>
        <v>#VALUE!</v>
      </c>
      <c r="BC309" s="449" t="e">
        <f t="shared" ca="1" si="140"/>
        <v>#VALUE!</v>
      </c>
      <c r="BE309" s="195"/>
      <c r="BF309" s="19"/>
      <c r="BG309" s="260"/>
      <c r="BK309" s="19"/>
      <c r="BL309" s="19"/>
      <c r="BP309" s="195"/>
      <c r="BQ309" s="195"/>
      <c r="BR309" s="195"/>
      <c r="BS309" s="195"/>
      <c r="BT309" s="195"/>
      <c r="BU309" s="454"/>
      <c r="BV309" s="454"/>
      <c r="BW309" s="195"/>
      <c r="BX309" s="454"/>
      <c r="BY309" s="260"/>
      <c r="BZ309" s="195"/>
      <c r="CA309" s="19"/>
    </row>
    <row r="310" spans="1:79" x14ac:dyDescent="0.2">
      <c r="B310" s="48" t="s">
        <v>290</v>
      </c>
      <c r="C310" s="23">
        <v>16</v>
      </c>
      <c r="D310" s="48"/>
      <c r="F310" s="48" t="s">
        <v>290</v>
      </c>
      <c r="G310" s="23">
        <v>16</v>
      </c>
      <c r="H310" s="48"/>
      <c r="AG310" s="484"/>
      <c r="AV310" s="19"/>
      <c r="AW310" s="218"/>
      <c r="AX310" s="195"/>
      <c r="AY310" s="195"/>
      <c r="AZ310" s="195"/>
      <c r="BA310" s="195"/>
      <c r="BB310" s="454"/>
      <c r="BC310" s="454"/>
      <c r="BD310" s="454"/>
      <c r="BE310" s="195"/>
      <c r="BF310" s="19"/>
      <c r="BG310" s="260"/>
      <c r="BK310" s="19"/>
      <c r="BL310" s="19"/>
      <c r="BP310" s="195"/>
      <c r="BQ310" s="195"/>
      <c r="BR310" s="195"/>
      <c r="BS310" s="195"/>
      <c r="BT310" s="195"/>
      <c r="BU310" s="454"/>
      <c r="BV310" s="454"/>
      <c r="BW310" s="195"/>
      <c r="BX310" s="454"/>
      <c r="BY310" s="260"/>
      <c r="BZ310" s="195"/>
      <c r="CA310" s="19"/>
    </row>
    <row r="311" spans="1:79" x14ac:dyDescent="0.2">
      <c r="B311" s="48" t="s">
        <v>113</v>
      </c>
      <c r="C311" s="23">
        <v>40.9</v>
      </c>
      <c r="D311" s="48" t="s">
        <v>1623</v>
      </c>
      <c r="F311" s="48" t="s">
        <v>113</v>
      </c>
      <c r="G311" s="23">
        <v>40.9</v>
      </c>
      <c r="H311" s="48" t="s">
        <v>1623</v>
      </c>
      <c r="R311" s="142" t="s">
        <v>80</v>
      </c>
      <c r="S311" s="496" t="e">
        <f ca="1">SUM(S294:S309)</f>
        <v>#NUM!</v>
      </c>
      <c r="X311" s="142" t="s">
        <v>80</v>
      </c>
      <c r="Y311" s="121">
        <f>SUM(Y294:Y309)</f>
        <v>8.7243350854496072E-3</v>
      </c>
      <c r="Z311" s="121" t="e">
        <f ca="1">SUM(Z294:Z309)</f>
        <v>#NUM!</v>
      </c>
      <c r="AG311" s="484"/>
      <c r="AV311" s="19"/>
      <c r="AW311" s="218"/>
      <c r="AX311" s="195"/>
      <c r="AY311" s="195"/>
      <c r="AZ311" s="195"/>
      <c r="BA311" s="195"/>
      <c r="BB311" s="454"/>
      <c r="BC311" s="454"/>
      <c r="BD311" s="454"/>
      <c r="BE311" s="195"/>
      <c r="BF311" s="19"/>
      <c r="BG311" s="260"/>
      <c r="BK311" s="19"/>
      <c r="BL311" s="19"/>
      <c r="BP311" s="195"/>
      <c r="BQ311" s="195"/>
      <c r="BR311" s="195"/>
      <c r="BS311" s="195"/>
      <c r="BT311" s="195"/>
      <c r="BU311" s="454"/>
      <c r="BV311" s="454"/>
      <c r="BW311" s="195"/>
      <c r="BX311" s="454"/>
      <c r="BY311" s="260"/>
      <c r="BZ311" s="195"/>
      <c r="CA311" s="19"/>
    </row>
    <row r="312" spans="1:79" x14ac:dyDescent="0.2">
      <c r="B312" s="48" t="s">
        <v>114</v>
      </c>
      <c r="C312" s="23">
        <v>9</v>
      </c>
      <c r="D312" s="48" t="s">
        <v>1623</v>
      </c>
      <c r="F312" s="48" t="s">
        <v>114</v>
      </c>
      <c r="G312" s="23">
        <v>9</v>
      </c>
      <c r="H312" s="48" t="s">
        <v>1623</v>
      </c>
      <c r="AG312" s="484"/>
      <c r="AV312" s="19"/>
      <c r="AW312" s="218"/>
      <c r="AX312" s="195"/>
      <c r="AY312" s="195"/>
      <c r="AZ312" s="195"/>
      <c r="BA312" s="195"/>
      <c r="BB312" s="454"/>
      <c r="BC312" s="454"/>
      <c r="BD312" s="454"/>
      <c r="BE312" s="195"/>
      <c r="BF312" s="19"/>
      <c r="BG312" s="260"/>
      <c r="BK312" s="19"/>
      <c r="BL312" s="19"/>
      <c r="BP312" s="195"/>
      <c r="BQ312" s="195"/>
      <c r="BR312" s="195"/>
      <c r="BS312" s="195"/>
      <c r="BT312" s="195"/>
      <c r="BU312" s="454"/>
      <c r="BV312" s="454"/>
      <c r="BW312" s="195"/>
      <c r="BX312" s="454"/>
      <c r="BY312" s="260"/>
      <c r="BZ312" s="195"/>
      <c r="CA312" s="19"/>
    </row>
    <row r="313" spans="1:79" x14ac:dyDescent="0.2">
      <c r="B313" s="19" t="s">
        <v>115</v>
      </c>
      <c r="C313" s="23">
        <v>2</v>
      </c>
      <c r="D313" s="19" t="s">
        <v>1623</v>
      </c>
      <c r="F313" s="19" t="s">
        <v>115</v>
      </c>
      <c r="G313" s="23">
        <v>2</v>
      </c>
      <c r="H313" s="19" t="s">
        <v>1623</v>
      </c>
      <c r="R313" s="142" t="s">
        <v>90</v>
      </c>
      <c r="S313" s="49" t="e">
        <f ca="1">SUMPRODUCT(S294:S309,Y294:Y309)</f>
        <v>#NUM!</v>
      </c>
      <c r="T313" s="142" t="s">
        <v>526</v>
      </c>
      <c r="U313" s="367"/>
      <c r="AG313" s="484"/>
      <c r="AV313" s="19"/>
      <c r="AW313" s="218"/>
      <c r="AX313" s="195"/>
      <c r="AY313" s="195"/>
      <c r="AZ313" s="195"/>
      <c r="BA313" s="195"/>
      <c r="BB313" s="454"/>
      <c r="BC313" s="454"/>
      <c r="BD313" s="454"/>
      <c r="BE313" s="195"/>
      <c r="BF313" s="19"/>
      <c r="BG313" s="260"/>
      <c r="BK313" s="19"/>
      <c r="BL313" s="19"/>
      <c r="BP313" s="195"/>
      <c r="BQ313" s="195"/>
      <c r="BR313" s="195"/>
      <c r="BS313" s="195"/>
      <c r="BT313" s="195"/>
      <c r="BU313" s="454"/>
      <c r="BV313" s="454"/>
      <c r="BW313" s="195"/>
      <c r="BX313" s="454"/>
      <c r="BY313" s="260"/>
      <c r="BZ313" s="195"/>
      <c r="CA313" s="19"/>
    </row>
    <row r="314" spans="1:79" x14ac:dyDescent="0.2">
      <c r="B314" s="19" t="s">
        <v>109</v>
      </c>
      <c r="C314" s="457">
        <v>0.1</v>
      </c>
      <c r="D314" s="48" t="s">
        <v>1623</v>
      </c>
      <c r="F314" s="19" t="s">
        <v>109</v>
      </c>
      <c r="G314" s="457">
        <v>0.1</v>
      </c>
      <c r="H314" s="48" t="s">
        <v>1623</v>
      </c>
      <c r="AG314" s="484"/>
      <c r="AV314" s="19"/>
      <c r="AW314" s="218"/>
      <c r="AX314" s="195"/>
      <c r="AY314" s="195"/>
      <c r="AZ314" s="195"/>
      <c r="BA314" s="195"/>
      <c r="BB314" s="454"/>
      <c r="BC314" s="454"/>
      <c r="BD314" s="454"/>
      <c r="BE314" s="195"/>
      <c r="BF314" s="19"/>
      <c r="BG314" s="260"/>
      <c r="BK314" s="19"/>
      <c r="BL314" s="19"/>
      <c r="BP314" s="195"/>
      <c r="BQ314" s="195"/>
      <c r="BR314" s="195"/>
      <c r="BS314" s="195"/>
      <c r="BT314" s="195"/>
      <c r="BU314" s="454"/>
      <c r="BV314" s="454"/>
      <c r="BW314" s="195"/>
      <c r="BX314" s="454"/>
      <c r="BY314" s="260"/>
      <c r="BZ314" s="195"/>
      <c r="CA314" s="19"/>
    </row>
    <row r="315" spans="1:79" x14ac:dyDescent="0.2">
      <c r="B315" s="19" t="s">
        <v>110</v>
      </c>
      <c r="C315" s="49">
        <f>C313-C314</f>
        <v>1.9</v>
      </c>
      <c r="D315" s="19" t="s">
        <v>1623</v>
      </c>
      <c r="F315" s="19" t="s">
        <v>110</v>
      </c>
      <c r="G315" s="49">
        <f>G313-G314</f>
        <v>1.9</v>
      </c>
      <c r="H315" s="19" t="s">
        <v>1623</v>
      </c>
      <c r="AG315" s="484"/>
      <c r="AV315" s="19"/>
      <c r="AW315" s="218"/>
      <c r="AX315" s="195"/>
      <c r="AY315" s="195"/>
      <c r="AZ315" s="195"/>
      <c r="BA315" s="195"/>
      <c r="BB315" s="454"/>
      <c r="BC315" s="454"/>
      <c r="BD315" s="454"/>
      <c r="BE315" s="195"/>
      <c r="BF315" s="19"/>
      <c r="BG315" s="260"/>
      <c r="BK315" s="19"/>
      <c r="BL315" s="19"/>
      <c r="BP315" s="195"/>
      <c r="BQ315" s="195"/>
      <c r="BR315" s="195"/>
      <c r="BS315" s="195"/>
      <c r="BT315" s="195"/>
      <c r="BU315" s="454"/>
      <c r="BV315" s="454"/>
      <c r="BW315" s="195"/>
      <c r="BX315" s="454"/>
      <c r="BY315" s="260"/>
      <c r="BZ315" s="195"/>
      <c r="CA315" s="19"/>
    </row>
    <row r="316" spans="1:79" x14ac:dyDescent="0.2">
      <c r="B316" s="19" t="s">
        <v>293</v>
      </c>
      <c r="C316" s="459">
        <v>300000000</v>
      </c>
      <c r="D316" s="48" t="s">
        <v>17</v>
      </c>
      <c r="F316" s="19" t="s">
        <v>293</v>
      </c>
      <c r="G316" s="459">
        <v>1000000000</v>
      </c>
      <c r="H316" s="48" t="s">
        <v>17</v>
      </c>
      <c r="AG316" s="484"/>
      <c r="AV316" s="19"/>
      <c r="AW316" s="218"/>
      <c r="AX316" s="195"/>
      <c r="AY316" s="195"/>
      <c r="AZ316" s="195"/>
      <c r="BA316" s="195"/>
      <c r="BB316" s="454"/>
      <c r="BC316" s="454"/>
      <c r="BD316" s="454"/>
      <c r="BE316" s="195"/>
      <c r="BF316" s="19"/>
      <c r="BG316" s="260"/>
      <c r="BK316" s="19"/>
      <c r="BL316" s="19"/>
      <c r="BP316" s="195"/>
      <c r="BQ316" s="195"/>
      <c r="BR316" s="195"/>
      <c r="BS316" s="195"/>
      <c r="BT316" s="195"/>
      <c r="BU316" s="454"/>
      <c r="BV316" s="454"/>
      <c r="BW316" s="195"/>
      <c r="BX316" s="454"/>
      <c r="BY316" s="260"/>
      <c r="BZ316" s="195"/>
      <c r="CA316" s="19"/>
    </row>
    <row r="317" spans="1:79" x14ac:dyDescent="0.2">
      <c r="B317" s="48" t="s">
        <v>18</v>
      </c>
      <c r="C317" s="38">
        <f>DEGREES(ATAN(($C$312)/$C$304))</f>
        <v>1.4729954416287203</v>
      </c>
      <c r="D317" s="48" t="s">
        <v>288</v>
      </c>
      <c r="F317" s="48" t="s">
        <v>18</v>
      </c>
      <c r="G317" s="38" t="e">
        <f>DEGREES(ATAN(($G$312)/$C$305))</f>
        <v>#VALUE!</v>
      </c>
      <c r="H317" s="48" t="s">
        <v>288</v>
      </c>
      <c r="AG317" s="484"/>
      <c r="AV317" s="19"/>
      <c r="AW317" s="218"/>
      <c r="AX317" s="195"/>
      <c r="AY317" s="195"/>
      <c r="AZ317" s="195"/>
      <c r="BA317" s="195"/>
      <c r="BB317" s="454"/>
      <c r="BC317" s="454"/>
      <c r="BD317" s="454"/>
      <c r="BE317" s="195"/>
      <c r="BF317" s="19"/>
      <c r="BG317" s="260"/>
      <c r="BK317" s="19"/>
      <c r="BL317" s="19"/>
      <c r="BP317" s="195"/>
      <c r="BQ317" s="195"/>
      <c r="BR317" s="195"/>
      <c r="BS317" s="195"/>
      <c r="BT317" s="195"/>
      <c r="BU317" s="454"/>
      <c r="BV317" s="454"/>
      <c r="BW317" s="195"/>
      <c r="BX317" s="454"/>
      <c r="BY317" s="260"/>
      <c r="BZ317" s="195"/>
      <c r="CA317" s="19"/>
    </row>
    <row r="318" spans="1:79" x14ac:dyDescent="0.2">
      <c r="B318" s="48" t="s">
        <v>19</v>
      </c>
      <c r="C318" s="38">
        <f>DEGREES(ATAN(($C$311)/$C$304))</f>
        <v>6.6651917417383428</v>
      </c>
      <c r="D318" s="48" t="s">
        <v>288</v>
      </c>
      <c r="F318" s="48" t="s">
        <v>19</v>
      </c>
      <c r="G318" s="38" t="e">
        <f>DEGREES(ATAN(($G$311)/$C$305))</f>
        <v>#VALUE!</v>
      </c>
      <c r="H318" s="48" t="s">
        <v>288</v>
      </c>
      <c r="AG318" s="484"/>
      <c r="AV318" s="19"/>
      <c r="AW318" s="218"/>
      <c r="AX318" s="195"/>
      <c r="AY318" s="195"/>
      <c r="AZ318" s="195"/>
      <c r="BA318" s="195"/>
      <c r="BB318" s="454"/>
      <c r="BC318" s="454"/>
      <c r="BD318" s="454"/>
      <c r="BE318" s="195"/>
      <c r="BF318" s="19"/>
      <c r="BG318" s="260"/>
      <c r="BK318" s="19"/>
      <c r="BL318" s="19"/>
      <c r="BP318" s="195"/>
      <c r="BQ318" s="195"/>
      <c r="BR318" s="195"/>
      <c r="BS318" s="195"/>
      <c r="BT318" s="195"/>
      <c r="BU318" s="454"/>
      <c r="BV318" s="454"/>
      <c r="BW318" s="195"/>
      <c r="BX318" s="454"/>
      <c r="BY318" s="260"/>
      <c r="BZ318" s="195"/>
      <c r="CA318" s="19"/>
    </row>
    <row r="319" spans="1:79" x14ac:dyDescent="0.2">
      <c r="A319" s="427"/>
      <c r="B319" s="52" t="s">
        <v>28</v>
      </c>
      <c r="C319" s="294">
        <f>((SUM(Y294:Y309))/(4*PI()))*100</f>
        <v>6.9426052701967902E-2</v>
      </c>
      <c r="D319" s="19" t="s">
        <v>520</v>
      </c>
      <c r="E319" s="19"/>
      <c r="F319" s="52" t="s">
        <v>28</v>
      </c>
      <c r="G319" s="49" t="e">
        <f>((SUM(AW294:AW309))/(4*PI()))*100</f>
        <v>#VALUE!</v>
      </c>
      <c r="H319" s="19" t="s">
        <v>520</v>
      </c>
      <c r="I319" s="19" t="s">
        <v>520</v>
      </c>
      <c r="AG319" s="484"/>
      <c r="AV319" s="19"/>
      <c r="AW319" s="218"/>
      <c r="AX319" s="195"/>
      <c r="AY319" s="195"/>
      <c r="AZ319" s="195"/>
      <c r="BA319" s="195"/>
      <c r="BB319" s="454"/>
      <c r="BC319" s="454"/>
      <c r="BD319" s="454"/>
      <c r="BE319" s="195"/>
      <c r="BF319" s="19"/>
      <c r="BG319" s="260"/>
      <c r="BK319" s="19"/>
      <c r="BL319" s="19"/>
      <c r="BP319" s="195"/>
      <c r="BQ319" s="195"/>
      <c r="BR319" s="195"/>
      <c r="BS319" s="195"/>
      <c r="BT319" s="195"/>
      <c r="BU319" s="454"/>
      <c r="BV319" s="454"/>
      <c r="BW319" s="195"/>
      <c r="BX319" s="454"/>
      <c r="BY319" s="260"/>
      <c r="BZ319" s="195"/>
      <c r="CA319" s="19"/>
    </row>
    <row r="320" spans="1:79" x14ac:dyDescent="0.2">
      <c r="AG320" s="484"/>
      <c r="AV320" s="19"/>
      <c r="AW320" s="218"/>
      <c r="AX320" s="195"/>
      <c r="AY320" s="195"/>
      <c r="AZ320" s="195"/>
      <c r="BA320" s="195"/>
      <c r="BB320" s="454"/>
      <c r="BC320" s="454"/>
      <c r="BD320" s="454"/>
      <c r="BE320" s="195"/>
      <c r="BF320" s="19"/>
      <c r="BG320" s="260"/>
      <c r="BK320" s="19"/>
      <c r="BL320" s="19"/>
      <c r="BP320" s="195"/>
      <c r="BQ320" s="195"/>
      <c r="BR320" s="195"/>
      <c r="BS320" s="195"/>
      <c r="BT320" s="195"/>
      <c r="BU320" s="454"/>
      <c r="BV320" s="454"/>
      <c r="BW320" s="195"/>
      <c r="BX320" s="454"/>
      <c r="BY320" s="260"/>
      <c r="BZ320" s="195"/>
      <c r="CA320" s="19"/>
    </row>
    <row r="321" spans="1:79" x14ac:dyDescent="0.2">
      <c r="AG321" s="484"/>
      <c r="AV321" s="19"/>
      <c r="AW321" s="218"/>
      <c r="AX321" s="195"/>
      <c r="AY321" s="195"/>
      <c r="AZ321" s="195"/>
      <c r="BA321" s="195"/>
      <c r="BB321" s="454"/>
      <c r="BC321" s="454"/>
      <c r="BD321" s="454"/>
      <c r="BE321" s="195"/>
      <c r="BF321" s="19"/>
      <c r="BG321" s="260"/>
      <c r="BK321" s="19"/>
      <c r="BL321" s="19"/>
      <c r="BP321" s="195"/>
      <c r="BQ321" s="195"/>
      <c r="BR321" s="195"/>
      <c r="BS321" s="195"/>
      <c r="BT321" s="195"/>
      <c r="BU321" s="454"/>
      <c r="BV321" s="454"/>
      <c r="BW321" s="195"/>
      <c r="BX321" s="454"/>
      <c r="BY321" s="260"/>
      <c r="BZ321" s="195"/>
      <c r="CA321" s="19"/>
    </row>
    <row r="322" spans="1:79" x14ac:dyDescent="0.2">
      <c r="A322" s="484"/>
      <c r="B322" s="484"/>
      <c r="C322" s="484"/>
      <c r="D322" s="484"/>
      <c r="E322" s="484"/>
      <c r="F322" s="484"/>
      <c r="G322" s="484"/>
      <c r="H322" s="484"/>
      <c r="I322" s="484"/>
      <c r="J322" s="484"/>
      <c r="K322" s="484"/>
      <c r="L322" s="484"/>
      <c r="M322" s="484"/>
      <c r="N322" s="484"/>
      <c r="O322" s="484"/>
      <c r="P322" s="484"/>
      <c r="Q322" s="484"/>
      <c r="R322" s="484"/>
      <c r="S322" s="484"/>
      <c r="T322" s="484"/>
      <c r="U322" s="484"/>
      <c r="V322" s="484"/>
      <c r="W322" s="484"/>
      <c r="X322" s="484"/>
      <c r="Y322" s="484"/>
      <c r="Z322" s="484"/>
      <c r="AA322" s="484"/>
      <c r="AB322" s="484"/>
      <c r="AC322" s="484"/>
      <c r="AD322" s="484"/>
      <c r="AE322" s="484"/>
      <c r="AF322" s="484"/>
      <c r="AG322" s="484"/>
      <c r="AV322" s="19"/>
      <c r="AW322" s="218"/>
      <c r="AX322" s="195"/>
      <c r="AY322" s="195"/>
      <c r="AZ322" s="195"/>
      <c r="BA322" s="195"/>
      <c r="BB322" s="454"/>
      <c r="BC322" s="454"/>
      <c r="BD322" s="454"/>
      <c r="BE322" s="195"/>
      <c r="BF322" s="19"/>
      <c r="BG322" s="260"/>
      <c r="BK322" s="19"/>
      <c r="BL322" s="19"/>
      <c r="BP322" s="195"/>
      <c r="BQ322" s="195"/>
      <c r="BR322" s="195"/>
      <c r="BS322" s="195"/>
      <c r="BT322" s="195"/>
      <c r="BU322" s="454"/>
      <c r="BV322" s="454"/>
      <c r="BW322" s="195"/>
      <c r="BX322" s="454"/>
      <c r="BY322" s="260"/>
      <c r="BZ322" s="195"/>
      <c r="CA322" s="19"/>
    </row>
    <row r="323" spans="1:79" ht="18" x14ac:dyDescent="0.25">
      <c r="A323" s="486" t="s">
        <v>21</v>
      </c>
      <c r="AV323" s="19"/>
      <c r="AW323" s="218"/>
      <c r="AX323" s="195"/>
      <c r="AY323" s="195"/>
      <c r="AZ323" s="195"/>
      <c r="BA323" s="195"/>
      <c r="BB323" s="454"/>
      <c r="BC323" s="454"/>
      <c r="BD323" s="454"/>
      <c r="BE323" s="195"/>
      <c r="BF323" s="19"/>
      <c r="BG323" s="260"/>
      <c r="BK323" s="19"/>
      <c r="BL323" s="19"/>
      <c r="BP323" s="195"/>
      <c r="BQ323" s="195"/>
      <c r="BR323" s="195"/>
      <c r="BS323" s="195"/>
      <c r="BT323" s="195"/>
      <c r="BU323" s="454"/>
      <c r="BV323" s="454"/>
      <c r="BW323" s="195"/>
      <c r="BX323" s="454"/>
      <c r="BY323" s="260"/>
      <c r="BZ323" s="195"/>
      <c r="CA323" s="19"/>
    </row>
    <row r="324" spans="1:79" x14ac:dyDescent="0.2">
      <c r="J324" s="18"/>
      <c r="K324" s="19"/>
      <c r="L324" s="18"/>
      <c r="M324" s="19"/>
      <c r="N324" s="19"/>
      <c r="O324" s="19"/>
      <c r="P324" s="19"/>
      <c r="Q324" s="231"/>
      <c r="R324" s="19"/>
      <c r="S324" s="195"/>
      <c r="T324" s="19"/>
      <c r="U324" s="231"/>
      <c r="V324" s="231"/>
      <c r="W324" s="231"/>
      <c r="X324" s="195"/>
      <c r="Y324" s="19"/>
      <c r="Z324" s="19"/>
      <c r="AA324" s="19"/>
      <c r="AB324" s="19"/>
      <c r="AC324" s="19"/>
      <c r="AD324" s="19"/>
      <c r="AE324" s="19"/>
      <c r="AV324" s="19"/>
      <c r="AW324" s="218"/>
      <c r="AX324" s="195"/>
      <c r="AY324" s="195"/>
      <c r="AZ324" s="195"/>
      <c r="BA324" s="195"/>
      <c r="BB324" s="454"/>
      <c r="BC324" s="454"/>
      <c r="BD324" s="454"/>
      <c r="BE324" s="195"/>
      <c r="BF324" s="19"/>
      <c r="BG324" s="260"/>
      <c r="BK324" s="19"/>
      <c r="BL324" s="19"/>
      <c r="BP324" s="195"/>
      <c r="BQ324" s="195"/>
      <c r="BR324" s="195"/>
      <c r="BS324" s="195"/>
      <c r="BT324" s="195"/>
      <c r="BU324" s="454"/>
      <c r="BV324" s="454"/>
      <c r="BW324" s="195"/>
      <c r="BX324" s="454"/>
      <c r="BY324" s="260"/>
      <c r="BZ324" s="195"/>
      <c r="CA324" s="19"/>
    </row>
    <row r="325" spans="1:79" x14ac:dyDescent="0.2">
      <c r="A325" s="427"/>
      <c r="B325" s="48"/>
      <c r="C325" s="48"/>
      <c r="D325" s="48"/>
      <c r="E325" s="48"/>
      <c r="F325" s="48"/>
      <c r="G325" s="48"/>
      <c r="J325" s="1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V325" s="19"/>
      <c r="AW325" s="218"/>
      <c r="AX325" s="195"/>
      <c r="AY325" s="195"/>
      <c r="AZ325" s="195"/>
      <c r="BA325" s="195"/>
      <c r="BB325" s="454"/>
      <c r="BC325" s="454"/>
      <c r="BD325" s="454"/>
      <c r="BE325" s="195"/>
      <c r="BF325" s="19"/>
      <c r="BG325" s="260"/>
      <c r="BK325" s="19"/>
      <c r="BL325" s="19"/>
      <c r="BP325" s="195"/>
      <c r="BQ325" s="195"/>
      <c r="BR325" s="195"/>
      <c r="BS325" s="195"/>
      <c r="BT325" s="195"/>
      <c r="BU325" s="454"/>
      <c r="BV325" s="454"/>
      <c r="BW325" s="195"/>
      <c r="BX325" s="454"/>
      <c r="BY325" s="260"/>
      <c r="BZ325" s="195"/>
      <c r="CA325" s="19"/>
    </row>
    <row r="326" spans="1:79" x14ac:dyDescent="0.2">
      <c r="A326" s="427"/>
      <c r="B326" s="48"/>
      <c r="C326" s="48"/>
      <c r="D326" s="48"/>
      <c r="E326" s="48"/>
      <c r="F326" s="48"/>
      <c r="G326" s="48"/>
      <c r="J326" s="19"/>
      <c r="K326" s="19"/>
      <c r="L326" s="19"/>
      <c r="M326" s="195"/>
      <c r="N326" s="195"/>
      <c r="O326" s="195"/>
      <c r="P326" s="497"/>
      <c r="Q326" s="195"/>
      <c r="R326" s="195"/>
      <c r="S326" s="195"/>
      <c r="T326" s="497"/>
      <c r="U326" s="195"/>
      <c r="V326" s="195"/>
      <c r="W326" s="497"/>
      <c r="X326" s="195"/>
      <c r="Y326" s="454"/>
      <c r="Z326" s="498"/>
      <c r="AA326" s="195"/>
      <c r="AB326" s="454"/>
      <c r="AC326" s="491"/>
      <c r="AD326" s="450"/>
      <c r="AE326" s="450"/>
      <c r="AV326" s="19"/>
      <c r="AW326" s="218"/>
      <c r="AX326" s="195"/>
      <c r="AY326" s="195"/>
      <c r="AZ326" s="195"/>
      <c r="BA326" s="195"/>
      <c r="BB326" s="454"/>
      <c r="BC326" s="454"/>
      <c r="BD326" s="454"/>
      <c r="BE326" s="195"/>
      <c r="BF326" s="19"/>
      <c r="BG326" s="260"/>
      <c r="BK326" s="19"/>
      <c r="BL326" s="19"/>
      <c r="BP326" s="195"/>
      <c r="BQ326" s="195"/>
      <c r="BR326" s="195"/>
      <c r="BS326" s="195"/>
      <c r="BT326" s="195"/>
      <c r="BU326" s="454"/>
      <c r="BV326" s="454"/>
      <c r="BW326" s="195"/>
      <c r="BX326" s="454"/>
      <c r="BY326" s="260"/>
      <c r="BZ326" s="195"/>
      <c r="CA326" s="19"/>
    </row>
    <row r="327" spans="1:79" x14ac:dyDescent="0.2">
      <c r="A327" s="427"/>
      <c r="B327" s="48"/>
      <c r="C327" s="48"/>
      <c r="D327" s="48"/>
      <c r="E327" s="48"/>
      <c r="F327" s="48"/>
      <c r="G327" s="48"/>
      <c r="AV327" s="19"/>
      <c r="AW327" s="218"/>
      <c r="AX327" s="195"/>
      <c r="AY327" s="195"/>
      <c r="AZ327" s="195"/>
      <c r="BA327" s="195"/>
      <c r="BB327" s="454"/>
      <c r="BC327" s="454"/>
      <c r="BD327" s="454"/>
      <c r="BE327" s="195"/>
      <c r="BF327" s="19"/>
      <c r="BG327" s="260"/>
      <c r="BK327" s="19"/>
      <c r="BL327" s="19"/>
      <c r="BP327" s="195"/>
      <c r="BQ327" s="195"/>
      <c r="BR327" s="195"/>
      <c r="BS327" s="195"/>
      <c r="BT327" s="195"/>
      <c r="BU327" s="454"/>
      <c r="BV327" s="454"/>
      <c r="BW327" s="195"/>
      <c r="BX327" s="454"/>
      <c r="BY327" s="260"/>
      <c r="BZ327" s="195"/>
      <c r="CA327" s="19"/>
    </row>
    <row r="328" spans="1:79" x14ac:dyDescent="0.2">
      <c r="A328" s="427"/>
      <c r="B328" s="48"/>
      <c r="C328" s="48"/>
      <c r="D328" s="48"/>
      <c r="E328" s="48"/>
      <c r="F328" s="48"/>
      <c r="G328" s="48"/>
      <c r="AV328" s="19"/>
      <c r="AW328" s="218"/>
      <c r="AX328" s="195"/>
      <c r="AY328" s="195"/>
      <c r="AZ328" s="195"/>
      <c r="BA328" s="195"/>
      <c r="BB328" s="454"/>
      <c r="BC328" s="454"/>
      <c r="BD328" s="454"/>
      <c r="BE328" s="195"/>
      <c r="BF328" s="19"/>
      <c r="BG328" s="260"/>
      <c r="BK328" s="19"/>
      <c r="BL328" s="19"/>
      <c r="BP328" s="195"/>
      <c r="BQ328" s="195"/>
      <c r="BR328" s="195"/>
      <c r="BS328" s="195"/>
      <c r="BT328" s="195"/>
      <c r="BU328" s="454"/>
      <c r="BV328" s="454"/>
      <c r="BW328" s="195"/>
      <c r="BX328" s="454"/>
      <c r="BY328" s="260"/>
      <c r="BZ328" s="195"/>
      <c r="CA328" s="19"/>
    </row>
    <row r="329" spans="1:79" x14ac:dyDescent="0.2">
      <c r="A329" s="427"/>
      <c r="B329" s="48"/>
      <c r="C329" s="48"/>
      <c r="D329" s="48"/>
      <c r="E329" s="48"/>
      <c r="F329" s="48"/>
      <c r="G329" s="48"/>
      <c r="AV329" s="19"/>
      <c r="AW329" s="218"/>
      <c r="AX329" s="195"/>
      <c r="AY329" s="195"/>
      <c r="AZ329" s="195"/>
      <c r="BA329" s="195"/>
      <c r="BB329" s="454"/>
      <c r="BC329" s="454"/>
      <c r="BD329" s="454"/>
      <c r="BE329" s="195"/>
      <c r="BF329" s="19"/>
      <c r="BG329" s="260"/>
      <c r="BK329" s="19"/>
      <c r="BL329" s="19"/>
      <c r="BP329" s="195"/>
      <c r="BQ329" s="195"/>
      <c r="BR329" s="195"/>
      <c r="BS329" s="195"/>
      <c r="BT329" s="195"/>
      <c r="BU329" s="454"/>
      <c r="BV329" s="454"/>
      <c r="BW329" s="195"/>
      <c r="BX329" s="454"/>
      <c r="BY329" s="260"/>
      <c r="BZ329" s="195"/>
      <c r="CA329" s="19"/>
    </row>
    <row r="330" spans="1:79" x14ac:dyDescent="0.2">
      <c r="A330" s="427"/>
      <c r="B330" s="48" t="s">
        <v>287</v>
      </c>
      <c r="C330" s="48"/>
      <c r="D330" s="48"/>
      <c r="E330" s="48"/>
      <c r="F330" s="48"/>
      <c r="G330" s="48"/>
      <c r="AV330" s="19"/>
      <c r="AW330" s="218"/>
      <c r="AX330" s="195"/>
      <c r="AY330" s="195"/>
      <c r="AZ330" s="195"/>
      <c r="BA330" s="195"/>
      <c r="BB330" s="454"/>
      <c r="BC330" s="454"/>
      <c r="BD330" s="454"/>
      <c r="BE330" s="195"/>
      <c r="BF330" s="19"/>
      <c r="BG330" s="260"/>
      <c r="BK330" s="19"/>
      <c r="BL330" s="19"/>
      <c r="BP330" s="195"/>
      <c r="BQ330" s="195"/>
      <c r="BR330" s="195"/>
      <c r="BS330" s="195"/>
      <c r="BT330" s="195"/>
      <c r="BU330" s="454"/>
      <c r="BV330" s="454"/>
      <c r="BW330" s="195"/>
      <c r="BX330" s="454"/>
      <c r="BY330" s="260"/>
      <c r="BZ330" s="195"/>
      <c r="CA330" s="19"/>
    </row>
    <row r="331" spans="1:79" x14ac:dyDescent="0.2">
      <c r="A331" s="427"/>
      <c r="B331" s="50" t="s">
        <v>241</v>
      </c>
      <c r="C331" s="23">
        <v>250</v>
      </c>
      <c r="D331" s="48" t="s">
        <v>1623</v>
      </c>
      <c r="E331" s="48"/>
      <c r="F331" s="48"/>
      <c r="G331" s="48"/>
      <c r="AV331" s="19"/>
      <c r="AW331" s="218"/>
      <c r="AX331" s="195"/>
      <c r="AY331" s="195"/>
      <c r="AZ331" s="195"/>
      <c r="BA331" s="195"/>
      <c r="BB331" s="454"/>
      <c r="BC331" s="454"/>
      <c r="BD331" s="454"/>
      <c r="BE331" s="195"/>
      <c r="BF331" s="19"/>
      <c r="BG331" s="260"/>
      <c r="BK331" s="19"/>
      <c r="BL331" s="19"/>
      <c r="BP331" s="195"/>
      <c r="BQ331" s="195"/>
      <c r="BR331" s="195"/>
      <c r="BS331" s="195"/>
      <c r="BT331" s="195"/>
      <c r="BU331" s="454"/>
      <c r="BV331" s="454"/>
      <c r="BW331" s="195"/>
      <c r="BX331" s="454"/>
      <c r="BY331" s="260"/>
      <c r="BZ331" s="195"/>
      <c r="CA331" s="19"/>
    </row>
    <row r="332" spans="1:79" x14ac:dyDescent="0.2">
      <c r="A332" s="427"/>
      <c r="B332" s="48"/>
      <c r="C332" s="48"/>
      <c r="D332" s="48"/>
      <c r="E332" s="48"/>
      <c r="F332" s="48"/>
      <c r="G332" s="48"/>
      <c r="AV332" s="19"/>
      <c r="AW332" s="218"/>
      <c r="AX332" s="195"/>
      <c r="AY332" s="195"/>
      <c r="AZ332" s="195"/>
      <c r="BA332" s="195"/>
      <c r="BB332" s="454"/>
      <c r="BC332" s="454"/>
      <c r="BD332" s="454"/>
      <c r="BE332" s="195"/>
      <c r="BF332" s="19"/>
      <c r="BG332" s="260"/>
      <c r="BK332" s="19"/>
      <c r="BL332" s="19"/>
      <c r="BP332" s="195"/>
      <c r="BQ332" s="195"/>
      <c r="BR332" s="195"/>
      <c r="BS332" s="195"/>
      <c r="BT332" s="195"/>
      <c r="BU332" s="454"/>
      <c r="BV332" s="454"/>
      <c r="BW332" s="195"/>
      <c r="BX332" s="454"/>
      <c r="BY332" s="260"/>
      <c r="BZ332" s="195"/>
      <c r="CA332" s="19"/>
    </row>
    <row r="333" spans="1:79" x14ac:dyDescent="0.2">
      <c r="A333" s="456" t="s">
        <v>289</v>
      </c>
      <c r="E333" s="48"/>
      <c r="F333" s="48"/>
      <c r="G333" s="48"/>
      <c r="AV333" s="19"/>
      <c r="AW333" s="218"/>
      <c r="AX333" s="195"/>
      <c r="AY333" s="195"/>
      <c r="AZ333" s="195"/>
      <c r="BA333" s="195"/>
      <c r="BB333" s="454"/>
      <c r="BC333" s="454"/>
      <c r="BD333" s="454"/>
      <c r="BE333" s="195"/>
      <c r="BF333" s="19"/>
      <c r="BG333" s="260"/>
      <c r="BK333" s="19"/>
      <c r="BL333" s="19"/>
      <c r="BP333" s="195"/>
      <c r="BQ333" s="195"/>
      <c r="BR333" s="195"/>
      <c r="BS333" s="195"/>
      <c r="BT333" s="195"/>
      <c r="BU333" s="454"/>
      <c r="BV333" s="454"/>
      <c r="BW333" s="195"/>
      <c r="BX333" s="454"/>
      <c r="BY333" s="260"/>
      <c r="BZ333" s="195"/>
      <c r="CA333" s="19"/>
    </row>
    <row r="334" spans="1:79" x14ac:dyDescent="0.2">
      <c r="E334" s="48"/>
      <c r="F334" s="48"/>
      <c r="G334" s="48"/>
      <c r="AV334" s="19"/>
      <c r="AW334" s="218"/>
      <c r="AX334" s="195"/>
      <c r="AY334" s="195"/>
      <c r="AZ334" s="195"/>
      <c r="BA334" s="195"/>
      <c r="BB334" s="454"/>
      <c r="BC334" s="454"/>
      <c r="BD334" s="454"/>
      <c r="BE334" s="195"/>
      <c r="BF334" s="19"/>
      <c r="BG334" s="260"/>
      <c r="BK334" s="19"/>
      <c r="BL334" s="19"/>
      <c r="BP334" s="195"/>
      <c r="BQ334" s="195"/>
      <c r="BR334" s="195"/>
      <c r="BS334" s="195"/>
      <c r="BT334" s="195"/>
      <c r="BU334" s="454"/>
      <c r="BV334" s="454"/>
      <c r="BW334" s="195"/>
      <c r="BX334" s="454"/>
      <c r="BY334" s="260"/>
      <c r="BZ334" s="195"/>
      <c r="CA334" s="19"/>
    </row>
    <row r="335" spans="1:79" x14ac:dyDescent="0.2">
      <c r="B335" s="50" t="s">
        <v>22</v>
      </c>
      <c r="E335" s="48"/>
      <c r="F335" s="48"/>
      <c r="G335" s="48"/>
      <c r="AV335" s="19"/>
      <c r="AW335" s="218"/>
      <c r="AX335" s="195"/>
      <c r="AY335" s="195"/>
      <c r="AZ335" s="195"/>
      <c r="BA335" s="195"/>
      <c r="BB335" s="454"/>
      <c r="BC335" s="454"/>
      <c r="BD335" s="454"/>
      <c r="BE335" s="195"/>
      <c r="BF335" s="19"/>
      <c r="BG335" s="260"/>
      <c r="BK335" s="19"/>
      <c r="BL335" s="19"/>
      <c r="BP335" s="195"/>
      <c r="BQ335" s="195"/>
      <c r="BR335" s="195"/>
      <c r="BS335" s="195"/>
      <c r="BT335" s="195"/>
      <c r="BU335" s="454"/>
      <c r="BV335" s="454"/>
      <c r="BW335" s="195"/>
      <c r="BX335" s="454"/>
      <c r="BY335" s="260"/>
      <c r="BZ335" s="195"/>
      <c r="CA335" s="19"/>
    </row>
    <row r="336" spans="1:79" x14ac:dyDescent="0.2">
      <c r="B336" s="48" t="s">
        <v>23</v>
      </c>
      <c r="C336" s="48">
        <v>50</v>
      </c>
      <c r="D336" s="48" t="s">
        <v>1623</v>
      </c>
      <c r="E336" s="48"/>
      <c r="F336" s="48"/>
      <c r="G336" s="48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K336" s="19"/>
      <c r="BL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</row>
    <row r="337" spans="2:4" x14ac:dyDescent="0.2">
      <c r="B337" s="48" t="s">
        <v>24</v>
      </c>
      <c r="C337" s="48">
        <v>25</v>
      </c>
      <c r="D337" s="48" t="s">
        <v>1623</v>
      </c>
    </row>
    <row r="338" spans="2:4" x14ac:dyDescent="0.2">
      <c r="B338" s="19" t="s">
        <v>25</v>
      </c>
      <c r="C338" s="48">
        <v>3.1</v>
      </c>
      <c r="D338" s="48" t="s">
        <v>1623</v>
      </c>
    </row>
    <row r="339" spans="2:4" x14ac:dyDescent="0.2">
      <c r="B339" s="48" t="s">
        <v>18</v>
      </c>
      <c r="C339" s="38">
        <v>0</v>
      </c>
      <c r="D339" s="48" t="s">
        <v>288</v>
      </c>
    </row>
    <row r="340" spans="2:4" x14ac:dyDescent="0.2">
      <c r="B340" s="48" t="s">
        <v>19</v>
      </c>
      <c r="C340" s="38">
        <f>DEGREES(ATAN(($C$337)/$C$331))</f>
        <v>5.710593137499643</v>
      </c>
      <c r="D340" s="48" t="s">
        <v>288</v>
      </c>
    </row>
  </sheetData>
  <phoneticPr fontId="6" type="noConversion"/>
  <pageMargins left="0.75" right="0.75" top="1" bottom="1" header="0.5" footer="0.5"/>
  <pageSetup paperSize="9" orientation="portrait" horizontalDpi="4294967293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M158"/>
  <sheetViews>
    <sheetView topLeftCell="A136" workbookViewId="0">
      <selection activeCell="C148" sqref="C148"/>
    </sheetView>
  </sheetViews>
  <sheetFormatPr defaultColWidth="8.85546875" defaultRowHeight="12.75" x14ac:dyDescent="0.2"/>
  <cols>
    <col min="2" max="2" width="13" customWidth="1"/>
    <col min="3" max="4" width="15.42578125" customWidth="1"/>
    <col min="5" max="5" width="10" bestFit="1" customWidth="1"/>
    <col min="6" max="6" width="17.85546875" customWidth="1"/>
    <col min="10" max="10" width="12.7109375" customWidth="1"/>
    <col min="11" max="12" width="14.85546875" customWidth="1"/>
    <col min="13" max="13" width="12.28515625" customWidth="1"/>
    <col min="14" max="14" width="17.42578125" customWidth="1"/>
    <col min="17" max="17" width="11.85546875" customWidth="1"/>
    <col min="18" max="18" width="12.28515625" customWidth="1"/>
    <col min="19" max="19" width="16" customWidth="1"/>
    <col min="20" max="20" width="13.85546875" customWidth="1"/>
    <col min="21" max="21" width="12.42578125" customWidth="1"/>
    <col min="22" max="22" width="17.85546875" customWidth="1"/>
    <col min="26" max="26" width="12.140625" customWidth="1"/>
    <col min="27" max="27" width="18" customWidth="1"/>
    <col min="28" max="28" width="14.28515625" customWidth="1"/>
    <col min="29" max="29" width="13.28515625" customWidth="1"/>
    <col min="30" max="30" width="19.85546875" customWidth="1"/>
    <col min="34" max="34" width="13.140625" customWidth="1"/>
    <col min="35" max="35" width="15" customWidth="1"/>
    <col min="36" max="36" width="12" customWidth="1"/>
    <col min="37" max="37" width="11.42578125" customWidth="1"/>
    <col min="38" max="38" width="18.85546875" customWidth="1"/>
  </cols>
  <sheetData>
    <row r="2" spans="1:15" x14ac:dyDescent="0.2">
      <c r="B2" s="160" t="s">
        <v>203</v>
      </c>
      <c r="C2" s="161"/>
      <c r="D2" s="161"/>
      <c r="E2" s="161"/>
      <c r="F2" s="161"/>
      <c r="G2" s="161"/>
    </row>
    <row r="3" spans="1:15" x14ac:dyDescent="0.2">
      <c r="B3" s="1"/>
    </row>
    <row r="4" spans="1:15" x14ac:dyDescent="0.2">
      <c r="B4" s="159" t="s">
        <v>1626</v>
      </c>
    </row>
    <row r="5" spans="1:15" x14ac:dyDescent="0.2">
      <c r="B5" s="159"/>
    </row>
    <row r="6" spans="1:15" ht="13.5" thickBot="1" x14ac:dyDescent="0.25">
      <c r="A6" s="188" t="str">
        <f>'SRIM Data'!A6</f>
        <v>21Na in CH2</v>
      </c>
      <c r="B6" s="125"/>
      <c r="C6" s="125"/>
      <c r="D6" s="125"/>
      <c r="E6" s="125"/>
      <c r="F6" s="125"/>
      <c r="G6" s="125"/>
      <c r="I6" s="188" t="str">
        <f>'SRIM Data'!A142</f>
        <v>21Na in Si</v>
      </c>
      <c r="J6" s="125"/>
      <c r="K6" s="125"/>
      <c r="L6" s="125"/>
      <c r="M6" s="125"/>
      <c r="N6" s="125"/>
      <c r="O6" s="125"/>
    </row>
    <row r="7" spans="1:15" ht="28.5" x14ac:dyDescent="0.2">
      <c r="A7" s="125"/>
      <c r="B7" s="163" t="s">
        <v>204</v>
      </c>
      <c r="C7" s="164" t="s">
        <v>205</v>
      </c>
      <c r="D7" s="164" t="s">
        <v>27</v>
      </c>
      <c r="E7" s="164" t="s">
        <v>207</v>
      </c>
      <c r="F7" s="165" t="s">
        <v>206</v>
      </c>
      <c r="G7" s="125"/>
      <c r="I7" s="125"/>
      <c r="J7" s="163" t="s">
        <v>204</v>
      </c>
      <c r="K7" s="164" t="s">
        <v>205</v>
      </c>
      <c r="L7" s="164" t="s">
        <v>27</v>
      </c>
      <c r="M7" s="164" t="s">
        <v>207</v>
      </c>
      <c r="N7" s="165" t="s">
        <v>206</v>
      </c>
      <c r="O7" s="125"/>
    </row>
    <row r="8" spans="1:15" ht="13.5" thickBot="1" x14ac:dyDescent="0.25">
      <c r="A8" s="125"/>
      <c r="B8" s="190">
        <v>200</v>
      </c>
      <c r="C8" s="304">
        <f>Target!D10/2</f>
        <v>1.0356791466003833E-2</v>
      </c>
      <c r="D8" s="199">
        <v>0</v>
      </c>
      <c r="E8" s="200">
        <f>$B$8-$F$8</f>
        <v>5.9368251453122411E-3</v>
      </c>
      <c r="F8" s="201">
        <f>B19</f>
        <v>199.99406317485469</v>
      </c>
      <c r="G8" s="125"/>
      <c r="I8" s="125"/>
      <c r="J8" s="190">
        <v>95</v>
      </c>
      <c r="K8" s="199">
        <v>50</v>
      </c>
      <c r="L8" s="199">
        <v>0</v>
      </c>
      <c r="M8" s="200">
        <f>$J$8-$N$8</f>
        <v>94.959949494949498</v>
      </c>
      <c r="N8" s="201">
        <f>J19</f>
        <v>4.0050505050504191E-2</v>
      </c>
      <c r="O8" s="125"/>
    </row>
    <row r="9" spans="1:15" x14ac:dyDescent="0.2">
      <c r="A9" s="125"/>
      <c r="B9" s="162">
        <f>MATCH(B8,'SRIM Data'!$L$9:$L$140)</f>
        <v>114</v>
      </c>
      <c r="C9" s="162"/>
      <c r="D9" s="162"/>
      <c r="E9" s="125"/>
      <c r="F9" s="125"/>
      <c r="G9" s="125"/>
      <c r="I9" s="125"/>
      <c r="J9" s="162">
        <f>MATCH(J8,'SRIM Data'!$L$145:$L$276)</f>
        <v>104</v>
      </c>
      <c r="K9" s="162"/>
      <c r="L9" s="162"/>
      <c r="M9" s="125"/>
      <c r="N9" s="125"/>
      <c r="O9" s="125"/>
    </row>
    <row r="10" spans="1:15" x14ac:dyDescent="0.2">
      <c r="B10" s="143">
        <f>B9+1</f>
        <v>115</v>
      </c>
      <c r="C10" s="143"/>
      <c r="D10" s="143"/>
      <c r="E10" s="303">
        <f>E8/22</f>
        <v>2.6985568842328371E-4</v>
      </c>
      <c r="F10" t="s">
        <v>172</v>
      </c>
      <c r="J10" s="143">
        <f>J9+1</f>
        <v>105</v>
      </c>
      <c r="K10" s="143"/>
      <c r="L10" s="143"/>
    </row>
    <row r="11" spans="1:15" x14ac:dyDescent="0.2">
      <c r="B11" s="144">
        <f>INDEX('SRIM Data'!$L$9:$L$140,B9)</f>
        <v>200</v>
      </c>
      <c r="C11" s="143">
        <f>INDEX('SRIM Data'!$M$9:$M$140,B9)</f>
        <v>229.45</v>
      </c>
      <c r="D11" s="143"/>
      <c r="J11" s="144">
        <f>INDEX('SRIM Data'!$L$145:$L$276,J9)</f>
        <v>90</v>
      </c>
      <c r="K11" s="143">
        <f>INDEX('SRIM Data'!$M$145:$M$276,J9)</f>
        <v>46.75</v>
      </c>
      <c r="L11" s="143"/>
    </row>
    <row r="12" spans="1:15" x14ac:dyDescent="0.2">
      <c r="B12" s="144">
        <f>INDEX('SRIM Data'!$L$9:$L$140,B10)</f>
        <v>225</v>
      </c>
      <c r="C12" s="143">
        <f>INDEX('SRIM Data'!$M$9:$M$140,B10)</f>
        <v>276.61</v>
      </c>
      <c r="D12" s="143"/>
      <c r="J12" s="144">
        <f>INDEX('SRIM Data'!$L$145:$L$276,J10)</f>
        <v>100</v>
      </c>
      <c r="K12" s="143">
        <f>INDEX('SRIM Data'!$M$145:$M$276,J10)</f>
        <v>53.41</v>
      </c>
      <c r="L12" s="143"/>
    </row>
    <row r="13" spans="1:15" x14ac:dyDescent="0.2">
      <c r="B13" s="143">
        <f>(B12-B8)/(B12-B11)</f>
        <v>1</v>
      </c>
      <c r="C13" s="143">
        <f>C12-B13*(C12-C11)</f>
        <v>229.45</v>
      </c>
      <c r="D13" s="143"/>
      <c r="J13" s="143">
        <f>(J12-J8)/(J12-J11)</f>
        <v>0.5</v>
      </c>
      <c r="K13" s="143">
        <f>K12-J13*(K12-K11)</f>
        <v>50.08</v>
      </c>
      <c r="L13" s="143"/>
    </row>
    <row r="14" spans="1:15" x14ac:dyDescent="0.2">
      <c r="B14" s="143"/>
      <c r="C14" s="143">
        <f>C13-(C8/COS(RADIANS(D8)))</f>
        <v>229.43964320853399</v>
      </c>
      <c r="D14" s="143"/>
      <c r="J14" s="143"/>
      <c r="K14" s="143">
        <f>K13-(K8/COS(RADIANS(L8)))</f>
        <v>7.9999999999998295E-2</v>
      </c>
      <c r="L14" s="143"/>
    </row>
    <row r="15" spans="1:15" x14ac:dyDescent="0.2">
      <c r="B15" s="143"/>
      <c r="C15" s="143">
        <f>MATCH(C14,'SRIM Data'!$M$9:$M$140)</f>
        <v>113</v>
      </c>
      <c r="D15" s="143"/>
      <c r="J15" s="143"/>
      <c r="K15" s="143">
        <f>MATCH(K14,'SRIM Data'!$M$145:$M$276)</f>
        <v>18</v>
      </c>
      <c r="L15" s="143"/>
    </row>
    <row r="16" spans="1:15" x14ac:dyDescent="0.2">
      <c r="B16" s="143"/>
      <c r="C16" s="143">
        <f>C15+1</f>
        <v>114</v>
      </c>
      <c r="D16" s="143"/>
      <c r="J16" s="143"/>
      <c r="K16" s="143">
        <f>K15+1</f>
        <v>19</v>
      </c>
      <c r="L16" s="143"/>
    </row>
    <row r="17" spans="1:39" x14ac:dyDescent="0.2">
      <c r="B17" s="144">
        <f>INDEX('SRIM Data'!$L$9:$L$140,C15)</f>
        <v>180</v>
      </c>
      <c r="C17" s="143">
        <f>INDEX('SRIM Data'!$M$9:$M$140,C15)</f>
        <v>194.56</v>
      </c>
      <c r="D17" s="143"/>
      <c r="J17" s="144">
        <f>INDEX('SRIM Data'!$L$145:$L$276,K15)</f>
        <v>0.04</v>
      </c>
      <c r="K17" s="143">
        <f>INDEX('SRIM Data'!$M$145:$M$276,K15)</f>
        <v>7.9899999999999999E-2</v>
      </c>
      <c r="L17" s="143"/>
    </row>
    <row r="18" spans="1:39" x14ac:dyDescent="0.2">
      <c r="B18" s="144">
        <f>INDEX('SRIM Data'!$L$9:$L$140,C16)</f>
        <v>200</v>
      </c>
      <c r="C18" s="143">
        <f>INDEX('SRIM Data'!$M$9:$M$140,C16)</f>
        <v>229.45</v>
      </c>
      <c r="D18" s="143"/>
      <c r="J18" s="144">
        <f>INDEX('SRIM Data'!$L$145:$L$276,K16)</f>
        <v>4.4999999999999998E-2</v>
      </c>
      <c r="K18" s="143">
        <f>INDEX('SRIM Data'!$M$145:$M$276,K16)</f>
        <v>8.9800000000000005E-2</v>
      </c>
      <c r="L18" s="143"/>
    </row>
    <row r="19" spans="1:39" x14ac:dyDescent="0.2">
      <c r="B19" s="143">
        <f>B18-C19*(B18-B17)</f>
        <v>199.99406317485469</v>
      </c>
      <c r="C19" s="143">
        <f>(C18-C14)/(C18-C17)</f>
        <v>2.9684125726554253E-4</v>
      </c>
      <c r="D19" s="143"/>
      <c r="J19" s="143">
        <f>J18-K19*(J18-J17)</f>
        <v>4.0050505050504191E-2</v>
      </c>
      <c r="K19" s="143">
        <f>(K18-K14)/(K18-K17)</f>
        <v>0.98989898989916203</v>
      </c>
      <c r="L19" s="143"/>
    </row>
    <row r="21" spans="1:39" ht="13.5" thickBot="1" x14ac:dyDescent="0.25">
      <c r="A21" s="188" t="str">
        <f>'SRIM Data'!O6</f>
        <v>18Ne in CH2</v>
      </c>
      <c r="B21" s="125"/>
      <c r="C21" s="125"/>
      <c r="D21" s="125"/>
      <c r="E21" s="125"/>
      <c r="F21" s="125"/>
      <c r="G21" s="125"/>
      <c r="I21" s="188" t="str">
        <f>'SRIM Data'!O142</f>
        <v>18Ne in Si</v>
      </c>
      <c r="J21" s="125"/>
      <c r="K21" s="125"/>
      <c r="L21" s="125"/>
      <c r="M21" s="125"/>
      <c r="N21" s="125"/>
      <c r="O21" s="125" t="s">
        <v>222</v>
      </c>
      <c r="Q21" s="188" t="str">
        <f>'SRIM Data'!O142</f>
        <v>18Ne in Si</v>
      </c>
      <c r="R21" s="125"/>
      <c r="S21" s="125"/>
      <c r="T21" s="125"/>
      <c r="U21" s="125"/>
      <c r="V21" s="125"/>
      <c r="W21" s="125" t="s">
        <v>223</v>
      </c>
      <c r="Y21" s="188" t="str">
        <f>'SRIM Data'!O142</f>
        <v>18Ne in Si</v>
      </c>
      <c r="Z21" s="125"/>
      <c r="AA21" s="125"/>
      <c r="AB21" s="125"/>
      <c r="AC21" s="125"/>
      <c r="AD21" s="125"/>
      <c r="AE21" s="125" t="s">
        <v>224</v>
      </c>
      <c r="AG21" s="188" t="str">
        <f>'SRIM Data'!O142</f>
        <v>18Ne in Si</v>
      </c>
      <c r="AH21" s="125"/>
      <c r="AI21" s="125"/>
      <c r="AJ21" s="125"/>
      <c r="AK21" s="125"/>
      <c r="AL21" s="125"/>
      <c r="AM21" s="125" t="s">
        <v>225</v>
      </c>
    </row>
    <row r="22" spans="1:39" ht="28.5" x14ac:dyDescent="0.2">
      <c r="A22" s="125"/>
      <c r="B22" s="163" t="s">
        <v>204</v>
      </c>
      <c r="C22" s="164" t="s">
        <v>205</v>
      </c>
      <c r="D22" s="164" t="s">
        <v>27</v>
      </c>
      <c r="E22" s="164" t="s">
        <v>207</v>
      </c>
      <c r="F22" s="165" t="s">
        <v>206</v>
      </c>
      <c r="G22" s="125"/>
      <c r="I22" s="125"/>
      <c r="J22" s="163" t="s">
        <v>204</v>
      </c>
      <c r="K22" s="164" t="s">
        <v>205</v>
      </c>
      <c r="L22" s="164" t="s">
        <v>27</v>
      </c>
      <c r="M22" s="164" t="s">
        <v>207</v>
      </c>
      <c r="N22" s="165" t="s">
        <v>206</v>
      </c>
      <c r="O22" s="125"/>
      <c r="Q22" s="125"/>
      <c r="R22" s="163" t="s">
        <v>204</v>
      </c>
      <c r="S22" s="164" t="s">
        <v>205</v>
      </c>
      <c r="T22" s="164" t="s">
        <v>27</v>
      </c>
      <c r="U22" s="164" t="s">
        <v>207</v>
      </c>
      <c r="V22" s="165" t="s">
        <v>206</v>
      </c>
      <c r="W22" s="125"/>
      <c r="Y22" s="125"/>
      <c r="Z22" s="163" t="s">
        <v>204</v>
      </c>
      <c r="AA22" s="164" t="s">
        <v>205</v>
      </c>
      <c r="AB22" s="164" t="s">
        <v>27</v>
      </c>
      <c r="AC22" s="164" t="s">
        <v>207</v>
      </c>
      <c r="AD22" s="165" t="s">
        <v>206</v>
      </c>
      <c r="AE22" s="125"/>
      <c r="AG22" s="125"/>
      <c r="AH22" s="163" t="s">
        <v>204</v>
      </c>
      <c r="AI22" s="164" t="s">
        <v>205</v>
      </c>
      <c r="AJ22" s="164" t="s">
        <v>27</v>
      </c>
      <c r="AK22" s="164" t="s">
        <v>207</v>
      </c>
      <c r="AL22" s="165" t="s">
        <v>206</v>
      </c>
      <c r="AM22" s="125"/>
    </row>
    <row r="23" spans="1:39" ht="13.5" thickBot="1" x14ac:dyDescent="0.25">
      <c r="A23" s="125"/>
      <c r="B23" s="341">
        <v>80</v>
      </c>
      <c r="C23" s="304">
        <f>Target!D10/2</f>
        <v>1.0356791466003833E-2</v>
      </c>
      <c r="D23" s="199">
        <v>2</v>
      </c>
      <c r="E23" s="200">
        <f>$B$23-$F$23</f>
        <v>8.7011791680993156E-3</v>
      </c>
      <c r="F23" s="201">
        <f>B34</f>
        <v>79.991298820831901</v>
      </c>
      <c r="G23" s="125"/>
      <c r="I23" s="125"/>
      <c r="J23" s="341">
        <f>F23</f>
        <v>79.991298820831901</v>
      </c>
      <c r="K23" s="199">
        <v>0.8</v>
      </c>
      <c r="L23" s="199">
        <v>2</v>
      </c>
      <c r="M23" s="200">
        <f>$J$23-$N$23</f>
        <v>1.1164402167908776</v>
      </c>
      <c r="N23" s="201">
        <f>J34</f>
        <v>78.874858604041023</v>
      </c>
      <c r="O23" s="125"/>
      <c r="Q23" s="125"/>
      <c r="R23" s="341">
        <f>N23</f>
        <v>78.874858604041023</v>
      </c>
      <c r="S23" s="199">
        <v>35</v>
      </c>
      <c r="T23" s="199">
        <v>2</v>
      </c>
      <c r="U23" s="200">
        <f>$R$23-$V$23</f>
        <v>58.235638176502803</v>
      </c>
      <c r="V23" s="201">
        <f>R34</f>
        <v>20.639220427538216</v>
      </c>
      <c r="W23" s="125"/>
      <c r="Y23" s="125"/>
      <c r="Z23" s="341">
        <f>V23</f>
        <v>20.639220427538216</v>
      </c>
      <c r="AA23" s="199">
        <v>0.8</v>
      </c>
      <c r="AB23" s="199">
        <v>2</v>
      </c>
      <c r="AC23" s="200">
        <f>$Z$23-$AD$23</f>
        <v>1.6362572985594568</v>
      </c>
      <c r="AD23" s="201">
        <f>Z34</f>
        <v>19.002963128978759</v>
      </c>
      <c r="AE23" s="125"/>
      <c r="AG23" s="125"/>
      <c r="AH23" s="341">
        <f>AD23</f>
        <v>19.002963128978759</v>
      </c>
      <c r="AI23" s="199">
        <v>1500</v>
      </c>
      <c r="AJ23" s="199">
        <v>2</v>
      </c>
      <c r="AK23" s="200" t="e">
        <f>$AH$23-$AL$23</f>
        <v>#N/A</v>
      </c>
      <c r="AL23" s="201" t="e">
        <f>AH34</f>
        <v>#N/A</v>
      </c>
      <c r="AM23" s="125"/>
    </row>
    <row r="24" spans="1:39" x14ac:dyDescent="0.2">
      <c r="A24" s="125"/>
      <c r="B24" s="162">
        <f>MATCH(B23,'SRIM Data'!$Z$9:$Z$140)</f>
        <v>103</v>
      </c>
      <c r="C24" s="162"/>
      <c r="D24" s="342"/>
      <c r="E24" s="125"/>
      <c r="F24" s="125"/>
      <c r="G24" s="125"/>
      <c r="I24" s="125"/>
      <c r="J24" s="162">
        <f>MATCH(J23,'SRIM Data'!$Z$145:$Z$276)</f>
        <v>102</v>
      </c>
      <c r="K24" s="162"/>
      <c r="L24" s="162"/>
      <c r="M24" s="125"/>
      <c r="N24" s="125"/>
      <c r="O24" s="125"/>
      <c r="Q24" s="125"/>
      <c r="R24" s="162">
        <f>MATCH(R23,'SRIM Data'!$Z$145:$Z$276)</f>
        <v>102</v>
      </c>
      <c r="S24" s="162"/>
      <c r="T24" s="162"/>
      <c r="U24" s="125"/>
      <c r="V24" s="125"/>
      <c r="W24" s="125"/>
      <c r="Y24" s="125"/>
      <c r="Z24" s="162">
        <f>MATCH(Z23,'SRIM Data'!$Z$145:$Z$276)</f>
        <v>88</v>
      </c>
      <c r="AA24" s="162"/>
      <c r="AB24" s="162"/>
      <c r="AC24" s="125"/>
      <c r="AD24" s="125"/>
      <c r="AE24" s="125"/>
      <c r="AG24" s="125"/>
      <c r="AH24" s="162">
        <f>MATCH(AH23,'SRIM Data'!$Z$145:$Z$276)</f>
        <v>87</v>
      </c>
      <c r="AI24" s="162"/>
      <c r="AJ24" s="162"/>
      <c r="AK24" s="125"/>
      <c r="AL24" s="125"/>
      <c r="AM24" s="125"/>
    </row>
    <row r="25" spans="1:39" x14ac:dyDescent="0.2">
      <c r="B25" s="143">
        <f>B24+1</f>
        <v>104</v>
      </c>
      <c r="C25" s="143"/>
      <c r="D25" s="343"/>
      <c r="J25" s="143">
        <f>J24+1</f>
        <v>103</v>
      </c>
      <c r="K25" s="143"/>
      <c r="L25" s="143"/>
      <c r="Q25" s="338"/>
      <c r="R25" s="339">
        <f>R24+1</f>
        <v>103</v>
      </c>
      <c r="S25" s="339"/>
      <c r="Z25">
        <f>Z24+1</f>
        <v>89</v>
      </c>
      <c r="AH25">
        <f>AH24+1</f>
        <v>88</v>
      </c>
    </row>
    <row r="26" spans="1:39" x14ac:dyDescent="0.2">
      <c r="B26" s="144">
        <f>INDEX('SRIM Data'!$Z$9:$Z$140,B24)</f>
        <v>80</v>
      </c>
      <c r="C26" s="143">
        <f>INDEX('SRIM Data'!$AA$9:$AA$140,B24)</f>
        <v>70.489999999999995</v>
      </c>
      <c r="D26" s="143"/>
      <c r="E26" s="87"/>
      <c r="F26" s="260"/>
      <c r="J26" s="144">
        <f>INDEX('SRIM Data'!$Z$145:$Z$276,J24)</f>
        <v>70</v>
      </c>
      <c r="K26" s="143">
        <f>INDEX('SRIM Data'!$AA$145:$AA$276,J24)</f>
        <v>39.9</v>
      </c>
      <c r="L26" s="143"/>
      <c r="Q26" s="338"/>
      <c r="R26" s="340">
        <f>INDEX('SRIM Data'!$Z$145:$Z$276,R24)</f>
        <v>70</v>
      </c>
      <c r="S26" s="339">
        <f>INDEX('SRIM Data'!$AA$145:$AA$276,R24)</f>
        <v>39.9</v>
      </c>
      <c r="Z26" s="337">
        <f>INDEX('SRIM Data'!$Z$145:$Z$276,Z24)</f>
        <v>20</v>
      </c>
      <c r="AA26">
        <f>INDEX('SRIM Data'!$AA$145:$AA$276,Z24)</f>
        <v>10.93</v>
      </c>
      <c r="AH26" s="337">
        <f>INDEX('SRIM Data'!$Z$145:$Z$276,AH24)</f>
        <v>18</v>
      </c>
      <c r="AI26">
        <f>INDEX('SRIM Data'!$AA$145:$AA$276,AH24)</f>
        <v>9.9499999999999993</v>
      </c>
    </row>
    <row r="27" spans="1:39" x14ac:dyDescent="0.2">
      <c r="B27" s="144">
        <f>INDEX('SRIM Data'!$Z$9:$Z$140,B25)</f>
        <v>90</v>
      </c>
      <c r="C27" s="143">
        <f>INDEX('SRIM Data'!$AA$9:$AA$140,B25)</f>
        <v>83.37</v>
      </c>
      <c r="D27" s="143"/>
      <c r="J27" s="144">
        <f>INDEX('SRIM Data'!$Z$145:$Z$276,J25)</f>
        <v>80</v>
      </c>
      <c r="K27" s="143">
        <f>INDEX('SRIM Data'!$AA$145:$AA$276,J25)</f>
        <v>47.07</v>
      </c>
      <c r="L27" s="143"/>
      <c r="Q27" s="338"/>
      <c r="R27" s="340">
        <f>INDEX('SRIM Data'!$Z$145:$Z$276,R25)</f>
        <v>80</v>
      </c>
      <c r="S27" s="339">
        <f>INDEX('SRIM Data'!$AA$145:$AA$276,R25)</f>
        <v>47.07</v>
      </c>
      <c r="U27" s="260"/>
      <c r="Z27" s="337">
        <f>INDEX('SRIM Data'!$Z$145:$Z$276,Z25)</f>
        <v>22.5</v>
      </c>
      <c r="AA27">
        <f>INDEX('SRIM Data'!$AA$145:$AA$276,Z25)</f>
        <v>12.15</v>
      </c>
      <c r="AD27" s="260"/>
      <c r="AH27" s="337">
        <f>INDEX('SRIM Data'!$Z$145:$Z$276,AH25)</f>
        <v>20</v>
      </c>
      <c r="AI27">
        <f>INDEX('SRIM Data'!$AA$145:$AA$276,AH25)</f>
        <v>10.93</v>
      </c>
      <c r="AK27" s="260"/>
      <c r="AL27" s="260"/>
    </row>
    <row r="28" spans="1:39" x14ac:dyDescent="0.2">
      <c r="B28" s="143">
        <f>(B27-B23)/(B27-B26)</f>
        <v>1</v>
      </c>
      <c r="C28" s="143">
        <f>C27-B28*(C27-C26)</f>
        <v>70.489999999999995</v>
      </c>
      <c r="D28" s="143"/>
      <c r="J28" s="143">
        <f>(J27-J23)/(J27-J26)</f>
        <v>8.7011791680993158E-4</v>
      </c>
      <c r="K28" s="143">
        <f>K27-J28*(K27-K26)</f>
        <v>47.063761254536473</v>
      </c>
      <c r="L28" s="143"/>
      <c r="Q28" s="338"/>
      <c r="R28" s="339">
        <f>(R27-R23)/(R27-R26)</f>
        <v>0.11251413959589769</v>
      </c>
      <c r="S28" s="339">
        <f>S27-R28*(S27-S26)</f>
        <v>46.263273619097411</v>
      </c>
      <c r="Z28">
        <f>(Z27-Z23)/(Z27-Z26)</f>
        <v>0.74431182898471349</v>
      </c>
      <c r="AA28">
        <f>AA27-Z28*(AA27-AA26)</f>
        <v>11.241939568638649</v>
      </c>
      <c r="AH28">
        <f>(AH27-AH23)/(AH27-AH26)</f>
        <v>0.49851843551062025</v>
      </c>
      <c r="AI28">
        <f>AI27-AH28*(AI27-AI26)</f>
        <v>10.441451933199591</v>
      </c>
    </row>
    <row r="29" spans="1:39" x14ac:dyDescent="0.2">
      <c r="B29" s="143"/>
      <c r="C29" s="143">
        <f>C28-(C23/COS(RADIANS(D23)))</f>
        <v>70.479636895610795</v>
      </c>
      <c r="D29" s="143"/>
      <c r="J29" s="143"/>
      <c r="K29" s="143">
        <f>K28-(K23/COS(RADIANS(L23)))</f>
        <v>46.263273619097419</v>
      </c>
      <c r="L29" s="143"/>
      <c r="Q29" s="338"/>
      <c r="R29" s="339"/>
      <c r="S29" s="339">
        <f>S28-(S23/COS(RADIANS(T23)))</f>
        <v>11.241939568638649</v>
      </c>
      <c r="AA29">
        <f>AA28-(AA23/COS(RADIANS(AB23)))</f>
        <v>10.441451933199591</v>
      </c>
      <c r="AI29">
        <f>AI28-(AI23/COS(RADIANS(AJ23)))</f>
        <v>-1490.4728645150328</v>
      </c>
    </row>
    <row r="30" spans="1:39" x14ac:dyDescent="0.2">
      <c r="B30" s="143"/>
      <c r="C30" s="143">
        <f>MATCH(C29,'SRIM Data'!$AA$9:$AA$140)</f>
        <v>102</v>
      </c>
      <c r="D30" s="143"/>
      <c r="J30" s="143"/>
      <c r="K30" s="143">
        <f>MATCH(K29,'SRIM Data'!$AA$145:$AA$276)</f>
        <v>102</v>
      </c>
      <c r="L30" s="143"/>
      <c r="Q30" s="338"/>
      <c r="R30" s="339"/>
      <c r="S30" s="339">
        <f>MATCH(S29,'SRIM Data'!$AA$145:$AA$276)</f>
        <v>88</v>
      </c>
      <c r="AA30">
        <f>MATCH(AA29,'SRIM Data'!$AA$145:$AA$276)</f>
        <v>87</v>
      </c>
      <c r="AI30" t="e">
        <f>MATCH(AI29,'SRIM Data'!$AA$145:$AA$276)</f>
        <v>#N/A</v>
      </c>
    </row>
    <row r="31" spans="1:39" x14ac:dyDescent="0.2">
      <c r="B31" s="143"/>
      <c r="C31" s="143">
        <f>C30+1</f>
        <v>103</v>
      </c>
      <c r="D31" s="143"/>
      <c r="J31" s="143"/>
      <c r="K31" s="143">
        <f>K30+1</f>
        <v>103</v>
      </c>
      <c r="L31" s="143"/>
      <c r="Q31" s="338"/>
      <c r="R31" s="339"/>
      <c r="S31" s="339">
        <f>S30+1</f>
        <v>89</v>
      </c>
      <c r="AA31">
        <f>AA30+1</f>
        <v>88</v>
      </c>
      <c r="AI31" t="e">
        <f>AI30+1</f>
        <v>#N/A</v>
      </c>
    </row>
    <row r="32" spans="1:39" x14ac:dyDescent="0.2">
      <c r="B32" s="144">
        <f>INDEX('SRIM Data'!$Z$9:$Z$140,C30)</f>
        <v>70</v>
      </c>
      <c r="C32" s="143">
        <f>INDEX('SRIM Data'!$AA$9:$AA$140,C30)</f>
        <v>58.58</v>
      </c>
      <c r="D32" s="143"/>
      <c r="J32" s="144">
        <f>INDEX('SRIM Data'!$Z$145:$Z$276,K30)</f>
        <v>70</v>
      </c>
      <c r="K32" s="143">
        <f>INDEX('SRIM Data'!$AA$145:$AA$276,K30)</f>
        <v>39.9</v>
      </c>
      <c r="L32" s="143"/>
      <c r="Q32" s="338"/>
      <c r="R32" s="340">
        <f>INDEX('SRIM Data'!$Z$145:$Z$276,S30)</f>
        <v>20</v>
      </c>
      <c r="S32" s="339">
        <f>INDEX('SRIM Data'!$AA$145:$AA$276,S30)</f>
        <v>10.93</v>
      </c>
      <c r="Z32" s="337">
        <f>INDEX('SRIM Data'!$Z$145:$Z$276,AA30)</f>
        <v>18</v>
      </c>
      <c r="AA32">
        <f>INDEX('SRIM Data'!$AA$145:$AA$276,AA30)</f>
        <v>9.9499999999999993</v>
      </c>
      <c r="AH32" s="337" t="e">
        <f>INDEX('SRIM Data'!$Z$145:$Z$276,AI30)</f>
        <v>#N/A</v>
      </c>
      <c r="AI32" t="e">
        <f>INDEX('SRIM Data'!$AA$145:$AA$276,AI30)</f>
        <v>#N/A</v>
      </c>
    </row>
    <row r="33" spans="1:39" x14ac:dyDescent="0.2">
      <c r="B33" s="144">
        <f>INDEX('SRIM Data'!$Z$9:$Z$140,C31)</f>
        <v>80</v>
      </c>
      <c r="C33" s="143">
        <f>INDEX('SRIM Data'!$AA$9:$AA$140,C31)</f>
        <v>70.489999999999995</v>
      </c>
      <c r="D33" s="143"/>
      <c r="J33" s="144">
        <f>INDEX('SRIM Data'!$Z$145:$Z$276,K31)</f>
        <v>80</v>
      </c>
      <c r="K33" s="143">
        <f>INDEX('SRIM Data'!$AA$145:$AA$276,K31)</f>
        <v>47.07</v>
      </c>
      <c r="L33" s="143"/>
      <c r="Q33" s="338"/>
      <c r="R33" s="340">
        <f>INDEX('SRIM Data'!$Z$145:$Z$276,S31)</f>
        <v>22.5</v>
      </c>
      <c r="S33" s="339">
        <f>INDEX('SRIM Data'!$AA$145:$AA$276,S31)</f>
        <v>12.15</v>
      </c>
      <c r="Z33" s="337">
        <f>INDEX('SRIM Data'!$Z$145:$Z$276,AA31)</f>
        <v>20</v>
      </c>
      <c r="AA33">
        <f>INDEX('SRIM Data'!$AA$145:$AA$276,AA31)</f>
        <v>10.93</v>
      </c>
      <c r="AH33" s="337" t="e">
        <f>INDEX('SRIM Data'!$Z$145:$Z$276,AI31)</f>
        <v>#N/A</v>
      </c>
      <c r="AI33" t="e">
        <f>INDEX('SRIM Data'!$AA$145:$AA$276,AI31)</f>
        <v>#N/A</v>
      </c>
    </row>
    <row r="34" spans="1:39" x14ac:dyDescent="0.2">
      <c r="B34" s="143">
        <f>B33-C34*(B33-B32)</f>
        <v>79.991298820831901</v>
      </c>
      <c r="C34" s="143">
        <f>(C33-C29)/(C33-C32)</f>
        <v>8.7011791680935435E-4</v>
      </c>
      <c r="D34" s="143"/>
      <c r="J34" s="143">
        <f>J33-K34*(J33-J32)</f>
        <v>78.874858604041023</v>
      </c>
      <c r="K34" s="143">
        <f>(K33-K29)/(K33-K32)</f>
        <v>0.11251413959589701</v>
      </c>
      <c r="L34" s="143"/>
      <c r="Q34" s="338"/>
      <c r="R34" s="339">
        <f>R33-S34*(R33-R32)</f>
        <v>20.639220427538216</v>
      </c>
      <c r="S34" s="339">
        <f>(S33-S29)/(S33-S32)</f>
        <v>0.74431182898471349</v>
      </c>
      <c r="Z34">
        <f>Z33-AA34*(Z33-Z32)</f>
        <v>19.002963128978759</v>
      </c>
      <c r="AA34">
        <f>(AA33-AA29)/(AA33-AA32)</f>
        <v>0.49851843551062075</v>
      </c>
      <c r="AH34" t="e">
        <f>AH33-AI34*(AH33-AH32)</f>
        <v>#N/A</v>
      </c>
      <c r="AI34" t="e">
        <f>(AI33-AI29)/(AI33-AI32)</f>
        <v>#N/A</v>
      </c>
    </row>
    <row r="36" spans="1:39" ht="13.5" thickBot="1" x14ac:dyDescent="0.25">
      <c r="A36" s="188" t="str">
        <f>'SRIM Data'!AC6</f>
        <v>4He in CH2</v>
      </c>
      <c r="B36" s="125"/>
      <c r="C36" s="125"/>
      <c r="D36" s="125"/>
      <c r="E36" s="125"/>
      <c r="F36" s="125"/>
      <c r="G36" s="125"/>
      <c r="I36" s="188" t="str">
        <f>'SRIM Data'!AC142</f>
        <v>4He in Si</v>
      </c>
      <c r="J36" s="125"/>
      <c r="K36" s="125"/>
      <c r="L36" s="125"/>
      <c r="M36" s="125"/>
      <c r="N36" s="125"/>
      <c r="O36" s="125" t="s">
        <v>222</v>
      </c>
      <c r="Q36" s="188" t="str">
        <f>'SRIM Data'!AC142</f>
        <v>4He in Si</v>
      </c>
      <c r="R36" s="125"/>
      <c r="S36" s="125"/>
      <c r="T36" s="125"/>
      <c r="U36" s="125"/>
      <c r="V36" s="125"/>
      <c r="W36" s="125" t="s">
        <v>228</v>
      </c>
      <c r="Y36" s="188" t="str">
        <f>'SRIM Data'!AC142</f>
        <v>4He in Si</v>
      </c>
      <c r="Z36" s="125"/>
      <c r="AA36" s="125"/>
      <c r="AB36" s="125"/>
      <c r="AC36" s="125"/>
      <c r="AD36" s="125"/>
      <c r="AE36" s="125" t="s">
        <v>224</v>
      </c>
      <c r="AG36" s="188" t="str">
        <f>'SRIM Data'!AC142</f>
        <v>4He in Si</v>
      </c>
      <c r="AH36" s="125"/>
      <c r="AI36" s="125"/>
      <c r="AJ36" s="125"/>
      <c r="AK36" s="125"/>
      <c r="AL36" s="125"/>
      <c r="AM36" s="125" t="s">
        <v>227</v>
      </c>
    </row>
    <row r="37" spans="1:39" ht="28.5" x14ac:dyDescent="0.2">
      <c r="A37" s="125"/>
      <c r="B37" s="163" t="s">
        <v>204</v>
      </c>
      <c r="C37" s="164" t="s">
        <v>205</v>
      </c>
      <c r="D37" s="164" t="s">
        <v>27</v>
      </c>
      <c r="E37" s="164" t="s">
        <v>207</v>
      </c>
      <c r="F37" s="165" t="s">
        <v>206</v>
      </c>
      <c r="G37" s="125"/>
      <c r="I37" s="125"/>
      <c r="J37" s="163" t="s">
        <v>204</v>
      </c>
      <c r="K37" s="164" t="s">
        <v>205</v>
      </c>
      <c r="L37" s="164" t="s">
        <v>27</v>
      </c>
      <c r="M37" s="164" t="s">
        <v>207</v>
      </c>
      <c r="N37" s="165" t="s">
        <v>206</v>
      </c>
      <c r="O37" s="125"/>
      <c r="Q37" s="125"/>
      <c r="R37" s="163" t="s">
        <v>204</v>
      </c>
      <c r="S37" s="164" t="s">
        <v>205</v>
      </c>
      <c r="T37" s="164" t="s">
        <v>27</v>
      </c>
      <c r="U37" s="164" t="s">
        <v>207</v>
      </c>
      <c r="V37" s="165" t="s">
        <v>206</v>
      </c>
      <c r="W37" s="125"/>
      <c r="Y37" s="125"/>
      <c r="Z37" s="163" t="s">
        <v>204</v>
      </c>
      <c r="AA37" s="164" t="s">
        <v>205</v>
      </c>
      <c r="AB37" s="164" t="s">
        <v>27</v>
      </c>
      <c r="AC37" s="164" t="s">
        <v>207</v>
      </c>
      <c r="AD37" s="165" t="s">
        <v>206</v>
      </c>
      <c r="AE37" s="125"/>
      <c r="AG37" s="125"/>
      <c r="AH37" s="163" t="s">
        <v>204</v>
      </c>
      <c r="AI37" s="164" t="s">
        <v>205</v>
      </c>
      <c r="AJ37" s="164" t="s">
        <v>27</v>
      </c>
      <c r="AK37" s="164" t="s">
        <v>207</v>
      </c>
      <c r="AL37" s="165" t="s">
        <v>206</v>
      </c>
      <c r="AM37" s="125"/>
    </row>
    <row r="38" spans="1:39" ht="13.5" thickBot="1" x14ac:dyDescent="0.25">
      <c r="A38" s="125"/>
      <c r="B38" s="341">
        <v>7.8</v>
      </c>
      <c r="C38" s="304">
        <f>Target!D10/2</f>
        <v>1.0356791466003833E-2</v>
      </c>
      <c r="D38" s="346">
        <v>0</v>
      </c>
      <c r="E38" s="200">
        <f>$B$38-$F$38</f>
        <v>7.2273492435481757E-4</v>
      </c>
      <c r="F38" s="201">
        <f>B49</f>
        <v>7.799277265075645</v>
      </c>
      <c r="G38" s="125"/>
      <c r="I38" s="125"/>
      <c r="J38" s="341">
        <v>8</v>
      </c>
      <c r="K38" s="199">
        <v>40</v>
      </c>
      <c r="L38" s="199">
        <v>8</v>
      </c>
      <c r="M38" s="200">
        <f>$J$38-$N$38</f>
        <v>5.6536859699880866</v>
      </c>
      <c r="N38" s="201">
        <f>J49</f>
        <v>2.3463140300119134</v>
      </c>
      <c r="O38" s="125"/>
      <c r="Q38" s="125"/>
      <c r="R38" s="190">
        <v>18.36</v>
      </c>
      <c r="S38" s="199">
        <v>1</v>
      </c>
      <c r="T38" s="199">
        <v>8.4499999999999993</v>
      </c>
      <c r="U38" s="200">
        <f>$R$38-$V$38</f>
        <v>5.7507091064124438E-2</v>
      </c>
      <c r="V38" s="201">
        <f>R49</f>
        <v>18.302492908935875</v>
      </c>
      <c r="W38" s="125"/>
      <c r="Y38" s="125"/>
      <c r="Z38" s="190">
        <v>18.36</v>
      </c>
      <c r="AA38" s="199">
        <v>1</v>
      </c>
      <c r="AB38" s="199">
        <v>8.4499999999999993</v>
      </c>
      <c r="AC38" s="200">
        <f>$Z$38-$AD$38</f>
        <v>5.7507091064124438E-2</v>
      </c>
      <c r="AD38" s="201">
        <f>Z49</f>
        <v>18.302492908935875</v>
      </c>
      <c r="AE38" s="125"/>
      <c r="AG38" s="125"/>
      <c r="AH38" s="190">
        <v>18.36</v>
      </c>
      <c r="AI38" s="199">
        <v>500</v>
      </c>
      <c r="AJ38" s="199">
        <v>8.4499999999999993</v>
      </c>
      <c r="AK38" s="200" t="e">
        <f>$AH$38-$AL$38</f>
        <v>#N/A</v>
      </c>
      <c r="AL38" s="201" t="e">
        <f>AH49</f>
        <v>#N/A</v>
      </c>
      <c r="AM38" s="125"/>
    </row>
    <row r="39" spans="1:39" x14ac:dyDescent="0.2">
      <c r="A39" s="125"/>
      <c r="B39" s="162">
        <f>MATCH(B38,'SRIM Data'!$AN$9:$AN$140)</f>
        <v>76</v>
      </c>
      <c r="C39" s="162"/>
      <c r="D39" s="342"/>
      <c r="E39" s="125"/>
      <c r="F39" s="125"/>
      <c r="G39" s="125"/>
      <c r="I39" s="125"/>
      <c r="J39" s="162">
        <f>MATCH(J38,'SRIM Data'!$AN$145:$AN$276)</f>
        <v>77</v>
      </c>
      <c r="K39" s="162"/>
      <c r="L39" s="162"/>
      <c r="M39" s="125"/>
      <c r="N39" s="125"/>
      <c r="O39" s="125"/>
      <c r="Q39" s="125"/>
      <c r="R39" s="344">
        <f>MATCH(R38,'SRIM Data'!$AN$145:$AN$276)</f>
        <v>87</v>
      </c>
      <c r="S39" s="344"/>
      <c r="T39" s="162"/>
      <c r="U39" s="125"/>
      <c r="V39" s="125"/>
      <c r="W39" s="125"/>
      <c r="Y39" s="125"/>
      <c r="Z39" s="344">
        <f>MATCH(Z38,'SRIM Data'!$AN$145:$AN$276)</f>
        <v>87</v>
      </c>
      <c r="AA39" s="344"/>
      <c r="AB39" s="162"/>
      <c r="AC39" s="125"/>
      <c r="AD39" s="125"/>
      <c r="AE39" s="125"/>
      <c r="AG39" s="125"/>
      <c r="AH39" s="344">
        <f>MATCH(AH38,'SRIM Data'!$AN$145:$AN$276)</f>
        <v>87</v>
      </c>
      <c r="AI39" s="344"/>
      <c r="AJ39" s="162"/>
      <c r="AK39" s="125"/>
      <c r="AL39" s="125"/>
      <c r="AM39" s="125"/>
    </row>
    <row r="40" spans="1:39" x14ac:dyDescent="0.2">
      <c r="B40" s="143">
        <f>B39+1</f>
        <v>77</v>
      </c>
      <c r="C40" s="143"/>
      <c r="D40" s="343"/>
      <c r="J40" s="143">
        <f>J39+1</f>
        <v>78</v>
      </c>
      <c r="K40" s="143"/>
      <c r="L40" s="143"/>
      <c r="R40" s="339">
        <f>R39+1</f>
        <v>88</v>
      </c>
      <c r="S40" s="339"/>
      <c r="Z40" s="339">
        <f>Z39+1</f>
        <v>88</v>
      </c>
      <c r="AA40" s="339"/>
      <c r="AH40" s="339">
        <f>AH39+1</f>
        <v>88</v>
      </c>
      <c r="AI40" s="339"/>
    </row>
    <row r="41" spans="1:39" x14ac:dyDescent="0.2">
      <c r="B41" s="144">
        <f>INDEX('SRIM Data'!$AN$9:$AN$140,B39)</f>
        <v>7</v>
      </c>
      <c r="C41" s="143">
        <f>INDEX('SRIM Data'!$AO$9:$AO$140,B39)</f>
        <v>58.63</v>
      </c>
      <c r="D41" s="143"/>
      <c r="E41" s="87"/>
      <c r="F41" s="19"/>
      <c r="J41" s="144">
        <f>INDEX('SRIM Data'!$AN$145:$AN$276,J39)</f>
        <v>8</v>
      </c>
      <c r="K41" s="143">
        <f>INDEX('SRIM Data'!$AO$145:$AO$276,J39)</f>
        <v>49.18</v>
      </c>
      <c r="L41" s="143"/>
      <c r="R41" s="340">
        <f>INDEX('SRIM Data'!$AN$145:$AN$276,R39)</f>
        <v>18</v>
      </c>
      <c r="S41" s="339">
        <f>INDEX('SRIM Data'!$AO$145:$AO$276,R39)</f>
        <v>181.97</v>
      </c>
      <c r="Z41" s="340">
        <f>INDEX('SRIM Data'!$AN$145:$AN$276,Z39)</f>
        <v>18</v>
      </c>
      <c r="AA41" s="339">
        <f>INDEX('SRIM Data'!$AO$145:$AO$276,Z39)</f>
        <v>181.97</v>
      </c>
      <c r="AH41" s="340">
        <f>INDEX('SRIM Data'!$AN$145:$AN$276,AH39)</f>
        <v>18</v>
      </c>
      <c r="AI41" s="339">
        <f>INDEX('SRIM Data'!$AO$145:$AO$276,AH39)</f>
        <v>181.97</v>
      </c>
    </row>
    <row r="42" spans="1:39" x14ac:dyDescent="0.2">
      <c r="B42" s="144">
        <f>INDEX('SRIM Data'!$AN$9:$AN$140,B40)</f>
        <v>8</v>
      </c>
      <c r="C42" s="143">
        <f>INDEX('SRIM Data'!$AO$9:$AO$140,B40)</f>
        <v>72.959999999999994</v>
      </c>
      <c r="D42" s="143"/>
      <c r="E42" s="87"/>
      <c r="F42" s="87"/>
      <c r="J42" s="144">
        <f>INDEX('SRIM Data'!$AN$145:$AN$276,J40)</f>
        <v>9</v>
      </c>
      <c r="K42" s="143">
        <f>INDEX('SRIM Data'!$AO$145:$AO$276,J40)</f>
        <v>59.02</v>
      </c>
      <c r="L42" s="143"/>
      <c r="R42" s="340">
        <f>INDEX('SRIM Data'!$AN$145:$AN$276,R40)</f>
        <v>20</v>
      </c>
      <c r="S42" s="339">
        <f>INDEX('SRIM Data'!$AO$145:$AO$276,R40)</f>
        <v>217.13</v>
      </c>
      <c r="U42" s="260"/>
      <c r="Z42" s="340">
        <f>INDEX('SRIM Data'!$AN$145:$AN$276,Z40)</f>
        <v>20</v>
      </c>
      <c r="AA42" s="339">
        <f>INDEX('SRIM Data'!$AO$145:$AO$276,Z40)</f>
        <v>217.13</v>
      </c>
      <c r="AD42" s="260"/>
      <c r="AH42" s="340">
        <f>INDEX('SRIM Data'!$AN$145:$AN$276,AH40)</f>
        <v>20</v>
      </c>
      <c r="AI42" s="339">
        <f>INDEX('SRIM Data'!$AO$145:$AO$276,AH40)</f>
        <v>217.13</v>
      </c>
      <c r="AK42" s="260"/>
    </row>
    <row r="43" spans="1:39" x14ac:dyDescent="0.2">
      <c r="B43" s="143">
        <f>(B42-B38)/(B42-B41)</f>
        <v>0.20000000000000018</v>
      </c>
      <c r="C43" s="143">
        <f>C42-B43*(C42-C41)</f>
        <v>70.093999999999994</v>
      </c>
      <c r="D43" s="143"/>
      <c r="J43" s="143">
        <f>(J42-J38)/(J42-J41)</f>
        <v>1</v>
      </c>
      <c r="K43" s="143">
        <f>K42-J43*(K42-K41)</f>
        <v>49.18</v>
      </c>
      <c r="L43" s="143"/>
      <c r="R43" s="339">
        <f>(R42-R38)/(R42-R41)</f>
        <v>0.82000000000000028</v>
      </c>
      <c r="S43" s="339">
        <f>S42-R43*(S42-S41)</f>
        <v>188.2988</v>
      </c>
      <c r="Z43" s="339">
        <f>(Z42-Z38)/(Z42-Z41)</f>
        <v>0.82000000000000028</v>
      </c>
      <c r="AA43" s="339">
        <f>AA42-Z43*(AA42-AA41)</f>
        <v>188.2988</v>
      </c>
      <c r="AH43" s="339">
        <f>(AH42-AH38)/(AH42-AH41)</f>
        <v>0.82000000000000028</v>
      </c>
      <c r="AI43" s="339">
        <f>AI42-AH43*(AI42-AI41)</f>
        <v>188.2988</v>
      </c>
    </row>
    <row r="44" spans="1:39" x14ac:dyDescent="0.2">
      <c r="B44" s="143"/>
      <c r="C44" s="143">
        <f>C43-(C38/COS(RADIANS(D38)))</f>
        <v>70.083643208533985</v>
      </c>
      <c r="D44" s="143"/>
      <c r="J44" s="143"/>
      <c r="K44" s="143">
        <f>K43-(K38/COS(RADIANS(L38)))</f>
        <v>8.7868970992552775</v>
      </c>
      <c r="L44" s="143"/>
      <c r="R44" s="339"/>
      <c r="S44" s="339">
        <f>S43-(S38/COS(RADIANS(T38)))</f>
        <v>187.28782533909271</v>
      </c>
      <c r="Z44" s="339"/>
      <c r="AA44" s="339">
        <f>AA43-(AA38/COS(RADIANS(AB38)))</f>
        <v>187.28782533909271</v>
      </c>
      <c r="AH44" s="339"/>
      <c r="AI44" s="339">
        <f>AI43-(AI38/COS(RADIANS(AJ38)))</f>
        <v>-317.18853045365347</v>
      </c>
    </row>
    <row r="45" spans="1:39" x14ac:dyDescent="0.2">
      <c r="B45" s="143"/>
      <c r="C45" s="143">
        <f>MATCH(C44,'SRIM Data'!$AO$9:$AO$140)</f>
        <v>76</v>
      </c>
      <c r="D45" s="143"/>
      <c r="J45" s="143"/>
      <c r="K45" s="143">
        <f>MATCH(K44,'SRIM Data'!$AO$145:$AO$276)</f>
        <v>63</v>
      </c>
      <c r="L45" s="143"/>
      <c r="R45" s="339"/>
      <c r="S45" s="339">
        <f>MATCH(S44,'SRIM Data'!$AO$145:$AO$276)</f>
        <v>87</v>
      </c>
      <c r="Z45" s="339"/>
      <c r="AA45" s="339">
        <f>MATCH(AA44,'SRIM Data'!$AO$145:$AO$276)</f>
        <v>87</v>
      </c>
      <c r="AH45" s="339"/>
      <c r="AI45" s="339" t="e">
        <f>MATCH(AI44,'SRIM Data'!$AO$145:$AO$276)</f>
        <v>#N/A</v>
      </c>
    </row>
    <row r="46" spans="1:39" x14ac:dyDescent="0.2">
      <c r="B46" s="143"/>
      <c r="C46" s="143">
        <f>C45+1</f>
        <v>77</v>
      </c>
      <c r="D46" s="143"/>
      <c r="J46" s="143"/>
      <c r="K46" s="143">
        <f>K45+1</f>
        <v>64</v>
      </c>
      <c r="L46" s="143"/>
      <c r="R46" s="339"/>
      <c r="S46" s="339">
        <f>S45+1</f>
        <v>88</v>
      </c>
      <c r="Z46" s="339"/>
      <c r="AA46" s="339">
        <f>AA45+1</f>
        <v>88</v>
      </c>
      <c r="AH46" s="339"/>
      <c r="AI46" s="339" t="e">
        <f>AI45+1</f>
        <v>#N/A</v>
      </c>
    </row>
    <row r="47" spans="1:39" x14ac:dyDescent="0.2">
      <c r="B47" s="144">
        <f>INDEX('SRIM Data'!$AN$9:$AN$140,C45)</f>
        <v>7</v>
      </c>
      <c r="C47" s="143">
        <f>INDEX('SRIM Data'!$AO$9:$AO$140,C45)</f>
        <v>58.63</v>
      </c>
      <c r="D47" s="143"/>
      <c r="J47" s="144">
        <f>INDEX('SRIM Data'!$AN$145:$AN$276,K45)</f>
        <v>2.25</v>
      </c>
      <c r="K47" s="143">
        <f>INDEX('SRIM Data'!$AO$145:$AO$276,K45)</f>
        <v>8.34</v>
      </c>
      <c r="L47" s="143"/>
      <c r="R47" s="340">
        <f>INDEX('SRIM Data'!$AN$145:$AN$276,S45)</f>
        <v>18</v>
      </c>
      <c r="S47" s="339">
        <f>INDEX('SRIM Data'!$AO$145:$AO$276,S45)</f>
        <v>181.97</v>
      </c>
      <c r="Z47" s="340">
        <f>INDEX('SRIM Data'!$AN$145:$AN$276,AA45)</f>
        <v>18</v>
      </c>
      <c r="AA47" s="339">
        <f>INDEX('SRIM Data'!$AO$145:$AO$276,AA45)</f>
        <v>181.97</v>
      </c>
      <c r="AH47" s="340" t="e">
        <f>INDEX('SRIM Data'!$AN$145:$AN$276,AI45)</f>
        <v>#N/A</v>
      </c>
      <c r="AI47" s="339" t="e">
        <f>INDEX('SRIM Data'!$AO$145:$AO$276,AI45)</f>
        <v>#N/A</v>
      </c>
    </row>
    <row r="48" spans="1:39" x14ac:dyDescent="0.2">
      <c r="B48" s="144">
        <f>INDEX('SRIM Data'!$AN$9:$AN$140,C46)</f>
        <v>8</v>
      </c>
      <c r="C48" s="143">
        <f>INDEX('SRIM Data'!$AO$9:$AO$140,C46)</f>
        <v>72.959999999999994</v>
      </c>
      <c r="D48" s="143"/>
      <c r="J48" s="144">
        <f>INDEX('SRIM Data'!$AN$145:$AN$276,K46)</f>
        <v>2.5</v>
      </c>
      <c r="K48" s="143">
        <f>INDEX('SRIM Data'!$AO$145:$AO$276,K46)</f>
        <v>9.5</v>
      </c>
      <c r="L48" s="143"/>
      <c r="R48" s="340">
        <f>INDEX('SRIM Data'!$AN$145:$AN$276,S46)</f>
        <v>20</v>
      </c>
      <c r="S48" s="339">
        <f>INDEX('SRIM Data'!$AO$145:$AO$276,S46)</f>
        <v>217.13</v>
      </c>
      <c r="Z48" s="340">
        <f>INDEX('SRIM Data'!$AN$145:$AN$276,AA46)</f>
        <v>20</v>
      </c>
      <c r="AA48" s="339">
        <f>INDEX('SRIM Data'!$AO$145:$AO$276,AA46)</f>
        <v>217.13</v>
      </c>
      <c r="AH48" s="340" t="e">
        <f>INDEX('SRIM Data'!$AN$145:$AN$276,AI46)</f>
        <v>#N/A</v>
      </c>
      <c r="AI48" s="339" t="e">
        <f>INDEX('SRIM Data'!$AO$145:$AO$276,AI46)</f>
        <v>#N/A</v>
      </c>
    </row>
    <row r="49" spans="1:35" x14ac:dyDescent="0.2">
      <c r="B49" s="143">
        <f>B48-C49*(B48-B47)</f>
        <v>7.799277265075645</v>
      </c>
      <c r="C49" s="143">
        <f>(C48-C44)/(C48-C47)</f>
        <v>0.20072273492435522</v>
      </c>
      <c r="D49" s="143"/>
      <c r="J49" s="143">
        <f>J48-K49*(J48-J47)</f>
        <v>2.3463140300119134</v>
      </c>
      <c r="K49" s="143">
        <f>(K48-K44)/(K48-K47)</f>
        <v>0.61474387995234692</v>
      </c>
      <c r="L49" s="143"/>
      <c r="R49" s="339">
        <f>R48-S49*(R48-R47)</f>
        <v>18.302492908935875</v>
      </c>
      <c r="S49" s="339">
        <f>(S48-S44)/(S48-S47)</f>
        <v>0.84875354553206184</v>
      </c>
      <c r="Z49" s="339">
        <f>Z48-AA49*(Z48-Z47)</f>
        <v>18.302492908935875</v>
      </c>
      <c r="AA49" s="339">
        <f>(AA48-AA44)/(AA48-AA47)</f>
        <v>0.84875354553206184</v>
      </c>
      <c r="AH49" s="339" t="e">
        <f>AH48-AI49*(AH48-AH47)</f>
        <v>#N/A</v>
      </c>
      <c r="AI49" s="339" t="e">
        <f>(AI48-AI44)/(AI48-AI47)</f>
        <v>#N/A</v>
      </c>
    </row>
    <row r="51" spans="1:35" ht="13.5" thickBot="1" x14ac:dyDescent="0.25">
      <c r="A51" s="188" t="str">
        <f>'SRIM Data'!AQ6</f>
        <v>p in CH2</v>
      </c>
      <c r="B51" s="125"/>
      <c r="C51" s="125"/>
      <c r="D51" s="125"/>
      <c r="E51" s="125"/>
      <c r="F51" s="125"/>
      <c r="G51" s="125"/>
      <c r="I51" s="188" t="str">
        <f>'SRIM Data'!AQ142</f>
        <v>p in Si</v>
      </c>
      <c r="J51" s="125"/>
      <c r="K51" s="125"/>
      <c r="L51" s="125"/>
      <c r="M51" s="125"/>
      <c r="N51" s="125"/>
      <c r="O51" s="125"/>
    </row>
    <row r="52" spans="1:35" ht="28.5" x14ac:dyDescent="0.2">
      <c r="A52" s="125"/>
      <c r="B52" s="163" t="s">
        <v>204</v>
      </c>
      <c r="C52" s="164" t="s">
        <v>205</v>
      </c>
      <c r="D52" s="164" t="s">
        <v>27</v>
      </c>
      <c r="E52" s="164" t="s">
        <v>207</v>
      </c>
      <c r="F52" s="165" t="s">
        <v>206</v>
      </c>
      <c r="G52" s="125"/>
      <c r="I52" s="125"/>
      <c r="J52" s="163" t="s">
        <v>204</v>
      </c>
      <c r="K52" s="164" t="s">
        <v>205</v>
      </c>
      <c r="L52" s="164" t="s">
        <v>27</v>
      </c>
      <c r="M52" s="164" t="s">
        <v>207</v>
      </c>
      <c r="N52" s="165" t="s">
        <v>206</v>
      </c>
      <c r="O52" s="125"/>
    </row>
    <row r="53" spans="1:35" ht="13.5" thickBot="1" x14ac:dyDescent="0.25">
      <c r="A53" s="125"/>
      <c r="B53" s="190">
        <v>18.395</v>
      </c>
      <c r="C53" s="199">
        <v>5.38</v>
      </c>
      <c r="D53" s="199">
        <v>0</v>
      </c>
      <c r="E53" s="200">
        <f>$B$53-$F$53</f>
        <v>1.4739726027396927E-2</v>
      </c>
      <c r="F53" s="201">
        <f>B64</f>
        <v>18.380260273972603</v>
      </c>
      <c r="G53" s="125"/>
      <c r="I53" s="125"/>
      <c r="J53" s="190">
        <v>20</v>
      </c>
      <c r="K53" s="199">
        <v>2500</v>
      </c>
      <c r="L53" s="199">
        <v>0</v>
      </c>
      <c r="M53" s="200" t="e">
        <f>$J$53-$N$53</f>
        <v>#N/A</v>
      </c>
      <c r="N53" s="201" t="e">
        <f>J64</f>
        <v>#N/A</v>
      </c>
      <c r="O53" s="125"/>
    </row>
    <row r="54" spans="1:35" x14ac:dyDescent="0.2">
      <c r="A54" s="125"/>
      <c r="B54" s="162">
        <f>MATCH(B53,'SRIM Data'!$BB$9:$BB$140)</f>
        <v>87</v>
      </c>
      <c r="C54" s="162"/>
      <c r="D54" s="162"/>
      <c r="E54" s="125"/>
      <c r="F54" s="125"/>
      <c r="G54" s="125"/>
      <c r="I54" s="125"/>
      <c r="J54" s="162">
        <f>MATCH(J53,'SRIM Data'!$BB$145:$BB$276)</f>
        <v>88</v>
      </c>
      <c r="K54" s="162"/>
      <c r="L54" s="162"/>
      <c r="M54" s="125"/>
      <c r="N54" s="125"/>
      <c r="O54" s="125"/>
    </row>
    <row r="55" spans="1:35" x14ac:dyDescent="0.2">
      <c r="B55" s="143">
        <f>B54+1</f>
        <v>88</v>
      </c>
      <c r="C55" s="143"/>
      <c r="D55" s="143"/>
      <c r="J55" s="143">
        <f>J54+1</f>
        <v>89</v>
      </c>
      <c r="K55" s="143"/>
      <c r="L55" s="143"/>
    </row>
    <row r="56" spans="1:35" x14ac:dyDescent="0.2">
      <c r="B56" s="144">
        <f>INDEX('SRIM Data'!$BB$9:$BB$140,B54)</f>
        <v>18</v>
      </c>
      <c r="C56" s="143">
        <f>INDEX('SRIM Data'!$BC$9:$BC$140,B54)</f>
        <v>3460</v>
      </c>
      <c r="D56" s="143"/>
      <c r="J56" s="144">
        <f>INDEX('SRIM Data'!$BB$145:$BB$276,J54)</f>
        <v>20</v>
      </c>
      <c r="K56" s="143">
        <f>INDEX('SRIM Data'!$BC$145:$BC$276,J54)</f>
        <v>2390</v>
      </c>
      <c r="L56" s="143"/>
    </row>
    <row r="57" spans="1:35" x14ac:dyDescent="0.2">
      <c r="B57" s="144">
        <f>INDEX('SRIM Data'!$BB$9:$BB$140,B55)</f>
        <v>20</v>
      </c>
      <c r="C57" s="143">
        <f>INDEX('SRIM Data'!$BC$9:$BC$140,B55)</f>
        <v>4190</v>
      </c>
      <c r="D57" s="143"/>
      <c r="J57" s="144">
        <f>INDEX('SRIM Data'!$BB$145:$BB$276,J55)</f>
        <v>22.5</v>
      </c>
      <c r="K57" s="143">
        <f>INDEX('SRIM Data'!$BC$145:$BC$276,J55)</f>
        <v>2950</v>
      </c>
      <c r="L57" s="143"/>
    </row>
    <row r="58" spans="1:35" x14ac:dyDescent="0.2">
      <c r="B58" s="143">
        <f>(B57-B53)/(B57-B56)</f>
        <v>0.80250000000000021</v>
      </c>
      <c r="C58" s="143">
        <f>C57-B58*(C57-C56)</f>
        <v>3604.1749999999997</v>
      </c>
      <c r="D58" s="143"/>
      <c r="J58" s="143">
        <f>(J57-J53)/(J57-J56)</f>
        <v>1</v>
      </c>
      <c r="K58" s="143">
        <f>K57-J58*(K57-K56)</f>
        <v>2390</v>
      </c>
      <c r="L58" s="143"/>
    </row>
    <row r="59" spans="1:35" x14ac:dyDescent="0.2">
      <c r="B59" s="143"/>
      <c r="C59" s="143">
        <f>C58-(C53/COS(RADIANS(D53)))</f>
        <v>3598.7949999999996</v>
      </c>
      <c r="D59" s="143"/>
      <c r="J59" s="143"/>
      <c r="K59" s="143">
        <f>K58-(K53/COS(RADIANS(L53)))</f>
        <v>-110</v>
      </c>
      <c r="L59" s="143"/>
    </row>
    <row r="60" spans="1:35" x14ac:dyDescent="0.2">
      <c r="B60" s="143"/>
      <c r="C60" s="143">
        <f>MATCH(C59,'SRIM Data'!$BC$9:$BC$140)</f>
        <v>87</v>
      </c>
      <c r="D60" s="143"/>
      <c r="J60" s="143"/>
      <c r="K60" s="143" t="e">
        <f>MATCH(K59,'SRIM Data'!$BC$145:$BC$276)</f>
        <v>#N/A</v>
      </c>
      <c r="L60" s="143"/>
    </row>
    <row r="61" spans="1:35" x14ac:dyDescent="0.2">
      <c r="B61" s="143"/>
      <c r="C61" s="143">
        <f>C60+1</f>
        <v>88</v>
      </c>
      <c r="D61" s="143"/>
      <c r="J61" s="143"/>
      <c r="K61" s="143" t="e">
        <f>K60+1</f>
        <v>#N/A</v>
      </c>
      <c r="L61" s="143"/>
    </row>
    <row r="62" spans="1:35" x14ac:dyDescent="0.2">
      <c r="B62" s="144">
        <f>INDEX('SRIM Data'!$BB$9:$BB$140,C60)</f>
        <v>18</v>
      </c>
      <c r="C62" s="143">
        <f>INDEX('SRIM Data'!$BC$9:$BC$140,C60)</f>
        <v>3460</v>
      </c>
      <c r="D62" s="143"/>
      <c r="J62" s="144" t="e">
        <f>INDEX('SRIM Data'!$BB$145:$BB$276,K60)</f>
        <v>#N/A</v>
      </c>
      <c r="K62" s="143" t="e">
        <f>INDEX('SRIM Data'!$BC$145:$BC$276,K60)</f>
        <v>#N/A</v>
      </c>
      <c r="L62" s="143"/>
    </row>
    <row r="63" spans="1:35" x14ac:dyDescent="0.2">
      <c r="B63" s="144">
        <f>INDEX('SRIM Data'!$BB$9:$BB$140,C61)</f>
        <v>20</v>
      </c>
      <c r="C63" s="143">
        <f>INDEX('SRIM Data'!$BC$9:$BC$140,C61)</f>
        <v>4190</v>
      </c>
      <c r="D63" s="143"/>
      <c r="J63" s="144" t="e">
        <f>INDEX('SRIM Data'!$BB$145:$BB$276,K61)</f>
        <v>#N/A</v>
      </c>
      <c r="K63" s="143" t="e">
        <f>INDEX('SRIM Data'!$BC$145:$BC$276,K61)</f>
        <v>#N/A</v>
      </c>
      <c r="L63" s="143"/>
    </row>
    <row r="64" spans="1:35" x14ac:dyDescent="0.2">
      <c r="B64" s="143">
        <f>B63-C64*(B63-B62)</f>
        <v>18.380260273972603</v>
      </c>
      <c r="C64" s="143">
        <f>(C63-C59)/(C63-C62)</f>
        <v>0.80986986301369912</v>
      </c>
      <c r="D64" s="143"/>
      <c r="J64" s="143" t="e">
        <f>J63-K64*(J63-J62)</f>
        <v>#N/A</v>
      </c>
      <c r="K64" s="143" t="e">
        <f>(K63-K59)/(K63-K62)</f>
        <v>#N/A</v>
      </c>
      <c r="L64" s="143"/>
    </row>
    <row r="66" spans="1:15" ht="13.5" thickBot="1" x14ac:dyDescent="0.25">
      <c r="A66" s="188" t="str">
        <f>'SRIM Data'!BE6</f>
        <v>12C in CH2</v>
      </c>
      <c r="B66" s="125"/>
      <c r="C66" s="125"/>
      <c r="D66" s="125"/>
      <c r="E66" s="125"/>
      <c r="F66" s="125"/>
      <c r="G66" s="125"/>
      <c r="I66" s="188" t="str">
        <f>'SRIM Data'!BE142</f>
        <v>12C in Si</v>
      </c>
      <c r="J66" s="125"/>
      <c r="K66" s="125"/>
      <c r="L66" s="125"/>
      <c r="M66" s="125"/>
      <c r="N66" s="125"/>
      <c r="O66" s="125"/>
    </row>
    <row r="67" spans="1:15" ht="28.5" x14ac:dyDescent="0.2">
      <c r="A67" s="125"/>
      <c r="B67" s="163" t="s">
        <v>204</v>
      </c>
      <c r="C67" s="164" t="s">
        <v>205</v>
      </c>
      <c r="D67" s="164" t="s">
        <v>27</v>
      </c>
      <c r="E67" s="164" t="s">
        <v>207</v>
      </c>
      <c r="F67" s="165" t="s">
        <v>206</v>
      </c>
      <c r="G67" s="125"/>
      <c r="I67" s="125"/>
      <c r="J67" s="163" t="s">
        <v>204</v>
      </c>
      <c r="K67" s="164" t="s">
        <v>205</v>
      </c>
      <c r="L67" s="164" t="s">
        <v>27</v>
      </c>
      <c r="M67" s="164" t="s">
        <v>207</v>
      </c>
      <c r="N67" s="165" t="s">
        <v>206</v>
      </c>
      <c r="O67" s="125"/>
    </row>
    <row r="68" spans="1:15" ht="13.5" thickBot="1" x14ac:dyDescent="0.25">
      <c r="A68" s="125"/>
      <c r="B68" s="190">
        <v>47.3</v>
      </c>
      <c r="C68" s="199">
        <v>56.9</v>
      </c>
      <c r="D68" s="199">
        <v>20</v>
      </c>
      <c r="E68" s="200">
        <f>$B$68-$F$68</f>
        <v>27.19313113270298</v>
      </c>
      <c r="F68" s="201">
        <f>B79</f>
        <v>20.106868867297017</v>
      </c>
      <c r="G68" s="125"/>
      <c r="I68" s="125"/>
      <c r="J68" s="190">
        <v>20</v>
      </c>
      <c r="K68" s="199">
        <v>0.8</v>
      </c>
      <c r="L68" s="199">
        <v>0</v>
      </c>
      <c r="M68" s="200">
        <f>$J$68-$N$68</f>
        <v>0.72072072072072046</v>
      </c>
      <c r="N68" s="201">
        <f>J79</f>
        <v>19.27927927927928</v>
      </c>
      <c r="O68" s="125"/>
    </row>
    <row r="69" spans="1:15" x14ac:dyDescent="0.2">
      <c r="A69" s="125"/>
      <c r="B69" s="162">
        <f>MATCH(B68,'SRIM Data'!$BP$9:$BP$140)</f>
        <v>97</v>
      </c>
      <c r="C69" s="162"/>
      <c r="D69" s="162"/>
      <c r="E69" s="125"/>
      <c r="F69" s="125"/>
      <c r="G69" s="125"/>
      <c r="I69" s="125"/>
      <c r="J69" s="162">
        <f>MATCH(J68,'SRIM Data'!$BP$145:$BP$276)</f>
        <v>88</v>
      </c>
      <c r="K69" s="162"/>
      <c r="L69" s="162"/>
      <c r="M69" s="125"/>
      <c r="N69" s="125"/>
      <c r="O69" s="125"/>
    </row>
    <row r="70" spans="1:15" x14ac:dyDescent="0.2">
      <c r="B70" s="143">
        <f>B69+1</f>
        <v>98</v>
      </c>
      <c r="C70" s="143"/>
      <c r="D70" s="143"/>
      <c r="J70" s="143">
        <f>J69+1</f>
        <v>89</v>
      </c>
      <c r="K70" s="143"/>
      <c r="L70" s="143"/>
    </row>
    <row r="71" spans="1:15" x14ac:dyDescent="0.2">
      <c r="B71" s="144">
        <f>INDEX('SRIM Data'!$BP$9:$BP$140,B69)</f>
        <v>45</v>
      </c>
      <c r="C71" s="143">
        <f>INDEX('SRIM Data'!$BQ$9:$BQ$140,B69)</f>
        <v>80.180000000000007</v>
      </c>
      <c r="D71" s="143"/>
      <c r="J71" s="144">
        <f>INDEX('SRIM Data'!$BP$145:$BP$276,J69)</f>
        <v>20</v>
      </c>
      <c r="K71" s="143">
        <f>INDEX('SRIM Data'!$BQ$145:$BQ$276,J69)</f>
        <v>19.850000000000001</v>
      </c>
      <c r="L71" s="143"/>
    </row>
    <row r="72" spans="1:15" x14ac:dyDescent="0.2">
      <c r="B72" s="144">
        <f>INDEX('SRIM Data'!$BP$9:$BP$140,B70)</f>
        <v>50</v>
      </c>
      <c r="C72" s="143">
        <f>INDEX('SRIM Data'!$BQ$9:$BQ$140,B70)</f>
        <v>94.42</v>
      </c>
      <c r="D72" s="143"/>
      <c r="J72" s="144">
        <f>INDEX('SRIM Data'!$BP$145:$BP$276,J70)</f>
        <v>22.5</v>
      </c>
      <c r="K72" s="143">
        <f>INDEX('SRIM Data'!$BQ$145:$BQ$276,J70)</f>
        <v>22.72</v>
      </c>
      <c r="L72" s="143"/>
    </row>
    <row r="73" spans="1:15" x14ac:dyDescent="0.2">
      <c r="B73" s="143">
        <f>(B72-B68)/(B72-B71)</f>
        <v>0.54000000000000059</v>
      </c>
      <c r="C73" s="143">
        <f>C72-B73*(C72-C71)</f>
        <v>86.730400000000003</v>
      </c>
      <c r="D73" s="143"/>
      <c r="J73" s="143">
        <f>(J72-J68)/(J72-J71)</f>
        <v>1</v>
      </c>
      <c r="K73" s="143">
        <f>K72-J73*(K72-K71)</f>
        <v>19.850000000000001</v>
      </c>
      <c r="L73" s="143"/>
    </row>
    <row r="74" spans="1:15" x14ac:dyDescent="0.2">
      <c r="B74" s="143"/>
      <c r="C74" s="143">
        <f>C73-(C68/COS(RADIANS(D68)))</f>
        <v>26.178684746120609</v>
      </c>
      <c r="D74" s="143"/>
      <c r="J74" s="143"/>
      <c r="K74" s="143">
        <f>K73-(K68/COS(RADIANS(L68)))</f>
        <v>19.05</v>
      </c>
      <c r="L74" s="143"/>
    </row>
    <row r="75" spans="1:15" x14ac:dyDescent="0.2">
      <c r="B75" s="143"/>
      <c r="C75" s="143">
        <f>MATCH(C74,'SRIM Data'!$BQ$9:$BQ$140)</f>
        <v>88</v>
      </c>
      <c r="D75" s="143"/>
      <c r="J75" s="143"/>
      <c r="K75" s="143">
        <f>MATCH(K74,'SRIM Data'!$BQ$145:$BQ$276)</f>
        <v>87</v>
      </c>
      <c r="L75" s="143"/>
    </row>
    <row r="76" spans="1:15" x14ac:dyDescent="0.2">
      <c r="B76" s="143"/>
      <c r="C76" s="143">
        <f>C75+1</f>
        <v>89</v>
      </c>
      <c r="D76" s="143"/>
      <c r="J76" s="143"/>
      <c r="K76" s="143">
        <f>K75+1</f>
        <v>88</v>
      </c>
      <c r="L76" s="143"/>
    </row>
    <row r="77" spans="1:15" x14ac:dyDescent="0.2">
      <c r="B77" s="144">
        <f>INDEX('SRIM Data'!$BP$9:$BP$140,C75)</f>
        <v>20</v>
      </c>
      <c r="C77" s="143">
        <f>INDEX('SRIM Data'!$BQ$9:$BQ$140,C75)</f>
        <v>26</v>
      </c>
      <c r="D77" s="143"/>
      <c r="J77" s="144">
        <f>INDEX('SRIM Data'!$BP$145:$BP$276,K75)</f>
        <v>18</v>
      </c>
      <c r="K77" s="143">
        <f>INDEX('SRIM Data'!$BQ$145:$BQ$276,K75)</f>
        <v>17.63</v>
      </c>
      <c r="L77" s="143"/>
    </row>
    <row r="78" spans="1:15" x14ac:dyDescent="0.2">
      <c r="B78" s="144">
        <f>INDEX('SRIM Data'!$BP$9:$BP$140,C76)</f>
        <v>22.5</v>
      </c>
      <c r="C78" s="143">
        <f>INDEX('SRIM Data'!$BQ$9:$BQ$140,C76)</f>
        <v>30.18</v>
      </c>
      <c r="D78" s="143"/>
      <c r="J78" s="144">
        <f>INDEX('SRIM Data'!$BP$145:$BP$276,K76)</f>
        <v>20</v>
      </c>
      <c r="K78" s="143">
        <f>INDEX('SRIM Data'!$BQ$145:$BQ$276,K76)</f>
        <v>19.850000000000001</v>
      </c>
      <c r="L78" s="143"/>
    </row>
    <row r="79" spans="1:15" x14ac:dyDescent="0.2">
      <c r="B79" s="143">
        <f>B78-C79*(B78-B77)</f>
        <v>20.106868867297017</v>
      </c>
      <c r="C79" s="143">
        <f>(C78-C74)/(C78-C77)</f>
        <v>0.95725245308119389</v>
      </c>
      <c r="D79" s="143"/>
      <c r="J79" s="143">
        <f>J78-K79*(J78-J77)</f>
        <v>19.27927927927928</v>
      </c>
      <c r="K79" s="143">
        <f>(K78-K74)/(K78-K77)</f>
        <v>0.36036036036036029</v>
      </c>
      <c r="L79" s="143"/>
    </row>
    <row r="81" spans="1:15" ht="13.5" thickBot="1" x14ac:dyDescent="0.25">
      <c r="A81" s="188" t="str">
        <f>'SRIM Data'!BS6</f>
        <v>18F in CH2</v>
      </c>
      <c r="B81" s="125"/>
      <c r="C81" s="125"/>
      <c r="D81" s="125"/>
      <c r="E81" s="125"/>
      <c r="F81" s="125"/>
      <c r="G81" s="125"/>
      <c r="I81" s="188" t="str">
        <f>'SRIM Data'!BS142</f>
        <v>18F in Si</v>
      </c>
      <c r="J81" s="125"/>
      <c r="K81" s="125"/>
      <c r="L81" s="125"/>
      <c r="M81" s="125"/>
      <c r="N81" s="125"/>
      <c r="O81" s="125"/>
    </row>
    <row r="82" spans="1:15" ht="28.5" x14ac:dyDescent="0.2">
      <c r="A82" s="125"/>
      <c r="B82" s="163" t="s">
        <v>204</v>
      </c>
      <c r="C82" s="164" t="s">
        <v>205</v>
      </c>
      <c r="D82" s="164" t="s">
        <v>27</v>
      </c>
      <c r="E82" s="164" t="s">
        <v>207</v>
      </c>
      <c r="F82" s="165" t="s">
        <v>206</v>
      </c>
      <c r="G82" s="125"/>
      <c r="I82" s="125"/>
      <c r="J82" s="163" t="s">
        <v>204</v>
      </c>
      <c r="K82" s="164" t="s">
        <v>205</v>
      </c>
      <c r="L82" s="164" t="s">
        <v>27</v>
      </c>
      <c r="M82" s="164" t="s">
        <v>207</v>
      </c>
      <c r="N82" s="165" t="s">
        <v>206</v>
      </c>
      <c r="O82" s="125"/>
    </row>
    <row r="83" spans="1:15" ht="13.5" thickBot="1" x14ac:dyDescent="0.25">
      <c r="A83" s="125"/>
      <c r="B83" s="190">
        <v>99.38</v>
      </c>
      <c r="C83" s="199">
        <v>1.77</v>
      </c>
      <c r="D83" s="199">
        <v>3</v>
      </c>
      <c r="E83" s="200">
        <f>$B$83-$F$83</f>
        <v>1.0748508504647134</v>
      </c>
      <c r="F83" s="201">
        <f>B94</f>
        <v>98.305149149535282</v>
      </c>
      <c r="G83" s="125"/>
      <c r="I83" s="125"/>
      <c r="J83" s="190">
        <v>56.15</v>
      </c>
      <c r="K83" s="199">
        <v>0.8</v>
      </c>
      <c r="L83" s="199">
        <v>0</v>
      </c>
      <c r="M83" s="200">
        <f>$J$83-$N$83</f>
        <v>1.0582010582010568</v>
      </c>
      <c r="N83" s="201">
        <f>J94</f>
        <v>55.091798941798942</v>
      </c>
      <c r="O83" s="125"/>
    </row>
    <row r="84" spans="1:15" x14ac:dyDescent="0.2">
      <c r="A84" s="125"/>
      <c r="B84" s="162">
        <f>MATCH(B83,'SRIM Data'!$CD$9:$CD$140)</f>
        <v>104</v>
      </c>
      <c r="C84" s="162"/>
      <c r="D84" s="162"/>
      <c r="E84" s="125"/>
      <c r="F84" s="125"/>
      <c r="G84" s="125"/>
      <c r="I84" s="125"/>
      <c r="J84" s="162">
        <f>MATCH(J83,'SRIM Data'!$CD$145:$CD$276)</f>
        <v>99</v>
      </c>
      <c r="K84" s="162"/>
      <c r="L84" s="162"/>
      <c r="M84" s="125"/>
      <c r="N84" s="125"/>
      <c r="O84" s="125"/>
    </row>
    <row r="85" spans="1:15" x14ac:dyDescent="0.2">
      <c r="B85" s="143">
        <f>B84+1</f>
        <v>105</v>
      </c>
      <c r="C85" s="143"/>
      <c r="D85" s="143"/>
      <c r="J85" s="143">
        <f>J84+1</f>
        <v>100</v>
      </c>
      <c r="K85" s="143"/>
      <c r="L85" s="143"/>
    </row>
    <row r="86" spans="1:15" x14ac:dyDescent="0.2">
      <c r="B86" s="144">
        <f>INDEX('SRIM Data'!$CD$9:$CD$140,B84)</f>
        <v>90</v>
      </c>
      <c r="C86" s="143">
        <f>INDEX('SRIM Data'!$CE$9:$CE$140,B84)</f>
        <v>98.04</v>
      </c>
      <c r="D86" s="143"/>
      <c r="J86" s="144">
        <f>INDEX('SRIM Data'!$CD$145:$CD$276,J84)</f>
        <v>55</v>
      </c>
      <c r="K86" s="143">
        <f>INDEX('SRIM Data'!$CE$145:$CE$276,J84)</f>
        <v>34.83</v>
      </c>
      <c r="L86" s="143"/>
    </row>
    <row r="87" spans="1:15" x14ac:dyDescent="0.2">
      <c r="B87" s="144">
        <f>INDEX('SRIM Data'!$CD$9:$CD$140,B85)</f>
        <v>100</v>
      </c>
      <c r="C87" s="143">
        <f>INDEX('SRIM Data'!$CE$9:$CE$140,B85)</f>
        <v>114.53</v>
      </c>
      <c r="D87" s="143"/>
      <c r="J87" s="144">
        <f>INDEX('SRIM Data'!$CD$145:$CD$276,J85)</f>
        <v>60</v>
      </c>
      <c r="K87" s="143">
        <f>INDEX('SRIM Data'!$CE$145:$CE$276,J85)</f>
        <v>38.61</v>
      </c>
      <c r="L87" s="143"/>
    </row>
    <row r="88" spans="1:15" x14ac:dyDescent="0.2">
      <c r="B88" s="143">
        <f>(B87-B83)/(B87-B86)</f>
        <v>6.2000000000000458E-2</v>
      </c>
      <c r="C88" s="143">
        <f>C87-B88*(C87-C86)</f>
        <v>113.50761999999999</v>
      </c>
      <c r="D88" s="143"/>
      <c r="J88" s="143">
        <f>(J87-J83)/(J87-J86)</f>
        <v>0.77000000000000024</v>
      </c>
      <c r="K88" s="143">
        <f>K87-J88*(K87-K86)</f>
        <v>35.699399999999997</v>
      </c>
      <c r="L88" s="143"/>
    </row>
    <row r="89" spans="1:15" x14ac:dyDescent="0.2">
      <c r="B89" s="143"/>
      <c r="C89" s="143">
        <f>C88-(C83/COS(RADIANS(D83)))</f>
        <v>111.73519094758367</v>
      </c>
      <c r="D89" s="143"/>
      <c r="J89" s="143"/>
      <c r="K89" s="143">
        <f>K88-(K83/COS(RADIANS(L83)))</f>
        <v>34.8994</v>
      </c>
      <c r="L89" s="143"/>
    </row>
    <row r="90" spans="1:15" x14ac:dyDescent="0.2">
      <c r="B90" s="143"/>
      <c r="C90" s="143">
        <f>MATCH(C89,'SRIM Data'!$CE$9:$CE$140)</f>
        <v>104</v>
      </c>
      <c r="D90" s="143"/>
      <c r="J90" s="143"/>
      <c r="K90" s="143">
        <f>MATCH(K89,'SRIM Data'!$CE$145:$CE$276)</f>
        <v>99</v>
      </c>
      <c r="L90" s="143"/>
    </row>
    <row r="91" spans="1:15" x14ac:dyDescent="0.2">
      <c r="B91" s="143"/>
      <c r="C91" s="143">
        <f>C90+1</f>
        <v>105</v>
      </c>
      <c r="D91" s="143"/>
      <c r="J91" s="143"/>
      <c r="K91" s="143">
        <f>K90+1</f>
        <v>100</v>
      </c>
      <c r="L91" s="143"/>
    </row>
    <row r="92" spans="1:15" x14ac:dyDescent="0.2">
      <c r="B92" s="144">
        <f>INDEX('SRIM Data'!$CD$9:$CD$140,C90)</f>
        <v>90</v>
      </c>
      <c r="C92" s="143">
        <f>INDEX('SRIM Data'!$CE$9:$CE$140,C90)</f>
        <v>98.04</v>
      </c>
      <c r="D92" s="143"/>
      <c r="J92" s="144">
        <f>INDEX('SRIM Data'!$CD$145:$CD$276,K90)</f>
        <v>55</v>
      </c>
      <c r="K92" s="143">
        <f>INDEX('SRIM Data'!$CE$145:$CE$276,K90)</f>
        <v>34.83</v>
      </c>
      <c r="L92" s="143"/>
    </row>
    <row r="93" spans="1:15" x14ac:dyDescent="0.2">
      <c r="B93" s="144">
        <f>INDEX('SRIM Data'!$CD$9:$CD$140,C91)</f>
        <v>100</v>
      </c>
      <c r="C93" s="143">
        <f>INDEX('SRIM Data'!$CE$9:$CE$140,C91)</f>
        <v>114.53</v>
      </c>
      <c r="D93" s="143"/>
      <c r="J93" s="144">
        <f>INDEX('SRIM Data'!$CD$145:$CD$276,K91)</f>
        <v>60</v>
      </c>
      <c r="K93" s="143">
        <f>INDEX('SRIM Data'!$CE$145:$CE$276,K91)</f>
        <v>38.61</v>
      </c>
      <c r="L93" s="143"/>
    </row>
    <row r="94" spans="1:15" x14ac:dyDescent="0.2">
      <c r="B94" s="143">
        <f>B93-C94*(B93-B92)</f>
        <v>98.305149149535282</v>
      </c>
      <c r="C94" s="143">
        <f>(C93-C89)/(C93-C92)</f>
        <v>0.16948508504647222</v>
      </c>
      <c r="D94" s="143"/>
      <c r="J94" s="143">
        <f>J93-K94*(J93-J92)</f>
        <v>55.091798941798942</v>
      </c>
      <c r="K94" s="143">
        <f>(K93-K89)/(K93-K92)</f>
        <v>0.9816402116402112</v>
      </c>
      <c r="L94" s="143"/>
    </row>
    <row r="97" spans="1:15" ht="13.5" thickBot="1" x14ac:dyDescent="0.25">
      <c r="A97" s="188" t="str">
        <f>'SRIM Data'!CG6</f>
        <v>21Ne in CH2</v>
      </c>
      <c r="B97" s="125"/>
      <c r="C97" s="125"/>
      <c r="D97" s="125"/>
      <c r="E97" s="125"/>
      <c r="F97" s="125"/>
      <c r="G97" s="125"/>
      <c r="I97" s="188" t="str">
        <f>'SRIM Data'!CG142</f>
        <v>21Ne in Si</v>
      </c>
      <c r="J97" s="125"/>
      <c r="K97" s="125"/>
      <c r="L97" s="125"/>
      <c r="M97" s="125"/>
      <c r="N97" s="125"/>
      <c r="O97" s="125"/>
    </row>
    <row r="98" spans="1:15" ht="28.5" x14ac:dyDescent="0.2">
      <c r="A98" s="125"/>
      <c r="B98" s="163" t="s">
        <v>204</v>
      </c>
      <c r="C98" s="164" t="s">
        <v>205</v>
      </c>
      <c r="D98" s="164" t="s">
        <v>27</v>
      </c>
      <c r="E98" s="164" t="s">
        <v>207</v>
      </c>
      <c r="F98" s="165" t="s">
        <v>206</v>
      </c>
      <c r="G98" s="125"/>
      <c r="I98" s="125"/>
      <c r="J98" s="163" t="s">
        <v>204</v>
      </c>
      <c r="K98" s="164" t="s">
        <v>205</v>
      </c>
      <c r="L98" s="164" t="s">
        <v>27</v>
      </c>
      <c r="M98" s="164" t="s">
        <v>207</v>
      </c>
      <c r="N98" s="165" t="s">
        <v>206</v>
      </c>
      <c r="O98" s="125"/>
    </row>
    <row r="99" spans="1:15" ht="13.5" thickBot="1" x14ac:dyDescent="0.25">
      <c r="A99" s="125"/>
      <c r="B99" s="190">
        <v>112.5</v>
      </c>
      <c r="C99" s="199">
        <v>1.77</v>
      </c>
      <c r="D99" s="199">
        <v>0</v>
      </c>
      <c r="E99" s="200">
        <f>$B$99-$F$99</f>
        <v>1.2491178546224404</v>
      </c>
      <c r="F99" s="201">
        <f>B110</f>
        <v>111.25088214537756</v>
      </c>
      <c r="G99" s="125"/>
      <c r="I99" s="125"/>
      <c r="J99" s="190">
        <v>20</v>
      </c>
      <c r="K99" s="199">
        <v>0.8</v>
      </c>
      <c r="L99" s="199">
        <v>0</v>
      </c>
      <c r="M99" s="200">
        <f>$J$99-$N$99</f>
        <v>1.6494845360824755</v>
      </c>
      <c r="N99" s="201">
        <f>J110</f>
        <v>18.350515463917525</v>
      </c>
      <c r="O99" s="125"/>
    </row>
    <row r="100" spans="1:15" x14ac:dyDescent="0.2">
      <c r="A100" s="125"/>
      <c r="B100" s="162">
        <f>MATCH(B99,'SRIM Data'!$CR$9:$CR$140)</f>
        <v>106</v>
      </c>
      <c r="C100" s="162"/>
      <c r="D100" s="162"/>
      <c r="E100" s="125"/>
      <c r="F100" s="125"/>
      <c r="G100" s="125"/>
      <c r="I100" s="125"/>
      <c r="J100" s="162">
        <f>MATCH(J99,'SRIM Data'!$CR$145:$CR$276)</f>
        <v>88</v>
      </c>
      <c r="K100" s="162"/>
      <c r="L100" s="162"/>
      <c r="M100" s="125"/>
      <c r="N100" s="125"/>
      <c r="O100" s="125"/>
    </row>
    <row r="101" spans="1:15" x14ac:dyDescent="0.2">
      <c r="B101" s="143">
        <f>B100+1</f>
        <v>107</v>
      </c>
      <c r="C101" s="143"/>
      <c r="D101" s="143"/>
      <c r="J101" s="143">
        <f>J100+1</f>
        <v>89</v>
      </c>
      <c r="K101" s="143"/>
      <c r="L101" s="143"/>
    </row>
    <row r="102" spans="1:15" x14ac:dyDescent="0.2">
      <c r="B102" s="144">
        <f>INDEX('SRIM Data'!$CR$9:$CR$140,B100)</f>
        <v>110</v>
      </c>
      <c r="C102" s="143">
        <f>INDEX('SRIM Data'!$CS$9:$CS$140,B100)</f>
        <v>104.06</v>
      </c>
      <c r="D102" s="143"/>
      <c r="J102" s="144">
        <f>INDEX('SRIM Data'!$CR$145:$CR$276,J100)</f>
        <v>20</v>
      </c>
      <c r="K102" s="143">
        <f>INDEX('SRIM Data'!$CS$145:$CS$276,J100)</f>
        <v>11.14</v>
      </c>
      <c r="L102" s="143"/>
    </row>
    <row r="103" spans="1:15" x14ac:dyDescent="0.2">
      <c r="B103" s="144">
        <f>INDEX('SRIM Data'!$CR$9:$CR$140,B101)</f>
        <v>120</v>
      </c>
      <c r="C103" s="143">
        <f>INDEX('SRIM Data'!$CS$9:$CS$140,B101)</f>
        <v>118.23</v>
      </c>
      <c r="D103" s="143"/>
      <c r="J103" s="144">
        <f>INDEX('SRIM Data'!$CR$145:$CR$276,J101)</f>
        <v>22.5</v>
      </c>
      <c r="K103" s="143">
        <f>INDEX('SRIM Data'!$CS$145:$CS$276,J101)</f>
        <v>12.35</v>
      </c>
      <c r="L103" s="143"/>
    </row>
    <row r="104" spans="1:15" x14ac:dyDescent="0.2">
      <c r="B104" s="143">
        <f>(B103-B99)/(B103-B102)</f>
        <v>0.75</v>
      </c>
      <c r="C104" s="143">
        <f>C103-B104*(C103-C102)</f>
        <v>107.60250000000001</v>
      </c>
      <c r="D104" s="143"/>
      <c r="J104" s="143">
        <f>(J103-J99)/(J103-J102)</f>
        <v>1</v>
      </c>
      <c r="K104" s="143">
        <f>K103-J104*(K103-K102)</f>
        <v>11.14</v>
      </c>
      <c r="L104" s="143"/>
    </row>
    <row r="105" spans="1:15" x14ac:dyDescent="0.2">
      <c r="B105" s="143"/>
      <c r="C105" s="143">
        <f>C104-(C99/COS(RADIANS(D99)))</f>
        <v>105.83250000000001</v>
      </c>
      <c r="D105" s="143"/>
      <c r="J105" s="143"/>
      <c r="K105" s="143">
        <f>K104-(K99/COS(RADIANS(L99)))</f>
        <v>10.34</v>
      </c>
      <c r="L105" s="143"/>
    </row>
    <row r="106" spans="1:15" x14ac:dyDescent="0.2">
      <c r="B106" s="143"/>
      <c r="C106" s="143">
        <f>MATCH(C105,'SRIM Data'!$CS$9:$CS$140)</f>
        <v>106</v>
      </c>
      <c r="D106" s="143"/>
      <c r="J106" s="143"/>
      <c r="K106" s="143">
        <f>MATCH(K105,'SRIM Data'!$CS$145:$CS$276)</f>
        <v>87</v>
      </c>
      <c r="L106" s="143"/>
    </row>
    <row r="107" spans="1:15" x14ac:dyDescent="0.2">
      <c r="B107" s="143"/>
      <c r="C107" s="143">
        <f>C106+1</f>
        <v>107</v>
      </c>
      <c r="D107" s="143"/>
      <c r="J107" s="143"/>
      <c r="K107" s="143">
        <f>K106+1</f>
        <v>88</v>
      </c>
      <c r="L107" s="143"/>
    </row>
    <row r="108" spans="1:15" x14ac:dyDescent="0.2">
      <c r="B108" s="144">
        <f>INDEX('SRIM Data'!$CR$9:$CR$140,C106)</f>
        <v>110</v>
      </c>
      <c r="C108" s="143">
        <f>INDEX('SRIM Data'!$CS$9:$CS$140,C106)</f>
        <v>104.06</v>
      </c>
      <c r="D108" s="143"/>
      <c r="J108" s="144">
        <f>INDEX('SRIM Data'!$CR$145:$CR$276,K106)</f>
        <v>18</v>
      </c>
      <c r="K108" s="143">
        <f>INDEX('SRIM Data'!$CS$145:$CS$276,K106)</f>
        <v>10.17</v>
      </c>
      <c r="L108" s="143"/>
    </row>
    <row r="109" spans="1:15" x14ac:dyDescent="0.2">
      <c r="B109" s="144">
        <f>INDEX('SRIM Data'!$CR$9:$CR$140,C107)</f>
        <v>120</v>
      </c>
      <c r="C109" s="143">
        <f>INDEX('SRIM Data'!$CS$9:$CS$140,C107)</f>
        <v>118.23</v>
      </c>
      <c r="D109" s="143"/>
      <c r="J109" s="144">
        <f>INDEX('SRIM Data'!$CR$145:$CR$276,K107)</f>
        <v>20</v>
      </c>
      <c r="K109" s="143">
        <f>INDEX('SRIM Data'!$CS$145:$CS$276,K107)</f>
        <v>11.14</v>
      </c>
      <c r="L109" s="143"/>
    </row>
    <row r="110" spans="1:15" x14ac:dyDescent="0.2">
      <c r="B110" s="143">
        <f>B109-C110*(B109-B108)</f>
        <v>111.25088214537756</v>
      </c>
      <c r="C110" s="143">
        <f>(C109-C105)/(C109-C108)</f>
        <v>0.87491178546224369</v>
      </c>
      <c r="D110" s="143"/>
      <c r="J110" s="144">
        <f>J109-K110*(J109-J108)</f>
        <v>18.350515463917525</v>
      </c>
      <c r="K110" s="143">
        <f>(K109-K105)/(K109-K108)</f>
        <v>0.82474226804123729</v>
      </c>
      <c r="L110" s="143"/>
    </row>
    <row r="113" spans="1:15" ht="13.5" thickBot="1" x14ac:dyDescent="0.25">
      <c r="A113" s="188" t="str">
        <f>'SRIM Data'!CU6</f>
        <v>37K in CH2</v>
      </c>
      <c r="B113" s="125"/>
      <c r="C113" s="125"/>
      <c r="D113" s="125"/>
      <c r="E113" s="125"/>
      <c r="F113" s="125"/>
      <c r="G113" s="125"/>
      <c r="I113" s="387" t="str">
        <f>'SRIM Data'!CU142</f>
        <v>37K in Si</v>
      </c>
      <c r="J113" s="125"/>
      <c r="K113" s="125"/>
      <c r="L113" s="125"/>
      <c r="M113" s="125"/>
      <c r="N113" s="125"/>
      <c r="O113" s="125"/>
    </row>
    <row r="114" spans="1:15" ht="28.5" x14ac:dyDescent="0.2">
      <c r="A114" s="125"/>
      <c r="B114" s="163" t="s">
        <v>204</v>
      </c>
      <c r="C114" s="164" t="s">
        <v>205</v>
      </c>
      <c r="D114" s="164" t="s">
        <v>27</v>
      </c>
      <c r="E114" s="164" t="s">
        <v>207</v>
      </c>
      <c r="F114" s="165" t="s">
        <v>206</v>
      </c>
      <c r="G114" s="125"/>
      <c r="I114" s="125"/>
      <c r="J114" s="163" t="s">
        <v>204</v>
      </c>
      <c r="K114" s="164" t="s">
        <v>205</v>
      </c>
      <c r="L114" s="164" t="s">
        <v>27</v>
      </c>
      <c r="M114" s="164" t="s">
        <v>207</v>
      </c>
      <c r="N114" s="165" t="s">
        <v>206</v>
      </c>
      <c r="O114" s="125"/>
    </row>
    <row r="115" spans="1:15" ht="13.5" thickBot="1" x14ac:dyDescent="0.25">
      <c r="A115" s="125"/>
      <c r="B115" s="190">
        <v>181</v>
      </c>
      <c r="C115" s="304">
        <f>Target!D10/2*2</f>
        <v>2.0713582932007667E-2</v>
      </c>
      <c r="D115" s="199">
        <v>0</v>
      </c>
      <c r="E115" s="200">
        <f>$B$115-$F$115</f>
        <v>4.2752493151709814E-2</v>
      </c>
      <c r="F115" s="201">
        <f>B126</f>
        <v>180.95724750684829</v>
      </c>
      <c r="G115" s="125"/>
      <c r="I115" s="125"/>
      <c r="J115" s="190">
        <v>155</v>
      </c>
      <c r="K115" s="199">
        <v>35</v>
      </c>
      <c r="L115" s="199">
        <v>0</v>
      </c>
      <c r="M115" s="200">
        <f>$J$115-$N$115</f>
        <v>150.09722222222223</v>
      </c>
      <c r="N115" s="201">
        <f>J126</f>
        <v>4.9027777777777821</v>
      </c>
      <c r="O115" s="125"/>
    </row>
    <row r="116" spans="1:15" x14ac:dyDescent="0.2">
      <c r="A116" s="125"/>
      <c r="B116" s="162">
        <f>MATCH(B115,'SRIM Data'!DF9:DF140)</f>
        <v>113</v>
      </c>
      <c r="C116" s="162"/>
      <c r="D116" s="162"/>
      <c r="E116" s="125"/>
      <c r="F116" s="125"/>
      <c r="G116" s="125"/>
      <c r="I116" s="125"/>
      <c r="J116" s="162">
        <f>MATCH(J115,'SRIM Data'!$DF$145:$DF$276)</f>
        <v>110</v>
      </c>
      <c r="K116" s="162"/>
      <c r="L116" s="162"/>
      <c r="M116" s="125"/>
      <c r="N116" s="125"/>
      <c r="O116" s="125"/>
    </row>
    <row r="117" spans="1:15" x14ac:dyDescent="0.2">
      <c r="B117" s="143">
        <f>B116+1</f>
        <v>114</v>
      </c>
      <c r="C117" s="143"/>
      <c r="D117" s="143"/>
      <c r="E117" s="303">
        <f>E115/38</f>
        <v>1.1250656092555214E-3</v>
      </c>
      <c r="F117" t="s">
        <v>1560</v>
      </c>
      <c r="J117" s="143">
        <f>J116+1</f>
        <v>111</v>
      </c>
      <c r="K117" s="143"/>
      <c r="L117" s="143"/>
    </row>
    <row r="118" spans="1:15" x14ac:dyDescent="0.2">
      <c r="B118" s="144">
        <f>INDEX('SRIM Data'!DF9:DF140,B116)</f>
        <v>180</v>
      </c>
      <c r="C118" s="143">
        <f>INDEX('SRIM Data'!DG9:DG140,B116)</f>
        <v>67.08</v>
      </c>
      <c r="D118" s="143"/>
      <c r="J118" s="144">
        <f>INDEX('SRIM Data'!$DF$145:$DF$276,J116)</f>
        <v>150</v>
      </c>
      <c r="K118" s="143">
        <f>INDEX('SRIM Data'!$DG$145:$DG$276,J116)</f>
        <v>36.51</v>
      </c>
      <c r="L118" s="143"/>
      <c r="M118" s="303"/>
    </row>
    <row r="119" spans="1:15" x14ac:dyDescent="0.2">
      <c r="B119" s="144">
        <f>INDEX('SRIM Data'!DF9:DF140,B117)</f>
        <v>200</v>
      </c>
      <c r="C119" s="143">
        <f>INDEX('SRIM Data'!DG9:DG140,B117)</f>
        <v>76.77</v>
      </c>
      <c r="D119" s="143"/>
      <c r="J119" s="144">
        <f>INDEX('SRIM Data'!$DF$145:$DF$276,J117)</f>
        <v>160</v>
      </c>
      <c r="K119" s="143">
        <f>INDEX('SRIM Data'!$DG$145:$DG$276,J117)</f>
        <v>39.08</v>
      </c>
      <c r="L119" s="143"/>
    </row>
    <row r="120" spans="1:15" x14ac:dyDescent="0.2">
      <c r="B120" s="143">
        <f>(B119-B115)/(B119-B118)</f>
        <v>0.95</v>
      </c>
      <c r="C120" s="143">
        <f>C119-B120*(C119-C118)</f>
        <v>67.564499999999995</v>
      </c>
      <c r="D120" s="143"/>
      <c r="J120" s="144">
        <f>(J119-J115)/(J119-J118)</f>
        <v>0.5</v>
      </c>
      <c r="K120" s="144">
        <f>K119-J120*(K119-K118)</f>
        <v>37.795000000000002</v>
      </c>
      <c r="L120" s="143"/>
    </row>
    <row r="121" spans="1:15" x14ac:dyDescent="0.2">
      <c r="B121" s="143"/>
      <c r="C121" s="143">
        <f>C120-(C115/COS(RADIANS(D115)))</f>
        <v>67.543786417067992</v>
      </c>
      <c r="D121" s="143"/>
      <c r="J121" s="143"/>
      <c r="K121" s="143">
        <f>K120-(K115/COS(RADIANS(L115)))</f>
        <v>2.7950000000000017</v>
      </c>
      <c r="L121" s="143"/>
    </row>
    <row r="122" spans="1:15" x14ac:dyDescent="0.2">
      <c r="B122" s="143"/>
      <c r="C122" s="143">
        <f>MATCH(C121,'SRIM Data'!DG9:DG140)</f>
        <v>113</v>
      </c>
      <c r="D122" s="143"/>
      <c r="J122" s="143"/>
      <c r="K122" s="143">
        <f>MATCH(K121,'SRIM Data'!$DG$145:$DG$276)</f>
        <v>71</v>
      </c>
      <c r="L122" s="143"/>
    </row>
    <row r="123" spans="1:15" x14ac:dyDescent="0.2">
      <c r="B123" s="143"/>
      <c r="C123" s="143">
        <f>C122+1</f>
        <v>114</v>
      </c>
      <c r="D123" s="143"/>
      <c r="J123" s="143"/>
      <c r="K123" s="143">
        <f>K122+1</f>
        <v>72</v>
      </c>
      <c r="L123" s="143"/>
    </row>
    <row r="124" spans="1:15" x14ac:dyDescent="0.2">
      <c r="B124" s="144">
        <f>INDEX('SRIM Data'!DF9:DF140,C122)</f>
        <v>180</v>
      </c>
      <c r="C124" s="143">
        <f>INDEX('SRIM Data'!DG9:DG140,C122)</f>
        <v>67.08</v>
      </c>
      <c r="D124" s="143"/>
      <c r="J124" s="144">
        <f>INDEX('SRIM Data'!$DF$145:$DF$276,K122)</f>
        <v>4.5</v>
      </c>
      <c r="K124" s="143">
        <f>INDEX('SRIM Data'!$DG$145:$DG$276,K122)</f>
        <v>2.65</v>
      </c>
      <c r="L124" s="143"/>
    </row>
    <row r="125" spans="1:15" x14ac:dyDescent="0.2">
      <c r="B125" s="144">
        <f>INDEX('SRIM Data'!DF9:DF140,C123)</f>
        <v>200</v>
      </c>
      <c r="C125" s="143">
        <f>INDEX('SRIM Data'!DG9:DG140,C123)</f>
        <v>76.77</v>
      </c>
      <c r="D125" s="143"/>
      <c r="J125" s="144">
        <f>INDEX('SRIM Data'!$DF$145:$DF$276,K123)</f>
        <v>5</v>
      </c>
      <c r="K125" s="143">
        <f>INDEX('SRIM Data'!$DG$145:$DG$276,K123)</f>
        <v>2.83</v>
      </c>
      <c r="L125" s="143"/>
    </row>
    <row r="126" spans="1:15" x14ac:dyDescent="0.2">
      <c r="B126" s="143">
        <f>B125-C126*(B125-B124)</f>
        <v>180.95724750684829</v>
      </c>
      <c r="C126" s="143">
        <f>(C125-C121)/(C125-C124)</f>
        <v>0.95213762465758578</v>
      </c>
      <c r="D126" s="143"/>
      <c r="J126" s="144">
        <f>J125-K126*(J125-J124)</f>
        <v>4.9027777777777821</v>
      </c>
      <c r="K126" s="143">
        <f>(K125-K121)/(K125-K124)</f>
        <v>0.1944444444444352</v>
      </c>
      <c r="L126" s="143"/>
    </row>
    <row r="129" spans="1:15" ht="13.5" thickBot="1" x14ac:dyDescent="0.25">
      <c r="A129" s="188" t="str">
        <f>'SRIM Data'!DI6</f>
        <v>34Ar in CH2</v>
      </c>
      <c r="B129" s="125"/>
      <c r="C129" s="125"/>
      <c r="D129" s="125"/>
      <c r="E129" s="125"/>
      <c r="F129" s="125"/>
      <c r="G129" s="125"/>
      <c r="I129" s="387" t="str">
        <f>'SRIM Data'!DI142</f>
        <v>34Ar in Si</v>
      </c>
      <c r="J129" s="125"/>
      <c r="K129" s="125"/>
      <c r="L129" s="125"/>
      <c r="M129" s="125"/>
      <c r="N129" s="125"/>
      <c r="O129" s="125"/>
    </row>
    <row r="130" spans="1:15" ht="28.5" x14ac:dyDescent="0.2">
      <c r="A130" s="125"/>
      <c r="B130" s="163" t="s">
        <v>204</v>
      </c>
      <c r="C130" s="164" t="s">
        <v>205</v>
      </c>
      <c r="D130" s="164" t="s">
        <v>27</v>
      </c>
      <c r="E130" s="164" t="s">
        <v>207</v>
      </c>
      <c r="F130" s="165" t="s">
        <v>206</v>
      </c>
      <c r="G130" s="125"/>
      <c r="I130" s="125"/>
      <c r="J130" s="163" t="s">
        <v>204</v>
      </c>
      <c r="K130" s="164" t="s">
        <v>205</v>
      </c>
      <c r="L130" s="164" t="s">
        <v>27</v>
      </c>
      <c r="M130" s="164" t="s">
        <v>207</v>
      </c>
      <c r="N130" s="165" t="s">
        <v>206</v>
      </c>
      <c r="O130" s="125"/>
    </row>
    <row r="131" spans="1:15" ht="13.5" thickBot="1" x14ac:dyDescent="0.25">
      <c r="A131" s="125"/>
      <c r="B131" s="190">
        <v>140</v>
      </c>
      <c r="C131" s="304">
        <f>Target!D10/2</f>
        <v>1.0356791466003833E-2</v>
      </c>
      <c r="D131" s="199">
        <v>0</v>
      </c>
      <c r="E131" s="200">
        <f>$B$131-$F$131</f>
        <v>2.3538162422738651E-2</v>
      </c>
      <c r="F131" s="201">
        <f>B142</f>
        <v>139.97646183757726</v>
      </c>
      <c r="G131" s="125"/>
      <c r="I131" s="125"/>
      <c r="J131" s="190">
        <v>195</v>
      </c>
      <c r="K131" s="199">
        <v>1500</v>
      </c>
      <c r="L131" s="199">
        <v>0</v>
      </c>
      <c r="M131" s="200" t="e">
        <f>$J$131-$N$131</f>
        <v>#N/A</v>
      </c>
      <c r="N131" s="201" t="e">
        <f>J142</f>
        <v>#N/A</v>
      </c>
      <c r="O131" s="125"/>
    </row>
    <row r="132" spans="1:15" x14ac:dyDescent="0.2">
      <c r="A132" s="125"/>
      <c r="B132" s="162">
        <f>MATCH(B131,'SRIM Data'!DT9:DT140)</f>
        <v>109</v>
      </c>
      <c r="C132" s="162"/>
      <c r="D132" s="162"/>
      <c r="E132" s="125"/>
      <c r="F132" s="125"/>
      <c r="G132" s="125"/>
      <c r="I132" s="125"/>
      <c r="J132" s="162">
        <f>MATCH(J131,'SRIM Data'!$DT$145:$DT$276)</f>
        <v>113</v>
      </c>
      <c r="K132" s="162"/>
      <c r="L132" s="162"/>
      <c r="M132" s="125"/>
      <c r="N132" s="125"/>
      <c r="O132" s="125"/>
    </row>
    <row r="133" spans="1:15" x14ac:dyDescent="0.2">
      <c r="B133" s="143">
        <f>B132+1</f>
        <v>110</v>
      </c>
      <c r="C133" s="143"/>
      <c r="D133" s="143"/>
      <c r="E133" s="303">
        <f>E131/38</f>
        <v>6.1942532691417504E-4</v>
      </c>
      <c r="F133" t="s">
        <v>1560</v>
      </c>
      <c r="J133" s="143">
        <f>J132+1</f>
        <v>114</v>
      </c>
      <c r="K133" s="143"/>
      <c r="L133" s="143"/>
    </row>
    <row r="134" spans="1:15" x14ac:dyDescent="0.2">
      <c r="B134" s="144">
        <f>INDEX('SRIM Data'!DT9:DT140,B132)</f>
        <v>140</v>
      </c>
      <c r="C134" s="143">
        <f>INDEX('SRIM Data'!DU9:DU140,B132)</f>
        <v>52.92</v>
      </c>
      <c r="D134" s="143"/>
      <c r="J134" s="144">
        <f>INDEX('SRIM Data'!$DT$145:$DT$276,J132)</f>
        <v>180</v>
      </c>
      <c r="K134" s="143">
        <f>INDEX('SRIM Data'!$DU$145:$DU$276,J132)</f>
        <v>48.29</v>
      </c>
      <c r="L134" s="143"/>
      <c r="M134" s="303"/>
    </row>
    <row r="135" spans="1:15" x14ac:dyDescent="0.2">
      <c r="B135" s="144">
        <f>INDEX('SRIM Data'!DT9:DT140,B133)</f>
        <v>150</v>
      </c>
      <c r="C135" s="143">
        <f>INDEX('SRIM Data'!DU9:DU140,B133)</f>
        <v>57.46</v>
      </c>
      <c r="D135" s="143"/>
      <c r="J135" s="144">
        <f>INDEX('SRIM Data'!$DT$145:$DT$276,J133)</f>
        <v>200</v>
      </c>
      <c r="K135" s="143">
        <f>INDEX('SRIM Data'!$DU$145:$DU$276,J133)</f>
        <v>54.43</v>
      </c>
      <c r="L135" s="143"/>
    </row>
    <row r="136" spans="1:15" x14ac:dyDescent="0.2">
      <c r="B136" s="143">
        <f>(B135-B131)/(B135-B134)</f>
        <v>1</v>
      </c>
      <c r="C136" s="143">
        <f>C135-B136*(C135-C134)</f>
        <v>52.92</v>
      </c>
      <c r="D136" s="143"/>
      <c r="J136" s="144">
        <f>(J135-J131)/(J135-J134)</f>
        <v>0.25</v>
      </c>
      <c r="K136" s="144">
        <f>K135-J136*(K135-K134)</f>
        <v>52.894999999999996</v>
      </c>
      <c r="L136" s="143"/>
    </row>
    <row r="137" spans="1:15" x14ac:dyDescent="0.2">
      <c r="B137" s="143"/>
      <c r="C137" s="143">
        <f>C136-(C131/COS(RADIANS(D131)))</f>
        <v>52.909643208534</v>
      </c>
      <c r="D137" s="143"/>
      <c r="J137" s="143"/>
      <c r="K137" s="143">
        <f>K136-(K131/COS(RADIANS(L131)))</f>
        <v>-1447.105</v>
      </c>
      <c r="L137" s="143"/>
    </row>
    <row r="138" spans="1:15" x14ac:dyDescent="0.2">
      <c r="B138" s="143"/>
      <c r="C138" s="143">
        <f>MATCH(C137,'SRIM Data'!DU9:DU140)</f>
        <v>108</v>
      </c>
      <c r="D138" s="143"/>
      <c r="J138" s="143"/>
      <c r="K138" s="143" t="e">
        <f>MATCH(K137,'SRIM Data'!$DU$145:$DU$276)</f>
        <v>#N/A</v>
      </c>
      <c r="L138" s="143"/>
    </row>
    <row r="139" spans="1:15" x14ac:dyDescent="0.2">
      <c r="B139" s="143"/>
      <c r="C139" s="143">
        <f>C138+1</f>
        <v>109</v>
      </c>
      <c r="D139" s="143"/>
      <c r="J139" s="143"/>
      <c r="K139" s="143" t="e">
        <f>K138+1</f>
        <v>#N/A</v>
      </c>
      <c r="L139" s="143"/>
    </row>
    <row r="140" spans="1:15" x14ac:dyDescent="0.2">
      <c r="B140" s="144">
        <f>INDEX('SRIM Data'!DT9:DT140,C138)</f>
        <v>130</v>
      </c>
      <c r="C140" s="143">
        <f>INDEX('SRIM Data'!DU9:DU140,C138)</f>
        <v>48.52</v>
      </c>
      <c r="D140" s="143"/>
      <c r="J140" s="144" t="e">
        <f>INDEX('SRIM Data'!$DT$145:$DT$276,K138)</f>
        <v>#N/A</v>
      </c>
      <c r="K140" s="143" t="e">
        <f>INDEX('SRIM Data'!$DU$145:$DU$276,K138)</f>
        <v>#N/A</v>
      </c>
      <c r="L140" s="143"/>
    </row>
    <row r="141" spans="1:15" x14ac:dyDescent="0.2">
      <c r="B141" s="144">
        <f>INDEX('SRIM Data'!DT9:DT140,C139)</f>
        <v>140</v>
      </c>
      <c r="C141" s="143">
        <f>INDEX('SRIM Data'!DU9:DU140,C139)</f>
        <v>52.92</v>
      </c>
      <c r="D141" s="143"/>
      <c r="J141" s="144" t="e">
        <f>INDEX('SRIM Data'!$DT$145:$DT$276,K139)</f>
        <v>#N/A</v>
      </c>
      <c r="K141" s="143" t="e">
        <f>INDEX('SRIM Data'!$DU$145:$DU$276,K139)</f>
        <v>#N/A</v>
      </c>
      <c r="L141" s="143"/>
    </row>
    <row r="142" spans="1:15" x14ac:dyDescent="0.2">
      <c r="B142" s="143">
        <f>B141-C142*(B141-B140)</f>
        <v>139.97646183757726</v>
      </c>
      <c r="C142" s="143">
        <f>(C141-C137)/(C141-C140)</f>
        <v>2.3538162422731554E-3</v>
      </c>
      <c r="D142" s="143"/>
      <c r="J142" s="144" t="e">
        <f>J141-K142*(J141-J140)</f>
        <v>#N/A</v>
      </c>
      <c r="K142" s="143" t="e">
        <f>(K141-K137)/(K141-K140)</f>
        <v>#N/A</v>
      </c>
      <c r="L142" s="143"/>
    </row>
    <row r="145" spans="1:7" ht="13.5" thickBot="1" x14ac:dyDescent="0.25">
      <c r="A145" s="415" t="str">
        <f>'SRIM Data'!DW6</f>
        <v>7Be in CH2</v>
      </c>
      <c r="B145" s="415"/>
      <c r="C145" s="415"/>
      <c r="D145" s="415"/>
      <c r="E145" s="415"/>
      <c r="F145" s="415"/>
      <c r="G145" s="415"/>
    </row>
    <row r="146" spans="1:7" ht="26.25" customHeight="1" x14ac:dyDescent="0.2">
      <c r="A146" s="415"/>
      <c r="B146" s="408" t="s">
        <v>1794</v>
      </c>
      <c r="C146" s="409" t="s">
        <v>1795</v>
      </c>
      <c r="D146" s="409" t="s">
        <v>27</v>
      </c>
      <c r="E146" s="409" t="s">
        <v>207</v>
      </c>
      <c r="F146" s="410" t="s">
        <v>206</v>
      </c>
      <c r="G146" s="415"/>
    </row>
    <row r="147" spans="1:7" ht="13.5" thickBot="1" x14ac:dyDescent="0.25">
      <c r="A147" s="415"/>
      <c r="B147" s="411">
        <v>2.4</v>
      </c>
      <c r="C147" s="417">
        <f>Target!D10</f>
        <v>2.0713582932007667E-2</v>
      </c>
      <c r="D147" s="412">
        <v>0</v>
      </c>
      <c r="E147" s="413">
        <f>$B$147-$F$147</f>
        <v>1.2329513650004564E-2</v>
      </c>
      <c r="F147" s="414">
        <f>B158</f>
        <v>2.3876704863499953</v>
      </c>
      <c r="G147" s="415"/>
    </row>
    <row r="148" spans="1:7" x14ac:dyDescent="0.2">
      <c r="A148" s="415"/>
      <c r="B148" s="415">
        <f>MATCH(B147,'SRIM Data'!EH9:EH140)</f>
        <v>63</v>
      </c>
      <c r="C148" s="415"/>
      <c r="D148" s="415"/>
      <c r="E148" s="415"/>
      <c r="F148" s="415"/>
      <c r="G148" s="415"/>
    </row>
    <row r="149" spans="1:7" x14ac:dyDescent="0.2">
      <c r="B149">
        <f>B148+1</f>
        <v>64</v>
      </c>
    </row>
    <row r="150" spans="1:7" x14ac:dyDescent="0.2">
      <c r="B150">
        <f>INDEX('SRIM Data'!EH9:EH140,B148)</f>
        <v>2.25</v>
      </c>
      <c r="C150">
        <f>INDEX('SRIM Data'!EI9:EI140,B148)</f>
        <v>5.4</v>
      </c>
    </row>
    <row r="151" spans="1:7" x14ac:dyDescent="0.2">
      <c r="B151">
        <f>INDEX('SRIM Data'!EH9:EH140,B149)</f>
        <v>2.5</v>
      </c>
      <c r="C151">
        <f>INDEX('SRIM Data'!EI9:EI140,B149)</f>
        <v>5.82</v>
      </c>
    </row>
    <row r="152" spans="1:7" x14ac:dyDescent="0.2">
      <c r="B152">
        <f>(B151-B147)/(B151-B150)</f>
        <v>0.40000000000000036</v>
      </c>
      <c r="C152">
        <f>C151-B152*(C151-C150)</f>
        <v>5.6520000000000001</v>
      </c>
    </row>
    <row r="153" spans="1:7" x14ac:dyDescent="0.2">
      <c r="C153">
        <f>C152-(C147/COS(RADIANS(D147)))</f>
        <v>5.6312864170679928</v>
      </c>
    </row>
    <row r="154" spans="1:7" x14ac:dyDescent="0.2">
      <c r="C154">
        <f>MATCH(C153,'SRIM Data'!EI9:EI140)</f>
        <v>63</v>
      </c>
    </row>
    <row r="155" spans="1:7" x14ac:dyDescent="0.2">
      <c r="C155">
        <f>C154+1</f>
        <v>64</v>
      </c>
    </row>
    <row r="156" spans="1:7" x14ac:dyDescent="0.2">
      <c r="B156">
        <f>INDEX('SRIM Data'!EH9:EH140,C154)</f>
        <v>2.25</v>
      </c>
      <c r="C156">
        <f>INDEX('SRIM Data'!EI9:EI140,C154)</f>
        <v>5.4</v>
      </c>
    </row>
    <row r="157" spans="1:7" x14ac:dyDescent="0.2">
      <c r="B157">
        <f>INDEX('SRIM Data'!EH9:EH140,C155)</f>
        <v>2.5</v>
      </c>
      <c r="C157">
        <f>INDEX('SRIM Data'!EI9:EI140,C155)</f>
        <v>5.82</v>
      </c>
    </row>
    <row r="158" spans="1:7" x14ac:dyDescent="0.2">
      <c r="B158">
        <f>B157-C158*(B157-B156)</f>
        <v>2.3876704863499953</v>
      </c>
      <c r="C158">
        <f>(C157-C153)/(C157-C156)</f>
        <v>0.44931805460001784</v>
      </c>
    </row>
  </sheetData>
  <phoneticPr fontId="6" type="noConversion"/>
  <pageMargins left="0.75" right="0.75" top="1" bottom="1" header="0.5" footer="0.5"/>
  <pageSetup paperSize="9" orientation="portrait" horizontalDpi="4294967293" verticalDpi="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I276"/>
  <sheetViews>
    <sheetView topLeftCell="DR125" zoomScale="70" workbookViewId="0">
      <selection activeCell="EI131" sqref="EI131"/>
    </sheetView>
  </sheetViews>
  <sheetFormatPr defaultColWidth="8.85546875" defaultRowHeight="12.75" x14ac:dyDescent="0.2"/>
  <cols>
    <col min="1" max="1" width="11.42578125" customWidth="1"/>
    <col min="2" max="2" width="4.140625" customWidth="1"/>
    <col min="3" max="3" width="10.85546875" customWidth="1"/>
    <col min="4" max="4" width="11.42578125" customWidth="1"/>
    <col min="6" max="6" width="3.42578125" bestFit="1" customWidth="1"/>
    <col min="7" max="7" width="10.85546875" bestFit="1" customWidth="1"/>
    <col min="8" max="8" width="3.42578125" bestFit="1" customWidth="1"/>
    <col min="9" max="9" width="9.28515625" bestFit="1" customWidth="1"/>
    <col min="10" max="10" width="3.28515625" bestFit="1" customWidth="1"/>
    <col min="11" max="11" width="3.42578125" customWidth="1"/>
    <col min="12" max="12" width="11" customWidth="1"/>
    <col min="13" max="13" width="11.42578125" customWidth="1"/>
    <col min="14" max="14" width="5.42578125" style="125" customWidth="1"/>
    <col min="15" max="15" width="11.85546875" bestFit="1" customWidth="1"/>
    <col min="16" max="16" width="4.85546875" bestFit="1" customWidth="1"/>
    <col min="17" max="18" width="10.7109375" bestFit="1" customWidth="1"/>
    <col min="20" max="20" width="4.140625" bestFit="1" customWidth="1"/>
    <col min="21" max="21" width="10.85546875" bestFit="1" customWidth="1"/>
    <col min="22" max="22" width="3.42578125" bestFit="1" customWidth="1"/>
    <col min="23" max="23" width="9.28515625" bestFit="1" customWidth="1"/>
    <col min="24" max="24" width="3.42578125" bestFit="1" customWidth="1"/>
    <col min="25" max="25" width="5.140625" customWidth="1"/>
    <col min="26" max="26" width="9.85546875" bestFit="1" customWidth="1"/>
    <col min="27" max="27" width="10.42578125" bestFit="1" customWidth="1"/>
    <col min="28" max="28" width="5.42578125" style="125" customWidth="1"/>
    <col min="29" max="29" width="10.85546875" bestFit="1" customWidth="1"/>
    <col min="30" max="30" width="4.85546875" bestFit="1" customWidth="1"/>
    <col min="31" max="32" width="10.42578125" customWidth="1"/>
    <col min="34" max="34" width="4.140625" bestFit="1" customWidth="1"/>
    <col min="35" max="35" width="11.140625" customWidth="1"/>
    <col min="36" max="36" width="3.42578125" bestFit="1" customWidth="1"/>
    <col min="37" max="37" width="9.28515625" bestFit="1" customWidth="1"/>
    <col min="38" max="38" width="3.42578125" bestFit="1" customWidth="1"/>
    <col min="39" max="39" width="4.140625" customWidth="1"/>
    <col min="40" max="40" width="9.85546875" bestFit="1" customWidth="1"/>
    <col min="41" max="41" width="10.42578125" customWidth="1"/>
    <col min="42" max="42" width="5.28515625" style="125" customWidth="1"/>
    <col min="43" max="43" width="9.85546875" bestFit="1" customWidth="1"/>
    <col min="44" max="44" width="4.85546875" bestFit="1" customWidth="1"/>
    <col min="45" max="45" width="11.140625" customWidth="1"/>
    <col min="46" max="46" width="10.7109375" customWidth="1"/>
    <col min="48" max="48" width="4.140625" bestFit="1" customWidth="1"/>
    <col min="49" max="49" width="11.28515625" customWidth="1"/>
    <col min="50" max="50" width="4.140625" bestFit="1" customWidth="1"/>
    <col min="51" max="51" width="9.28515625" bestFit="1" customWidth="1"/>
    <col min="52" max="52" width="4.140625" bestFit="1" customWidth="1"/>
    <col min="53" max="53" width="4.28515625" customWidth="1"/>
    <col min="54" max="54" width="9.85546875" bestFit="1" customWidth="1"/>
    <col min="55" max="55" width="10.42578125" customWidth="1"/>
    <col min="56" max="56" width="5.140625" style="125" customWidth="1"/>
    <col min="57" max="57" width="11.7109375" customWidth="1"/>
    <col min="58" max="58" width="4.85546875" bestFit="1" customWidth="1"/>
    <col min="59" max="59" width="11" customWidth="1"/>
    <col min="60" max="60" width="11.140625" customWidth="1"/>
    <col min="62" max="62" width="4.140625" bestFit="1" customWidth="1"/>
    <col min="63" max="63" width="10.85546875" customWidth="1"/>
    <col min="64" max="64" width="3.42578125" bestFit="1" customWidth="1"/>
    <col min="66" max="66" width="3.42578125" bestFit="1" customWidth="1"/>
    <col min="67" max="67" width="4.7109375" customWidth="1"/>
    <col min="68" max="69" width="11.28515625" customWidth="1"/>
    <col min="70" max="70" width="5.140625" style="125" customWidth="1"/>
    <col min="71" max="71" width="11.140625" customWidth="1"/>
    <col min="72" max="72" width="4.85546875" bestFit="1" customWidth="1"/>
    <col min="73" max="73" width="10.85546875" customWidth="1"/>
    <col min="74" max="74" width="11" customWidth="1"/>
    <col min="76" max="76" width="4.140625" bestFit="1" customWidth="1"/>
    <col min="77" max="77" width="10.7109375" customWidth="1"/>
    <col min="78" max="78" width="3.42578125" bestFit="1" customWidth="1"/>
    <col min="79" max="79" width="9.42578125" customWidth="1"/>
    <col min="80" max="80" width="3.42578125" bestFit="1" customWidth="1"/>
    <col min="81" max="81" width="4.42578125" customWidth="1"/>
    <col min="82" max="82" width="10.140625" customWidth="1"/>
    <col min="83" max="83" width="10.7109375" customWidth="1"/>
    <col min="84" max="84" width="4.85546875" style="125" customWidth="1"/>
    <col min="85" max="85" width="10.28515625" customWidth="1"/>
    <col min="86" max="86" width="5.140625" customWidth="1"/>
    <col min="87" max="87" width="10.7109375" customWidth="1"/>
    <col min="88" max="88" width="11.140625" customWidth="1"/>
    <col min="90" max="90" width="3.42578125" customWidth="1"/>
    <col min="91" max="91" width="11.140625" customWidth="1"/>
    <col min="92" max="92" width="3.42578125" customWidth="1"/>
    <col min="94" max="94" width="3.85546875" customWidth="1"/>
    <col min="95" max="95" width="4.42578125" customWidth="1"/>
    <col min="96" max="96" width="10.28515625" customWidth="1"/>
    <col min="97" max="97" width="10.42578125" customWidth="1"/>
    <col min="98" max="98" width="4.85546875" style="125" customWidth="1"/>
    <col min="126" max="126" width="8.85546875" customWidth="1"/>
    <col min="127" max="127" width="10" bestFit="1" customWidth="1"/>
    <col min="128" max="128" width="7.42578125" bestFit="1" customWidth="1"/>
    <col min="129" max="129" width="9" bestFit="1" customWidth="1"/>
    <col min="130" max="130" width="9.7109375" customWidth="1"/>
    <col min="131" max="131" width="11.5703125" bestFit="1" customWidth="1"/>
    <col min="132" max="132" width="9.7109375" customWidth="1"/>
    <col min="133" max="133" width="7.42578125" customWidth="1"/>
    <col min="134" max="134" width="7.140625" customWidth="1"/>
    <col min="135" max="135" width="7.42578125" customWidth="1"/>
    <col min="136" max="136" width="4" customWidth="1"/>
  </cols>
  <sheetData>
    <row r="1" spans="1:139" x14ac:dyDescent="0.2">
      <c r="A1" s="1" t="s">
        <v>208</v>
      </c>
    </row>
    <row r="2" spans="1:139" x14ac:dyDescent="0.2">
      <c r="A2" s="1"/>
    </row>
    <row r="3" spans="1:139" x14ac:dyDescent="0.2">
      <c r="A3" s="146" t="s">
        <v>1618</v>
      </c>
      <c r="I3" s="146" t="s">
        <v>1622</v>
      </c>
    </row>
    <row r="4" spans="1:139" x14ac:dyDescent="0.2">
      <c r="A4" t="s">
        <v>1624</v>
      </c>
    </row>
    <row r="6" spans="1:139" x14ac:dyDescent="0.2">
      <c r="A6" s="207" t="s">
        <v>331</v>
      </c>
      <c r="O6" s="207" t="s">
        <v>1669</v>
      </c>
      <c r="AC6" s="207" t="s">
        <v>1662</v>
      </c>
      <c r="AQ6" s="207" t="s">
        <v>1663</v>
      </c>
      <c r="BE6" s="207" t="s">
        <v>30</v>
      </c>
      <c r="BS6" s="207" t="s">
        <v>167</v>
      </c>
      <c r="CG6" s="207" t="s">
        <v>173</v>
      </c>
      <c r="CU6" s="207" t="s">
        <v>7</v>
      </c>
      <c r="DI6" s="207" t="s">
        <v>1558</v>
      </c>
      <c r="DW6" s="1" t="s">
        <v>1793</v>
      </c>
    </row>
    <row r="7" spans="1:139" ht="51" x14ac:dyDescent="0.2">
      <c r="A7" s="148" t="s">
        <v>1619</v>
      </c>
      <c r="B7" s="148"/>
      <c r="C7" s="149" t="s">
        <v>125</v>
      </c>
      <c r="D7" s="149" t="s">
        <v>126</v>
      </c>
      <c r="E7" s="149" t="s">
        <v>1616</v>
      </c>
      <c r="F7" s="149"/>
      <c r="G7" s="149" t="s">
        <v>1620</v>
      </c>
      <c r="H7" s="149"/>
      <c r="I7" s="149" t="s">
        <v>1621</v>
      </c>
      <c r="J7" s="149"/>
      <c r="L7" s="147" t="s">
        <v>1676</v>
      </c>
      <c r="M7" s="158" t="s">
        <v>1617</v>
      </c>
      <c r="N7" s="274"/>
      <c r="O7" s="148" t="s">
        <v>1619</v>
      </c>
      <c r="P7" s="148"/>
      <c r="Q7" s="149" t="s">
        <v>125</v>
      </c>
      <c r="R7" s="149" t="s">
        <v>126</v>
      </c>
      <c r="S7" s="149" t="s">
        <v>1616</v>
      </c>
      <c r="T7" s="149"/>
      <c r="U7" s="149" t="s">
        <v>1620</v>
      </c>
      <c r="V7" s="149"/>
      <c r="W7" s="149" t="s">
        <v>1621</v>
      </c>
      <c r="X7" s="149"/>
      <c r="Z7" s="147" t="s">
        <v>1676</v>
      </c>
      <c r="AA7" s="158" t="s">
        <v>1617</v>
      </c>
      <c r="AB7" s="274"/>
      <c r="AC7" s="148" t="s">
        <v>1619</v>
      </c>
      <c r="AD7" s="148"/>
      <c r="AE7" s="149" t="s">
        <v>125</v>
      </c>
      <c r="AF7" s="149" t="s">
        <v>126</v>
      </c>
      <c r="AG7" s="149" t="s">
        <v>1616</v>
      </c>
      <c r="AH7" s="149"/>
      <c r="AI7" s="149" t="s">
        <v>1620</v>
      </c>
      <c r="AJ7" s="149"/>
      <c r="AK7" s="149" t="s">
        <v>1621</v>
      </c>
      <c r="AL7" s="149"/>
      <c r="AN7" s="147" t="s">
        <v>1676</v>
      </c>
      <c r="AO7" s="158" t="s">
        <v>1617</v>
      </c>
      <c r="AP7" s="274"/>
      <c r="AQ7" s="148" t="s">
        <v>1619</v>
      </c>
      <c r="AR7" s="148"/>
      <c r="AS7" s="149" t="s">
        <v>125</v>
      </c>
      <c r="AT7" s="149" t="s">
        <v>126</v>
      </c>
      <c r="AU7" s="149" t="s">
        <v>1616</v>
      </c>
      <c r="AV7" s="149"/>
      <c r="AW7" s="149" t="s">
        <v>1620</v>
      </c>
      <c r="AX7" s="149"/>
      <c r="AY7" s="149" t="s">
        <v>1621</v>
      </c>
      <c r="AZ7" s="149"/>
      <c r="BB7" s="147" t="s">
        <v>1676</v>
      </c>
      <c r="BC7" s="158" t="s">
        <v>1617</v>
      </c>
      <c r="BE7" s="148" t="s">
        <v>1619</v>
      </c>
      <c r="BF7" s="148"/>
      <c r="BG7" s="149" t="s">
        <v>125</v>
      </c>
      <c r="BH7" s="149" t="s">
        <v>126</v>
      </c>
      <c r="BI7" s="149" t="s">
        <v>1616</v>
      </c>
      <c r="BJ7" s="149"/>
      <c r="BK7" s="149" t="s">
        <v>1620</v>
      </c>
      <c r="BL7" s="149"/>
      <c r="BM7" s="149" t="s">
        <v>1621</v>
      </c>
      <c r="BN7" s="149"/>
      <c r="BP7" s="147" t="s">
        <v>1676</v>
      </c>
      <c r="BQ7" s="158" t="s">
        <v>1617</v>
      </c>
      <c r="BS7" s="148" t="s">
        <v>1619</v>
      </c>
      <c r="BT7" s="148"/>
      <c r="BU7" s="149" t="s">
        <v>125</v>
      </c>
      <c r="BV7" s="149" t="s">
        <v>126</v>
      </c>
      <c r="BW7" s="149" t="s">
        <v>1616</v>
      </c>
      <c r="BX7" s="149"/>
      <c r="BY7" s="149" t="s">
        <v>1620</v>
      </c>
      <c r="BZ7" s="149"/>
      <c r="CA7" s="149" t="s">
        <v>1621</v>
      </c>
      <c r="CB7" s="149"/>
      <c r="CD7" s="147" t="s">
        <v>1676</v>
      </c>
      <c r="CE7" s="158" t="s">
        <v>1617</v>
      </c>
      <c r="CG7" s="148" t="s">
        <v>1619</v>
      </c>
      <c r="CH7" s="148"/>
      <c r="CI7" s="149" t="s">
        <v>125</v>
      </c>
      <c r="CJ7" s="149" t="s">
        <v>126</v>
      </c>
      <c r="CK7" s="149" t="s">
        <v>1616</v>
      </c>
      <c r="CL7" s="149"/>
      <c r="CM7" s="149" t="s">
        <v>1620</v>
      </c>
      <c r="CN7" s="149"/>
      <c r="CO7" s="149" t="s">
        <v>1621</v>
      </c>
      <c r="CP7" s="149"/>
      <c r="CR7" s="147" t="s">
        <v>1676</v>
      </c>
      <c r="CS7" s="158" t="s">
        <v>1617</v>
      </c>
      <c r="CU7" s="148" t="s">
        <v>1619</v>
      </c>
      <c r="CV7" s="148"/>
      <c r="CW7" s="149" t="s">
        <v>125</v>
      </c>
      <c r="CX7" s="149" t="s">
        <v>126</v>
      </c>
      <c r="CY7" s="149" t="s">
        <v>1616</v>
      </c>
      <c r="CZ7" s="149"/>
      <c r="DA7" s="149" t="s">
        <v>1620</v>
      </c>
      <c r="DB7" s="149"/>
      <c r="DC7" s="149" t="s">
        <v>1621</v>
      </c>
      <c r="DD7" s="149"/>
      <c r="DF7" s="147" t="s">
        <v>1676</v>
      </c>
      <c r="DG7" s="158" t="s">
        <v>1617</v>
      </c>
      <c r="DI7" s="148" t="s">
        <v>1619</v>
      </c>
      <c r="DJ7" s="148"/>
      <c r="DK7" s="149" t="s">
        <v>125</v>
      </c>
      <c r="DL7" s="149" t="s">
        <v>126</v>
      </c>
      <c r="DM7" s="149" t="s">
        <v>1616</v>
      </c>
      <c r="DN7" s="149"/>
      <c r="DO7" s="149" t="s">
        <v>1620</v>
      </c>
      <c r="DP7" s="149"/>
      <c r="DQ7" s="149" t="s">
        <v>1621</v>
      </c>
      <c r="DR7" s="149"/>
      <c r="DT7" s="147" t="s">
        <v>1676</v>
      </c>
      <c r="DU7" s="158" t="s">
        <v>1617</v>
      </c>
      <c r="DV7" s="394"/>
      <c r="DW7" s="148" t="s">
        <v>1619</v>
      </c>
      <c r="DX7" s="407" t="s">
        <v>1792</v>
      </c>
      <c r="DY7" s="148" t="s">
        <v>1785</v>
      </c>
      <c r="DZ7" s="148" t="s">
        <v>1786</v>
      </c>
      <c r="EA7" s="148" t="s">
        <v>1616</v>
      </c>
      <c r="EB7" s="148"/>
      <c r="EC7" s="148" t="s">
        <v>1620</v>
      </c>
      <c r="ED7" s="395"/>
      <c r="EE7" s="148" t="s">
        <v>1621</v>
      </c>
      <c r="EF7" s="395"/>
      <c r="EH7" s="147" t="s">
        <v>1676</v>
      </c>
      <c r="EI7" s="158" t="s">
        <v>1617</v>
      </c>
    </row>
    <row r="8" spans="1:139" x14ac:dyDescent="0.2">
      <c r="A8" s="145" t="s">
        <v>1673</v>
      </c>
      <c r="B8" s="145" t="s">
        <v>1674</v>
      </c>
      <c r="C8" s="145" t="s">
        <v>1673</v>
      </c>
      <c r="D8" s="145" t="s">
        <v>1673</v>
      </c>
      <c r="E8" s="145" t="s">
        <v>1673</v>
      </c>
      <c r="F8" s="145" t="s">
        <v>1674</v>
      </c>
      <c r="G8" s="145" t="s">
        <v>1673</v>
      </c>
      <c r="H8" s="145" t="s">
        <v>1674</v>
      </c>
      <c r="I8" s="145" t="s">
        <v>1673</v>
      </c>
      <c r="J8" s="145" t="s">
        <v>1674</v>
      </c>
      <c r="L8" s="145" t="s">
        <v>1673</v>
      </c>
      <c r="M8" s="154" t="s">
        <v>1673</v>
      </c>
      <c r="N8" s="275"/>
      <c r="O8" s="145" t="s">
        <v>1673</v>
      </c>
      <c r="P8" s="145" t="s">
        <v>1674</v>
      </c>
      <c r="Q8" s="145" t="s">
        <v>1673</v>
      </c>
      <c r="R8" s="145" t="s">
        <v>1673</v>
      </c>
      <c r="S8" s="145" t="s">
        <v>1673</v>
      </c>
      <c r="T8" s="145" t="s">
        <v>1674</v>
      </c>
      <c r="U8" s="145" t="s">
        <v>1673</v>
      </c>
      <c r="V8" s="145" t="s">
        <v>1674</v>
      </c>
      <c r="W8" s="145" t="s">
        <v>1673</v>
      </c>
      <c r="X8" s="145" t="s">
        <v>1674</v>
      </c>
      <c r="Z8" s="145" t="s">
        <v>1673</v>
      </c>
      <c r="AA8" s="154" t="s">
        <v>1673</v>
      </c>
      <c r="AB8" s="275"/>
      <c r="AC8" s="145" t="s">
        <v>1673</v>
      </c>
      <c r="AD8" s="145" t="s">
        <v>1674</v>
      </c>
      <c r="AE8" s="145" t="s">
        <v>1673</v>
      </c>
      <c r="AF8" s="145" t="s">
        <v>1673</v>
      </c>
      <c r="AG8" s="145" t="s">
        <v>1673</v>
      </c>
      <c r="AH8" s="145" t="s">
        <v>1674</v>
      </c>
      <c r="AI8" s="145" t="s">
        <v>1673</v>
      </c>
      <c r="AJ8" s="145" t="s">
        <v>1674</v>
      </c>
      <c r="AK8" s="145" t="s">
        <v>1673</v>
      </c>
      <c r="AL8" s="145" t="s">
        <v>1674</v>
      </c>
      <c r="AN8" s="145" t="s">
        <v>1673</v>
      </c>
      <c r="AO8" s="154" t="s">
        <v>1673</v>
      </c>
      <c r="AP8" s="275"/>
      <c r="AQ8" s="145" t="s">
        <v>1673</v>
      </c>
      <c r="AR8" s="145" t="s">
        <v>1674</v>
      </c>
      <c r="AS8" s="145" t="s">
        <v>1673</v>
      </c>
      <c r="AT8" s="145" t="s">
        <v>1673</v>
      </c>
      <c r="AU8" s="145" t="s">
        <v>1673</v>
      </c>
      <c r="AV8" s="145" t="s">
        <v>1674</v>
      </c>
      <c r="AW8" s="145" t="s">
        <v>1673</v>
      </c>
      <c r="AX8" s="145" t="s">
        <v>1674</v>
      </c>
      <c r="AY8" s="145" t="s">
        <v>1673</v>
      </c>
      <c r="AZ8" s="145" t="s">
        <v>1674</v>
      </c>
      <c r="BB8" s="145" t="s">
        <v>1673</v>
      </c>
      <c r="BC8" s="154" t="s">
        <v>1673</v>
      </c>
      <c r="BE8" s="145" t="s">
        <v>1673</v>
      </c>
      <c r="BF8" s="145" t="s">
        <v>1674</v>
      </c>
      <c r="BG8" s="145" t="s">
        <v>1673</v>
      </c>
      <c r="BH8" s="145" t="s">
        <v>1673</v>
      </c>
      <c r="BI8" s="145" t="s">
        <v>1673</v>
      </c>
      <c r="BJ8" s="145" t="s">
        <v>1674</v>
      </c>
      <c r="BK8" s="145" t="s">
        <v>1673</v>
      </c>
      <c r="BL8" s="145" t="s">
        <v>1674</v>
      </c>
      <c r="BM8" s="145" t="s">
        <v>1673</v>
      </c>
      <c r="BN8" s="145" t="s">
        <v>1674</v>
      </c>
      <c r="BP8" s="145" t="s">
        <v>1673</v>
      </c>
      <c r="BQ8" s="154" t="s">
        <v>1673</v>
      </c>
      <c r="BS8" s="145" t="s">
        <v>1673</v>
      </c>
      <c r="BT8" s="145" t="s">
        <v>1674</v>
      </c>
      <c r="BU8" s="145" t="s">
        <v>1673</v>
      </c>
      <c r="BV8" s="145" t="s">
        <v>1673</v>
      </c>
      <c r="BW8" s="145" t="s">
        <v>1673</v>
      </c>
      <c r="BX8" s="145" t="s">
        <v>1674</v>
      </c>
      <c r="BY8" s="145" t="s">
        <v>1673</v>
      </c>
      <c r="BZ8" s="145" t="s">
        <v>1674</v>
      </c>
      <c r="CA8" s="145" t="s">
        <v>1673</v>
      </c>
      <c r="CB8" s="145" t="s">
        <v>1674</v>
      </c>
      <c r="CD8" s="145" t="s">
        <v>1673</v>
      </c>
      <c r="CE8" s="154" t="s">
        <v>1673</v>
      </c>
      <c r="CG8" s="145" t="s">
        <v>1673</v>
      </c>
      <c r="CH8" s="145" t="s">
        <v>1674</v>
      </c>
      <c r="CI8" s="145" t="s">
        <v>1673</v>
      </c>
      <c r="CJ8" s="145" t="s">
        <v>1673</v>
      </c>
      <c r="CK8" s="145" t="s">
        <v>1673</v>
      </c>
      <c r="CL8" s="145" t="s">
        <v>1674</v>
      </c>
      <c r="CM8" s="145" t="s">
        <v>1673</v>
      </c>
      <c r="CN8" s="145" t="s">
        <v>1674</v>
      </c>
      <c r="CO8" s="145" t="s">
        <v>1673</v>
      </c>
      <c r="CP8" s="145" t="s">
        <v>1674</v>
      </c>
      <c r="CR8" s="145" t="s">
        <v>1673</v>
      </c>
      <c r="CS8" s="154" t="s">
        <v>1673</v>
      </c>
      <c r="CU8" s="145" t="s">
        <v>1673</v>
      </c>
      <c r="CV8" s="145" t="s">
        <v>1674</v>
      </c>
      <c r="CW8" s="145" t="s">
        <v>1673</v>
      </c>
      <c r="CX8" s="145" t="s">
        <v>1673</v>
      </c>
      <c r="CY8" s="145" t="s">
        <v>1673</v>
      </c>
      <c r="CZ8" s="145" t="s">
        <v>1674</v>
      </c>
      <c r="DA8" s="145" t="s">
        <v>1673</v>
      </c>
      <c r="DB8" s="145" t="s">
        <v>1674</v>
      </c>
      <c r="DC8" s="145" t="s">
        <v>1673</v>
      </c>
      <c r="DD8" s="145" t="s">
        <v>1674</v>
      </c>
      <c r="DF8" s="145" t="s">
        <v>1673</v>
      </c>
      <c r="DG8" s="154" t="s">
        <v>1673</v>
      </c>
      <c r="DI8" s="145" t="s">
        <v>1673</v>
      </c>
      <c r="DJ8" s="145" t="s">
        <v>1674</v>
      </c>
      <c r="DK8" s="145" t="s">
        <v>1673</v>
      </c>
      <c r="DL8" s="145" t="s">
        <v>1673</v>
      </c>
      <c r="DM8" s="145" t="s">
        <v>1673</v>
      </c>
      <c r="DN8" s="145" t="s">
        <v>1674</v>
      </c>
      <c r="DO8" s="145" t="s">
        <v>1673</v>
      </c>
      <c r="DP8" s="145" t="s">
        <v>1674</v>
      </c>
      <c r="DQ8" s="145" t="s">
        <v>1673</v>
      </c>
      <c r="DR8" s="145" t="s">
        <v>1674</v>
      </c>
      <c r="DT8" s="145" t="s">
        <v>1673</v>
      </c>
      <c r="DU8" s="154" t="s">
        <v>1673</v>
      </c>
      <c r="DW8" s="396" t="s">
        <v>1787</v>
      </c>
      <c r="DX8" s="396" t="s">
        <v>1788</v>
      </c>
      <c r="DY8" s="396" t="s">
        <v>1788</v>
      </c>
      <c r="DZ8" s="396" t="s">
        <v>1788</v>
      </c>
      <c r="EA8" s="396" t="s">
        <v>1788</v>
      </c>
      <c r="EB8" s="396" t="s">
        <v>1788</v>
      </c>
      <c r="EC8" s="397" t="s">
        <v>1789</v>
      </c>
      <c r="ED8" s="397" t="s">
        <v>1790</v>
      </c>
      <c r="EE8" s="397" t="s">
        <v>1791</v>
      </c>
      <c r="EF8" s="396"/>
      <c r="EH8" s="145" t="s">
        <v>1673</v>
      </c>
      <c r="EI8" s="154" t="s">
        <v>1673</v>
      </c>
    </row>
    <row r="9" spans="1:139" x14ac:dyDescent="0.2">
      <c r="A9" s="150">
        <v>10</v>
      </c>
      <c r="B9" s="151" t="s">
        <v>162</v>
      </c>
      <c r="C9" s="152">
        <v>65.55</v>
      </c>
      <c r="D9" s="152">
        <v>240.6</v>
      </c>
      <c r="E9" s="151">
        <v>325</v>
      </c>
      <c r="F9" s="151" t="s">
        <v>1718</v>
      </c>
      <c r="G9" s="151">
        <v>94</v>
      </c>
      <c r="H9" s="151" t="s">
        <v>1718</v>
      </c>
      <c r="I9" s="151">
        <v>71</v>
      </c>
      <c r="J9" s="151" t="s">
        <v>1718</v>
      </c>
      <c r="L9" s="155">
        <f>IF((B9="GeV"),A9*1000,IF((B9="keV"),A9*0.001,A9))</f>
        <v>0.01</v>
      </c>
      <c r="M9" s="156">
        <f>IF((F9="m"),E9*1000000,IF((F9="mm"),E9*1000,IF((F9="A"),E9*0.0001,E9)))</f>
        <v>3.2500000000000001E-2</v>
      </c>
      <c r="N9" s="275"/>
      <c r="O9" s="150">
        <v>10</v>
      </c>
      <c r="P9" s="151" t="s">
        <v>162</v>
      </c>
      <c r="Q9" s="152">
        <v>71.63</v>
      </c>
      <c r="R9" s="152">
        <v>208</v>
      </c>
      <c r="S9" s="151">
        <v>345</v>
      </c>
      <c r="T9" s="151" t="s">
        <v>1718</v>
      </c>
      <c r="U9" s="151">
        <v>103</v>
      </c>
      <c r="V9" s="151" t="s">
        <v>1718</v>
      </c>
      <c r="W9" s="151">
        <v>77</v>
      </c>
      <c r="X9" s="151" t="s">
        <v>1718</v>
      </c>
      <c r="Z9" s="155">
        <f>IF((P9="GeV"),O9*1000,IF((P9="keV"),O9*0.001,O9))</f>
        <v>0.01</v>
      </c>
      <c r="AA9" s="156">
        <f>IF((T9="m"),S9*1000000,IF((T9="mm"),S9*1000,IF((T9="A"),S9*0.0001,S9)))</f>
        <v>3.4500000000000003E-2</v>
      </c>
      <c r="AB9" s="275"/>
      <c r="AC9" s="150">
        <v>10</v>
      </c>
      <c r="AD9" s="151" t="s">
        <v>162</v>
      </c>
      <c r="AE9" s="152">
        <v>49.05</v>
      </c>
      <c r="AF9" s="152">
        <v>9.8190000000000008</v>
      </c>
      <c r="AG9" s="151">
        <v>1625</v>
      </c>
      <c r="AH9" s="151" t="s">
        <v>1718</v>
      </c>
      <c r="AI9" s="151">
        <v>455</v>
      </c>
      <c r="AJ9" s="151" t="s">
        <v>1718</v>
      </c>
      <c r="AK9" s="151">
        <v>422</v>
      </c>
      <c r="AL9" s="151" t="s">
        <v>1718</v>
      </c>
      <c r="AN9" s="155">
        <f>IF((AD9="GeV"),AC9*1000,IF((AD9="keV"),AC9*0.001,AC9))</f>
        <v>0.01</v>
      </c>
      <c r="AO9" s="156">
        <f>IF((AH9="m"),AG9*1000000,IF((AH9="mm"),AG9*1000,IF((AH9="A"),AG9*0.0001,AG9)))</f>
        <v>0.16250000000000001</v>
      </c>
      <c r="AP9" s="275"/>
      <c r="AQ9" s="150">
        <v>10</v>
      </c>
      <c r="AR9" s="151" t="s">
        <v>162</v>
      </c>
      <c r="AS9" s="152">
        <v>61.34</v>
      </c>
      <c r="AT9" s="152">
        <v>0.93810000000000004</v>
      </c>
      <c r="AU9" s="151">
        <v>2058</v>
      </c>
      <c r="AV9" s="151" t="s">
        <v>1718</v>
      </c>
      <c r="AW9" s="151">
        <v>422</v>
      </c>
      <c r="AX9" s="151" t="s">
        <v>1718</v>
      </c>
      <c r="AY9" s="151">
        <v>461</v>
      </c>
      <c r="AZ9" s="151" t="s">
        <v>1718</v>
      </c>
      <c r="BB9" s="155">
        <f>IF((AR9="GeV"),AQ9*1000,IF((AR9="keV"),AQ9*0.001,AQ9))</f>
        <v>0.01</v>
      </c>
      <c r="BC9" s="156">
        <f>IF((AV9="m"),AU9*1000000,IF((AV9="mm"),AU9*1000,IF((AV9="A"),AU9*0.0001,AU9)))</f>
        <v>0.20580000000000001</v>
      </c>
      <c r="BE9" s="150">
        <v>10</v>
      </c>
      <c r="BF9" s="151" t="s">
        <v>162</v>
      </c>
      <c r="BG9" s="152">
        <v>89.26</v>
      </c>
      <c r="BH9" s="152">
        <v>98.28</v>
      </c>
      <c r="BI9" s="151">
        <v>495</v>
      </c>
      <c r="BJ9" s="151" t="s">
        <v>1718</v>
      </c>
      <c r="BK9" s="151">
        <v>147</v>
      </c>
      <c r="BL9" s="151" t="s">
        <v>1718</v>
      </c>
      <c r="BM9" s="151">
        <v>111</v>
      </c>
      <c r="BN9" s="151" t="s">
        <v>1718</v>
      </c>
      <c r="BP9" s="155">
        <f>IF((BF9="GeV"),BE9*1000,IF((BF9="keV"),BE9*0.001,BE9))</f>
        <v>0.01</v>
      </c>
      <c r="BQ9" s="156">
        <f>IF((BJ9="m"),BI9*1000000,IF((BJ9="mm"),BI9*1000,IF((BJ9="A"),BI9*0.0001,BI9)))</f>
        <v>4.9500000000000002E-2</v>
      </c>
      <c r="BS9" s="150">
        <v>10</v>
      </c>
      <c r="BT9" s="151" t="s">
        <v>162</v>
      </c>
      <c r="BU9" s="152">
        <v>77.89</v>
      </c>
      <c r="BV9" s="152">
        <v>186.6</v>
      </c>
      <c r="BW9" s="151">
        <v>367</v>
      </c>
      <c r="BX9" s="151" t="s">
        <v>1718</v>
      </c>
      <c r="BY9" s="151">
        <v>107</v>
      </c>
      <c r="BZ9" s="151" t="s">
        <v>1718</v>
      </c>
      <c r="CA9" s="151">
        <v>80</v>
      </c>
      <c r="CB9" s="151" t="s">
        <v>1718</v>
      </c>
      <c r="CD9" s="155">
        <f>IF((BT9="GeV"),BS9*1000,IF((BT9="keV"),BS9*0.001,BS9))</f>
        <v>0.01</v>
      </c>
      <c r="CE9" s="156">
        <f>IF((BX9="m"),BW9*1000000,IF((BX9="mm"),BW9*1000,IF((BX9="A"),BW9*0.0001,BW9)))</f>
        <v>3.6700000000000003E-2</v>
      </c>
      <c r="CG9" s="150">
        <v>10</v>
      </c>
      <c r="CH9" s="151" t="s">
        <v>162</v>
      </c>
      <c r="CI9" s="152">
        <v>66.34</v>
      </c>
      <c r="CJ9" s="152">
        <v>219.2</v>
      </c>
      <c r="CK9" s="151">
        <v>347</v>
      </c>
      <c r="CL9" s="151" t="s">
        <v>1718</v>
      </c>
      <c r="CM9" s="151">
        <v>99</v>
      </c>
      <c r="CN9" s="151" t="s">
        <v>1718</v>
      </c>
      <c r="CO9" s="151">
        <v>75</v>
      </c>
      <c r="CP9" s="151" t="s">
        <v>1718</v>
      </c>
      <c r="CR9" s="155">
        <f t="shared" ref="CR9:CR40" si="0">IF((CH9="GeV"),CG9*1000,IF((CH9="keV"),CG9*0.001,CG9))</f>
        <v>0.01</v>
      </c>
      <c r="CS9" s="156">
        <f>IF((CL9="m"),CK9*1000000,IF((CL9="mm"),CK9*1000,IF((CL9="A"),CK9*0.0001,CK9)))</f>
        <v>3.4700000000000002E-2</v>
      </c>
      <c r="CU9" s="151">
        <v>10</v>
      </c>
      <c r="CV9" s="152" t="s">
        <v>162</v>
      </c>
      <c r="CW9" s="152">
        <v>96.06</v>
      </c>
      <c r="CX9" s="152">
        <v>431.3</v>
      </c>
      <c r="CY9" s="151">
        <v>231</v>
      </c>
      <c r="CZ9" s="151" t="s">
        <v>1718</v>
      </c>
      <c r="DA9" s="151">
        <v>57</v>
      </c>
      <c r="DB9" s="151" t="s">
        <v>1718</v>
      </c>
      <c r="DC9" s="151">
        <v>46</v>
      </c>
      <c r="DD9" t="s">
        <v>1718</v>
      </c>
      <c r="DF9" s="155">
        <f>IF((CV9="GeV"),CU9*1000,IF((CV9="keV"),CU9*0.001,CU9))</f>
        <v>0.01</v>
      </c>
      <c r="DG9" s="156">
        <f>IF((CZ9="m"),CY9*1000000,IF((CZ9="mm"),CY9*1000,IF((CZ9="A"),CY9*0.0001,CY9)))</f>
        <v>2.3100000000000002E-2</v>
      </c>
      <c r="DI9" s="151">
        <v>10</v>
      </c>
      <c r="DJ9" s="152" t="s">
        <v>162</v>
      </c>
      <c r="DK9" s="152">
        <v>102.8</v>
      </c>
      <c r="DL9" s="152">
        <v>416.9</v>
      </c>
      <c r="DM9" s="151">
        <v>238</v>
      </c>
      <c r="DN9" s="151" t="s">
        <v>1718</v>
      </c>
      <c r="DO9" s="151">
        <v>56</v>
      </c>
      <c r="DP9" s="151" t="s">
        <v>1718</v>
      </c>
      <c r="DQ9" s="151">
        <v>46</v>
      </c>
      <c r="DR9" t="s">
        <v>1718</v>
      </c>
      <c r="DT9" s="155">
        <f>IF((DJ9="GeV"),DI9*1000,IF((DJ9="keV"),DI9*0.001,DI9))</f>
        <v>0.01</v>
      </c>
      <c r="DU9" s="156">
        <f>IF((DN9="m"),DM9*1000000,IF((DN9="mm"),DM9*1000,IF((DN9="A"),DM9*0.0001,DM9)))</f>
        <v>2.3800000000000002E-2</v>
      </c>
      <c r="DW9" s="398">
        <v>10</v>
      </c>
      <c r="DX9" s="398" t="s">
        <v>162</v>
      </c>
      <c r="DY9" s="399">
        <v>64.209999999999994</v>
      </c>
      <c r="DZ9" s="399">
        <v>42.25</v>
      </c>
      <c r="EA9" s="398">
        <v>806</v>
      </c>
      <c r="EB9" s="398" t="s">
        <v>1718</v>
      </c>
      <c r="EC9" s="398">
        <v>256</v>
      </c>
      <c r="ED9" s="398" t="s">
        <v>1718</v>
      </c>
      <c r="EE9" s="398">
        <v>203</v>
      </c>
      <c r="EF9" s="400" t="s">
        <v>1718</v>
      </c>
      <c r="EH9" s="155">
        <f>IF((DX9="GeV"),DW9*1000,IF((DX9="keV"),DW9*0.001,DW9))</f>
        <v>0.01</v>
      </c>
      <c r="EI9" s="156">
        <f>IF((EB9="m"),EA9*1000000,IF((EB9="mm"),EA9*1000,IF((EB9="A"),EA9*0.0001,EA9)))</f>
        <v>8.0600000000000005E-2</v>
      </c>
    </row>
    <row r="10" spans="1:139" x14ac:dyDescent="0.2">
      <c r="A10" s="150">
        <v>11</v>
      </c>
      <c r="B10" s="151" t="s">
        <v>162</v>
      </c>
      <c r="C10" s="152">
        <v>68.75</v>
      </c>
      <c r="D10" s="152">
        <v>238.4</v>
      </c>
      <c r="E10" s="151">
        <v>354</v>
      </c>
      <c r="F10" s="151" t="s">
        <v>1718</v>
      </c>
      <c r="G10" s="151">
        <v>101</v>
      </c>
      <c r="H10" s="151" t="s">
        <v>1718</v>
      </c>
      <c r="I10" s="151">
        <v>77</v>
      </c>
      <c r="J10" s="151" t="s">
        <v>1718</v>
      </c>
      <c r="L10" s="155">
        <f t="shared" ref="L10:L73" si="1">IF((B10="GeV"),A10*1000,IF((B10="keV"),A10*0.001,A10))</f>
        <v>1.0999999999999999E-2</v>
      </c>
      <c r="M10" s="156">
        <f t="shared" ref="M10:M73" si="2">IF((F10="m"),E10*1000000,IF((F10="mm"),E10*1000,IF((F10="A"),E10*0.0001,E10)))</f>
        <v>3.5400000000000001E-2</v>
      </c>
      <c r="N10" s="275"/>
      <c r="O10" s="150">
        <v>11</v>
      </c>
      <c r="P10" s="151" t="s">
        <v>162</v>
      </c>
      <c r="Q10" s="152">
        <v>75.13</v>
      </c>
      <c r="R10" s="152">
        <v>205.3</v>
      </c>
      <c r="S10" s="151">
        <v>376</v>
      </c>
      <c r="T10" s="151" t="s">
        <v>1718</v>
      </c>
      <c r="U10" s="151">
        <v>111</v>
      </c>
      <c r="V10" s="151" t="s">
        <v>1718</v>
      </c>
      <c r="W10" s="151">
        <v>83</v>
      </c>
      <c r="X10" s="151" t="s">
        <v>1718</v>
      </c>
      <c r="Z10" s="155">
        <f t="shared" ref="Z10:Z73" si="3">IF((P10="GeV"),O10*1000,IF((P10="keV"),O10*0.001,O10))</f>
        <v>1.0999999999999999E-2</v>
      </c>
      <c r="AA10" s="156">
        <f t="shared" ref="AA10:AA73" si="4">IF((T10="m"),S10*1000000,IF((T10="mm"),S10*1000,IF((T10="A"),S10*0.0001,S10)))</f>
        <v>3.7600000000000001E-2</v>
      </c>
      <c r="AB10" s="275"/>
      <c r="AC10" s="150">
        <v>11</v>
      </c>
      <c r="AD10" s="151" t="s">
        <v>162</v>
      </c>
      <c r="AE10" s="152">
        <v>51.49</v>
      </c>
      <c r="AF10" s="152">
        <v>9.2629999999999999</v>
      </c>
      <c r="AG10" s="151">
        <v>1771</v>
      </c>
      <c r="AH10" s="151" t="s">
        <v>1718</v>
      </c>
      <c r="AI10" s="151">
        <v>479</v>
      </c>
      <c r="AJ10" s="151" t="s">
        <v>1718</v>
      </c>
      <c r="AK10" s="151">
        <v>450</v>
      </c>
      <c r="AL10" s="151" t="s">
        <v>1718</v>
      </c>
      <c r="AN10" s="155">
        <f t="shared" ref="AN10:AN73" si="5">IF((AD10="GeV"),AC10*1000,IF((AD10="keV"),AC10*0.001,AC10))</f>
        <v>1.0999999999999999E-2</v>
      </c>
      <c r="AO10" s="156">
        <f t="shared" ref="AO10:AO73" si="6">IF((AH10="m"),AG10*1000000,IF((AH10="mm"),AG10*1000,IF((AH10="A"),AG10*0.0001,AG10)))</f>
        <v>0.17710000000000001</v>
      </c>
      <c r="AP10" s="275"/>
      <c r="AQ10" s="150">
        <v>11</v>
      </c>
      <c r="AR10" s="151" t="s">
        <v>162</v>
      </c>
      <c r="AS10" s="152">
        <v>63.98</v>
      </c>
      <c r="AT10" s="152">
        <v>0.87539999999999996</v>
      </c>
      <c r="AU10" s="151">
        <v>2206</v>
      </c>
      <c r="AV10" s="151" t="s">
        <v>1718</v>
      </c>
      <c r="AW10" s="151">
        <v>432</v>
      </c>
      <c r="AX10" s="151" t="s">
        <v>1718</v>
      </c>
      <c r="AY10" s="151">
        <v>478</v>
      </c>
      <c r="AZ10" s="151" t="s">
        <v>1718</v>
      </c>
      <c r="BB10" s="155">
        <f t="shared" ref="BB10:BB73" si="7">IF((AR10="GeV"),AQ10*1000,IF((AR10="keV"),AQ10*0.001,AQ10))</f>
        <v>1.0999999999999999E-2</v>
      </c>
      <c r="BC10" s="156">
        <f t="shared" ref="BC10:BC73" si="8">IF((AV10="m"),AU10*1000000,IF((AV10="mm"),AU10*1000,IF((AV10="A"),AU10*0.0001,AU10)))</f>
        <v>0.22060000000000002</v>
      </c>
      <c r="BE10" s="150">
        <v>11</v>
      </c>
      <c r="BF10" s="151" t="s">
        <v>162</v>
      </c>
      <c r="BG10" s="152">
        <v>93.62</v>
      </c>
      <c r="BH10" s="152">
        <v>95.42</v>
      </c>
      <c r="BI10" s="151">
        <v>541</v>
      </c>
      <c r="BJ10" s="151" t="s">
        <v>1718</v>
      </c>
      <c r="BK10" s="151">
        <v>158</v>
      </c>
      <c r="BL10" s="151" t="s">
        <v>1718</v>
      </c>
      <c r="BM10" s="151">
        <v>120</v>
      </c>
      <c r="BN10" s="151" t="s">
        <v>1718</v>
      </c>
      <c r="BP10" s="155">
        <f t="shared" ref="BP10:BP73" si="9">IF((BF10="GeV"),BE10*1000,IF((BF10="keV"),BE10*0.001,BE10))</f>
        <v>1.0999999999999999E-2</v>
      </c>
      <c r="BQ10" s="156">
        <f t="shared" ref="BQ10:BQ73" si="10">IF((BJ10="m"),BI10*1000000,IF((BJ10="mm"),BI10*1000,IF((BJ10="A"),BI10*0.0001,BI10)))</f>
        <v>5.4100000000000002E-2</v>
      </c>
      <c r="BS10" s="150">
        <v>11</v>
      </c>
      <c r="BT10" s="151" t="s">
        <v>162</v>
      </c>
      <c r="BU10" s="152">
        <v>81.69</v>
      </c>
      <c r="BV10" s="152">
        <v>183.8</v>
      </c>
      <c r="BW10" s="151">
        <v>400</v>
      </c>
      <c r="BX10" s="151" t="s">
        <v>1718</v>
      </c>
      <c r="BY10" s="151">
        <v>115</v>
      </c>
      <c r="BZ10" s="151" t="s">
        <v>1718</v>
      </c>
      <c r="CA10" s="151">
        <v>86</v>
      </c>
      <c r="CB10" s="151" t="s">
        <v>1718</v>
      </c>
      <c r="CD10" s="155">
        <f t="shared" ref="CD10:CD73" si="11">IF((BT10="GeV"),BS10*1000,IF((BT10="keV"),BS10*0.001,BS10))</f>
        <v>1.0999999999999999E-2</v>
      </c>
      <c r="CE10" s="156">
        <f t="shared" ref="CE10:CE73" si="12">IF((BX10="m"),BW10*1000000,IF((BX10="mm"),BW10*1000,IF((BX10="A"),BW10*0.0001,BW10)))</f>
        <v>0.04</v>
      </c>
      <c r="CG10" s="150">
        <v>11</v>
      </c>
      <c r="CH10" s="151" t="s">
        <v>162</v>
      </c>
      <c r="CI10" s="152">
        <v>69.58</v>
      </c>
      <c r="CJ10" s="152">
        <v>216.8</v>
      </c>
      <c r="CK10" s="151">
        <v>378</v>
      </c>
      <c r="CL10" s="151" t="s">
        <v>1718</v>
      </c>
      <c r="CM10" s="151">
        <v>106</v>
      </c>
      <c r="CN10" s="151" t="s">
        <v>1718</v>
      </c>
      <c r="CO10" s="151">
        <v>80</v>
      </c>
      <c r="CP10" s="151" t="s">
        <v>1718</v>
      </c>
      <c r="CR10" s="155">
        <f t="shared" si="0"/>
        <v>1.0999999999999999E-2</v>
      </c>
      <c r="CS10" s="156">
        <f t="shared" ref="CS10:CS73" si="13">IF((CL10="m"),CK10*1000000,IF((CL10="mm"),CK10*1000,IF((CL10="A"),CK10*0.0001,CK10)))</f>
        <v>3.78E-2</v>
      </c>
      <c r="CU10" s="151">
        <v>11</v>
      </c>
      <c r="CV10" s="152" t="s">
        <v>162</v>
      </c>
      <c r="CW10" s="152">
        <v>100.7</v>
      </c>
      <c r="CX10" s="152">
        <v>434.7</v>
      </c>
      <c r="CY10" s="151">
        <v>247</v>
      </c>
      <c r="CZ10" s="151" t="s">
        <v>1718</v>
      </c>
      <c r="DA10" s="151">
        <v>60</v>
      </c>
      <c r="DB10" s="151" t="s">
        <v>1718</v>
      </c>
      <c r="DC10" s="151">
        <v>49</v>
      </c>
      <c r="DD10" t="s">
        <v>1718</v>
      </c>
      <c r="DF10" s="155">
        <f t="shared" ref="DF10:DF73" si="14">IF((CV10="GeV"),CU10*1000,IF((CV10="keV"),CU10*0.001,CU10))</f>
        <v>1.0999999999999999E-2</v>
      </c>
      <c r="DG10" s="156">
        <f>IF((CZ10="m"),CY10*1000000,IF((CZ10="mm"),CY10*1000,IF((CZ10="A"),CY10*0.0001,CY10)))</f>
        <v>2.47E-2</v>
      </c>
      <c r="DI10" s="151">
        <v>11</v>
      </c>
      <c r="DJ10" s="152" t="s">
        <v>162</v>
      </c>
      <c r="DK10" s="152">
        <v>107.8</v>
      </c>
      <c r="DL10" s="152">
        <v>420.1</v>
      </c>
      <c r="DM10" s="151">
        <v>255</v>
      </c>
      <c r="DN10" s="151" t="s">
        <v>1718</v>
      </c>
      <c r="DO10" s="151">
        <v>60</v>
      </c>
      <c r="DP10" s="151" t="s">
        <v>1718</v>
      </c>
      <c r="DQ10" s="151">
        <v>49</v>
      </c>
      <c r="DR10" t="s">
        <v>1718</v>
      </c>
      <c r="DT10" s="155">
        <f t="shared" ref="DT10:DT73" si="15">IF((DJ10="GeV"),DI10*1000,IF((DJ10="keV"),DI10*0.001,DI10))</f>
        <v>1.0999999999999999E-2</v>
      </c>
      <c r="DU10" s="156">
        <f>IF((DN10="m"),DM10*1000000,IF((DN10="mm"),DM10*1000,IF((DN10="A"),DM10*0.0001,DM10)))</f>
        <v>2.5500000000000002E-2</v>
      </c>
      <c r="DW10" s="401">
        <v>11</v>
      </c>
      <c r="DX10" s="401" t="s">
        <v>162</v>
      </c>
      <c r="DY10" s="402">
        <v>67.349999999999994</v>
      </c>
      <c r="DZ10" s="402">
        <v>40.44</v>
      </c>
      <c r="EA10" s="401">
        <v>886</v>
      </c>
      <c r="EB10" s="401" t="s">
        <v>1718</v>
      </c>
      <c r="EC10" s="401">
        <v>274</v>
      </c>
      <c r="ED10" s="401" t="s">
        <v>1718</v>
      </c>
      <c r="EE10" s="401">
        <v>220</v>
      </c>
      <c r="EF10" s="403" t="s">
        <v>1718</v>
      </c>
      <c r="EH10" s="155">
        <f t="shared" ref="EH10:EH73" si="16">IF((DX10="GeV"),DW10*1000,IF((DX10="keV"),DW10*0.001,DW10))</f>
        <v>1.0999999999999999E-2</v>
      </c>
      <c r="EI10" s="156">
        <f>IF((EB10="m"),EA10*1000000,IF((EB10="mm"),EA10*1000,IF((EB10="A"),EA10*0.0001,EA10)))</f>
        <v>8.8599999999999998E-2</v>
      </c>
    </row>
    <row r="11" spans="1:139" x14ac:dyDescent="0.2">
      <c r="A11" s="150">
        <v>12</v>
      </c>
      <c r="B11" s="151" t="s">
        <v>162</v>
      </c>
      <c r="C11" s="152">
        <v>71.81</v>
      </c>
      <c r="D11" s="152">
        <v>236.1</v>
      </c>
      <c r="E11" s="151">
        <v>382</v>
      </c>
      <c r="F11" s="151" t="s">
        <v>1718</v>
      </c>
      <c r="G11" s="151">
        <v>108</v>
      </c>
      <c r="H11" s="151" t="s">
        <v>1718</v>
      </c>
      <c r="I11" s="151">
        <v>82</v>
      </c>
      <c r="J11" s="151" t="s">
        <v>1718</v>
      </c>
      <c r="L11" s="155">
        <f t="shared" si="1"/>
        <v>1.2E-2</v>
      </c>
      <c r="M11" s="156">
        <f t="shared" si="2"/>
        <v>3.8200000000000005E-2</v>
      </c>
      <c r="N11" s="275"/>
      <c r="O11" s="150">
        <v>12</v>
      </c>
      <c r="P11" s="151" t="s">
        <v>162</v>
      </c>
      <c r="Q11" s="152">
        <v>78.47</v>
      </c>
      <c r="R11" s="152">
        <v>202.6</v>
      </c>
      <c r="S11" s="151">
        <v>407</v>
      </c>
      <c r="T11" s="151" t="s">
        <v>1718</v>
      </c>
      <c r="U11" s="151">
        <v>119</v>
      </c>
      <c r="V11" s="151" t="s">
        <v>1718</v>
      </c>
      <c r="W11" s="151">
        <v>89</v>
      </c>
      <c r="X11" s="151" t="s">
        <v>1718</v>
      </c>
      <c r="Z11" s="155">
        <f t="shared" si="3"/>
        <v>1.2E-2</v>
      </c>
      <c r="AA11" s="156">
        <f t="shared" si="4"/>
        <v>4.07E-2</v>
      </c>
      <c r="AB11" s="275"/>
      <c r="AC11" s="150">
        <v>12</v>
      </c>
      <c r="AD11" s="151" t="s">
        <v>162</v>
      </c>
      <c r="AE11" s="152">
        <v>53.84</v>
      </c>
      <c r="AF11" s="152">
        <v>8.7759999999999998</v>
      </c>
      <c r="AG11" s="151">
        <v>1914</v>
      </c>
      <c r="AH11" s="151" t="s">
        <v>1718</v>
      </c>
      <c r="AI11" s="151">
        <v>501</v>
      </c>
      <c r="AJ11" s="151" t="s">
        <v>1718</v>
      </c>
      <c r="AK11" s="151">
        <v>477</v>
      </c>
      <c r="AL11" s="151" t="s">
        <v>1718</v>
      </c>
      <c r="AN11" s="155">
        <f t="shared" si="5"/>
        <v>1.2E-2</v>
      </c>
      <c r="AO11" s="156">
        <f t="shared" si="6"/>
        <v>0.19140000000000001</v>
      </c>
      <c r="AP11" s="275"/>
      <c r="AQ11" s="150">
        <v>12</v>
      </c>
      <c r="AR11" s="151" t="s">
        <v>162</v>
      </c>
      <c r="AS11" s="152">
        <v>66.45</v>
      </c>
      <c r="AT11" s="152">
        <v>0.82140000000000002</v>
      </c>
      <c r="AU11" s="151">
        <v>2349</v>
      </c>
      <c r="AV11" s="151" t="s">
        <v>1718</v>
      </c>
      <c r="AW11" s="151">
        <v>441</v>
      </c>
      <c r="AX11" s="151" t="s">
        <v>1718</v>
      </c>
      <c r="AY11" s="151">
        <v>493</v>
      </c>
      <c r="AZ11" s="151" t="s">
        <v>1718</v>
      </c>
      <c r="BB11" s="155">
        <f t="shared" si="7"/>
        <v>1.2E-2</v>
      </c>
      <c r="BC11" s="156">
        <f t="shared" si="8"/>
        <v>0.2349</v>
      </c>
      <c r="BE11" s="150">
        <v>12</v>
      </c>
      <c r="BF11" s="151" t="s">
        <v>162</v>
      </c>
      <c r="BG11" s="152">
        <v>97.78</v>
      </c>
      <c r="BH11" s="152">
        <v>92.73</v>
      </c>
      <c r="BI11" s="151">
        <v>587</v>
      </c>
      <c r="BJ11" s="151" t="s">
        <v>1718</v>
      </c>
      <c r="BK11" s="151">
        <v>168</v>
      </c>
      <c r="BL11" s="151" t="s">
        <v>1718</v>
      </c>
      <c r="BM11" s="151">
        <v>129</v>
      </c>
      <c r="BN11" s="151" t="s">
        <v>1718</v>
      </c>
      <c r="BP11" s="155">
        <f t="shared" si="9"/>
        <v>1.2E-2</v>
      </c>
      <c r="BQ11" s="156">
        <f t="shared" si="10"/>
        <v>5.8700000000000002E-2</v>
      </c>
      <c r="BS11" s="150">
        <v>12</v>
      </c>
      <c r="BT11" s="151" t="s">
        <v>162</v>
      </c>
      <c r="BU11" s="152">
        <v>85.32</v>
      </c>
      <c r="BV11" s="152">
        <v>181</v>
      </c>
      <c r="BW11" s="151">
        <v>433</v>
      </c>
      <c r="BX11" s="151" t="s">
        <v>1718</v>
      </c>
      <c r="BY11" s="151">
        <v>123</v>
      </c>
      <c r="BZ11" s="151" t="s">
        <v>1718</v>
      </c>
      <c r="CA11" s="151">
        <v>92</v>
      </c>
      <c r="CB11" s="151" t="s">
        <v>1718</v>
      </c>
      <c r="CD11" s="155">
        <f t="shared" si="11"/>
        <v>1.2E-2</v>
      </c>
      <c r="CE11" s="156">
        <f t="shared" si="12"/>
        <v>4.3300000000000005E-2</v>
      </c>
      <c r="CG11" s="150">
        <v>12</v>
      </c>
      <c r="CH11" s="151" t="s">
        <v>162</v>
      </c>
      <c r="CI11" s="152">
        <v>72.67</v>
      </c>
      <c r="CJ11" s="152">
        <v>214.3</v>
      </c>
      <c r="CK11" s="151">
        <v>408</v>
      </c>
      <c r="CL11" s="151" t="s">
        <v>1718</v>
      </c>
      <c r="CM11" s="151">
        <v>113</v>
      </c>
      <c r="CN11" s="151" t="s">
        <v>1718</v>
      </c>
      <c r="CO11" s="151">
        <v>86</v>
      </c>
      <c r="CP11" s="151" t="s">
        <v>1718</v>
      </c>
      <c r="CR11" s="155">
        <f t="shared" si="0"/>
        <v>1.2E-2</v>
      </c>
      <c r="CS11" s="156">
        <f t="shared" si="13"/>
        <v>4.0800000000000003E-2</v>
      </c>
      <c r="CU11" s="151">
        <v>12</v>
      </c>
      <c r="CV11" s="152" t="s">
        <v>162</v>
      </c>
      <c r="CW11" s="152">
        <v>105.2</v>
      </c>
      <c r="CX11" s="152">
        <v>437.2</v>
      </c>
      <c r="CY11" s="151">
        <v>264</v>
      </c>
      <c r="CZ11" s="151" t="s">
        <v>1718</v>
      </c>
      <c r="DA11" s="151">
        <v>64</v>
      </c>
      <c r="DB11" s="151" t="s">
        <v>1718</v>
      </c>
      <c r="DC11" s="151">
        <v>52</v>
      </c>
      <c r="DD11" t="s">
        <v>1718</v>
      </c>
      <c r="DF11" s="155">
        <f t="shared" si="14"/>
        <v>1.2E-2</v>
      </c>
      <c r="DG11" s="156">
        <f t="shared" ref="DG11:DG74" si="17">IF((CZ11="m"),CY11*1000000,IF((CZ11="mm"),CY11*1000,IF((CZ11="A"),CY11*0.0001,CY11)))</f>
        <v>2.64E-2</v>
      </c>
      <c r="DI11" s="151">
        <v>12</v>
      </c>
      <c r="DJ11" s="152" t="s">
        <v>162</v>
      </c>
      <c r="DK11" s="152">
        <v>112.6</v>
      </c>
      <c r="DL11" s="152">
        <v>422.7</v>
      </c>
      <c r="DM11" s="151">
        <v>272</v>
      </c>
      <c r="DN11" s="151" t="s">
        <v>1718</v>
      </c>
      <c r="DO11" s="151">
        <v>63</v>
      </c>
      <c r="DP11" s="151" t="s">
        <v>1718</v>
      </c>
      <c r="DQ11" s="151">
        <v>51</v>
      </c>
      <c r="DR11" t="s">
        <v>1718</v>
      </c>
      <c r="DT11" s="155">
        <f t="shared" si="15"/>
        <v>1.2E-2</v>
      </c>
      <c r="DU11" s="156">
        <f t="shared" ref="DU11:DU74" si="18">IF((DN11="m"),DM11*1000000,IF((DN11="mm"),DM11*1000,IF((DN11="A"),DM11*0.0001,DM11)))</f>
        <v>2.7200000000000002E-2</v>
      </c>
      <c r="DW11" s="401">
        <v>12</v>
      </c>
      <c r="DX11" s="401" t="s">
        <v>162</v>
      </c>
      <c r="DY11" s="402">
        <v>70.34</v>
      </c>
      <c r="DZ11" s="402">
        <v>38.81</v>
      </c>
      <c r="EA11" s="401">
        <v>964</v>
      </c>
      <c r="EB11" s="401" t="s">
        <v>1718</v>
      </c>
      <c r="EC11" s="401">
        <v>292</v>
      </c>
      <c r="ED11" s="401" t="s">
        <v>1718</v>
      </c>
      <c r="EE11" s="401">
        <v>236</v>
      </c>
      <c r="EF11" s="403" t="s">
        <v>1718</v>
      </c>
      <c r="EH11" s="155">
        <f t="shared" si="16"/>
        <v>1.2E-2</v>
      </c>
      <c r="EI11" s="156">
        <f t="shared" ref="EI11:EI74" si="19">IF((EB11="m"),EA11*1000000,IF((EB11="mm"),EA11*1000,IF((EB11="A"),EA11*0.0001,EA11)))</f>
        <v>9.64E-2</v>
      </c>
    </row>
    <row r="12" spans="1:139" x14ac:dyDescent="0.2">
      <c r="A12" s="150">
        <v>13</v>
      </c>
      <c r="B12" s="151" t="s">
        <v>162</v>
      </c>
      <c r="C12" s="152">
        <v>74.739999999999995</v>
      </c>
      <c r="D12" s="152">
        <v>233.7</v>
      </c>
      <c r="E12" s="151">
        <v>411</v>
      </c>
      <c r="F12" s="151" t="s">
        <v>1718</v>
      </c>
      <c r="G12" s="151">
        <v>115</v>
      </c>
      <c r="H12" s="151" t="s">
        <v>1718</v>
      </c>
      <c r="I12" s="151">
        <v>87</v>
      </c>
      <c r="J12" s="151" t="s">
        <v>1718</v>
      </c>
      <c r="L12" s="155">
        <f t="shared" si="1"/>
        <v>1.3000000000000001E-2</v>
      </c>
      <c r="M12" s="156">
        <f t="shared" si="2"/>
        <v>4.1100000000000005E-2</v>
      </c>
      <c r="N12" s="275"/>
      <c r="O12" s="150">
        <v>13</v>
      </c>
      <c r="P12" s="151" t="s">
        <v>162</v>
      </c>
      <c r="Q12" s="152">
        <v>81.67</v>
      </c>
      <c r="R12" s="152">
        <v>199.8</v>
      </c>
      <c r="S12" s="151">
        <v>438</v>
      </c>
      <c r="T12" s="151" t="s">
        <v>1718</v>
      </c>
      <c r="U12" s="151">
        <v>126</v>
      </c>
      <c r="V12" s="151" t="s">
        <v>1718</v>
      </c>
      <c r="W12" s="151">
        <v>95</v>
      </c>
      <c r="X12" s="151" t="s">
        <v>1718</v>
      </c>
      <c r="Z12" s="155">
        <f t="shared" si="3"/>
        <v>1.3000000000000001E-2</v>
      </c>
      <c r="AA12" s="156">
        <f t="shared" si="4"/>
        <v>4.3799999999999999E-2</v>
      </c>
      <c r="AB12" s="275"/>
      <c r="AC12" s="150">
        <v>13</v>
      </c>
      <c r="AD12" s="151" t="s">
        <v>162</v>
      </c>
      <c r="AE12" s="152">
        <v>56.09</v>
      </c>
      <c r="AF12" s="152">
        <v>8.343</v>
      </c>
      <c r="AG12" s="151">
        <v>2054</v>
      </c>
      <c r="AH12" s="151" t="s">
        <v>1718</v>
      </c>
      <c r="AI12" s="151">
        <v>521</v>
      </c>
      <c r="AJ12" s="151" t="s">
        <v>1718</v>
      </c>
      <c r="AK12" s="151">
        <v>502</v>
      </c>
      <c r="AL12" s="151" t="s">
        <v>1718</v>
      </c>
      <c r="AN12" s="155">
        <f t="shared" si="5"/>
        <v>1.3000000000000001E-2</v>
      </c>
      <c r="AO12" s="156">
        <f t="shared" si="6"/>
        <v>0.2054</v>
      </c>
      <c r="AP12" s="275"/>
      <c r="AQ12" s="150">
        <v>13</v>
      </c>
      <c r="AR12" s="151" t="s">
        <v>162</v>
      </c>
      <c r="AS12" s="152">
        <v>68.760000000000005</v>
      </c>
      <c r="AT12" s="152">
        <v>0.77429999999999999</v>
      </c>
      <c r="AU12" s="151">
        <v>2488</v>
      </c>
      <c r="AV12" s="151" t="s">
        <v>1718</v>
      </c>
      <c r="AW12" s="151">
        <v>449</v>
      </c>
      <c r="AX12" s="151" t="s">
        <v>1718</v>
      </c>
      <c r="AY12" s="151">
        <v>507</v>
      </c>
      <c r="AZ12" s="151" t="s">
        <v>1718</v>
      </c>
      <c r="BB12" s="155">
        <f t="shared" si="7"/>
        <v>1.3000000000000001E-2</v>
      </c>
      <c r="BC12" s="156">
        <f t="shared" si="8"/>
        <v>0.24880000000000002</v>
      </c>
      <c r="BE12" s="150">
        <v>13</v>
      </c>
      <c r="BF12" s="151" t="s">
        <v>162</v>
      </c>
      <c r="BG12" s="152">
        <v>101.8</v>
      </c>
      <c r="BH12" s="152">
        <v>90.21</v>
      </c>
      <c r="BI12" s="151">
        <v>633</v>
      </c>
      <c r="BJ12" s="151" t="s">
        <v>1718</v>
      </c>
      <c r="BK12" s="151">
        <v>178</v>
      </c>
      <c r="BL12" s="151" t="s">
        <v>1718</v>
      </c>
      <c r="BM12" s="151">
        <v>137</v>
      </c>
      <c r="BN12" s="151" t="s">
        <v>1718</v>
      </c>
      <c r="BP12" s="155">
        <f t="shared" si="9"/>
        <v>1.3000000000000001E-2</v>
      </c>
      <c r="BQ12" s="156">
        <f t="shared" si="10"/>
        <v>6.3300000000000009E-2</v>
      </c>
      <c r="BS12" s="150">
        <v>13</v>
      </c>
      <c r="BT12" s="151" t="s">
        <v>162</v>
      </c>
      <c r="BU12" s="152">
        <v>88.8</v>
      </c>
      <c r="BV12" s="152">
        <v>178.2</v>
      </c>
      <c r="BW12" s="151">
        <v>465</v>
      </c>
      <c r="BX12" s="151" t="s">
        <v>1718</v>
      </c>
      <c r="BY12" s="151">
        <v>130</v>
      </c>
      <c r="BZ12" s="151" t="s">
        <v>1718</v>
      </c>
      <c r="CA12" s="151">
        <v>98</v>
      </c>
      <c r="CB12" s="151" t="s">
        <v>1718</v>
      </c>
      <c r="CD12" s="155">
        <f t="shared" si="11"/>
        <v>1.3000000000000001E-2</v>
      </c>
      <c r="CE12" s="156">
        <f t="shared" si="12"/>
        <v>4.65E-2</v>
      </c>
      <c r="CG12" s="150">
        <v>13</v>
      </c>
      <c r="CH12" s="151" t="s">
        <v>162</v>
      </c>
      <c r="CI12" s="152">
        <v>75.64</v>
      </c>
      <c r="CJ12" s="152">
        <v>211.8</v>
      </c>
      <c r="CK12" s="151">
        <v>439</v>
      </c>
      <c r="CL12" s="151" t="s">
        <v>1718</v>
      </c>
      <c r="CM12" s="151">
        <v>120</v>
      </c>
      <c r="CN12" s="151" t="s">
        <v>1718</v>
      </c>
      <c r="CO12" s="151">
        <v>91</v>
      </c>
      <c r="CP12" s="151" t="s">
        <v>1718</v>
      </c>
      <c r="CR12" s="155">
        <f t="shared" si="0"/>
        <v>1.3000000000000001E-2</v>
      </c>
      <c r="CS12" s="156">
        <f t="shared" si="13"/>
        <v>4.3900000000000002E-2</v>
      </c>
      <c r="CU12" s="151">
        <v>13</v>
      </c>
      <c r="CV12" s="152" t="s">
        <v>162</v>
      </c>
      <c r="CW12" s="152">
        <v>109.5</v>
      </c>
      <c r="CX12" s="152">
        <v>439.2</v>
      </c>
      <c r="CY12" s="151">
        <v>281</v>
      </c>
      <c r="CZ12" s="151" t="s">
        <v>1718</v>
      </c>
      <c r="DA12" s="151">
        <v>67</v>
      </c>
      <c r="DB12" s="151" t="s">
        <v>1718</v>
      </c>
      <c r="DC12" s="151">
        <v>54</v>
      </c>
      <c r="DD12" t="s">
        <v>1718</v>
      </c>
      <c r="DF12" s="155">
        <f t="shared" si="14"/>
        <v>1.3000000000000001E-2</v>
      </c>
      <c r="DG12" s="156">
        <f t="shared" si="17"/>
        <v>2.81E-2</v>
      </c>
      <c r="DI12" s="151">
        <v>13</v>
      </c>
      <c r="DJ12" s="152" t="s">
        <v>162</v>
      </c>
      <c r="DK12" s="152">
        <v>117.2</v>
      </c>
      <c r="DL12" s="152">
        <v>424.6</v>
      </c>
      <c r="DM12" s="151">
        <v>289</v>
      </c>
      <c r="DN12" s="151" t="s">
        <v>1718</v>
      </c>
      <c r="DO12" s="151">
        <v>66</v>
      </c>
      <c r="DP12" s="151" t="s">
        <v>1718</v>
      </c>
      <c r="DQ12" s="151">
        <v>54</v>
      </c>
      <c r="DR12" t="s">
        <v>1718</v>
      </c>
      <c r="DT12" s="155">
        <f t="shared" si="15"/>
        <v>1.3000000000000001E-2</v>
      </c>
      <c r="DU12" s="156">
        <f t="shared" si="18"/>
        <v>2.8900000000000002E-2</v>
      </c>
      <c r="DW12" s="401">
        <v>13</v>
      </c>
      <c r="DX12" s="401" t="s">
        <v>162</v>
      </c>
      <c r="DY12" s="402">
        <v>73.209999999999994</v>
      </c>
      <c r="DZ12" s="402">
        <v>37.32</v>
      </c>
      <c r="EA12" s="401">
        <v>1043</v>
      </c>
      <c r="EB12" s="401" t="s">
        <v>1718</v>
      </c>
      <c r="EC12" s="401">
        <v>308</v>
      </c>
      <c r="ED12" s="401" t="s">
        <v>1718</v>
      </c>
      <c r="EE12" s="401">
        <v>252</v>
      </c>
      <c r="EF12" s="403" t="s">
        <v>1718</v>
      </c>
      <c r="EH12" s="155">
        <f t="shared" si="16"/>
        <v>1.3000000000000001E-2</v>
      </c>
      <c r="EI12" s="156">
        <f t="shared" si="19"/>
        <v>0.1043</v>
      </c>
    </row>
    <row r="13" spans="1:139" x14ac:dyDescent="0.2">
      <c r="A13" s="150">
        <v>14</v>
      </c>
      <c r="B13" s="151" t="s">
        <v>162</v>
      </c>
      <c r="C13" s="152">
        <v>77.56</v>
      </c>
      <c r="D13" s="152">
        <v>231.3</v>
      </c>
      <c r="E13" s="151">
        <v>439</v>
      </c>
      <c r="F13" s="151" t="s">
        <v>1718</v>
      </c>
      <c r="G13" s="151">
        <v>121</v>
      </c>
      <c r="H13" s="151" t="s">
        <v>1718</v>
      </c>
      <c r="I13" s="151">
        <v>92</v>
      </c>
      <c r="J13" s="151" t="s">
        <v>1718</v>
      </c>
      <c r="L13" s="155">
        <f t="shared" si="1"/>
        <v>1.4E-2</v>
      </c>
      <c r="M13" s="156">
        <f t="shared" si="2"/>
        <v>4.3900000000000002E-2</v>
      </c>
      <c r="N13" s="275"/>
      <c r="O13" s="150">
        <v>14</v>
      </c>
      <c r="P13" s="151" t="s">
        <v>162</v>
      </c>
      <c r="Q13" s="152">
        <v>84.75</v>
      </c>
      <c r="R13" s="152">
        <v>197</v>
      </c>
      <c r="S13" s="151">
        <v>469</v>
      </c>
      <c r="T13" s="151" t="s">
        <v>1718</v>
      </c>
      <c r="U13" s="151">
        <v>134</v>
      </c>
      <c r="V13" s="151" t="s">
        <v>1718</v>
      </c>
      <c r="W13" s="151">
        <v>100</v>
      </c>
      <c r="X13" s="151" t="s">
        <v>1718</v>
      </c>
      <c r="Z13" s="155">
        <f t="shared" si="3"/>
        <v>1.4E-2</v>
      </c>
      <c r="AA13" s="156">
        <f t="shared" si="4"/>
        <v>4.6900000000000004E-2</v>
      </c>
      <c r="AB13" s="275"/>
      <c r="AC13" s="150">
        <v>14</v>
      </c>
      <c r="AD13" s="151" t="s">
        <v>162</v>
      </c>
      <c r="AE13" s="152">
        <v>58.26</v>
      </c>
      <c r="AF13" s="152">
        <v>7.9580000000000002</v>
      </c>
      <c r="AG13" s="151">
        <v>2191</v>
      </c>
      <c r="AH13" s="151" t="s">
        <v>1718</v>
      </c>
      <c r="AI13" s="151">
        <v>540</v>
      </c>
      <c r="AJ13" s="151" t="s">
        <v>1718</v>
      </c>
      <c r="AK13" s="151">
        <v>526</v>
      </c>
      <c r="AL13" s="151" t="s">
        <v>1718</v>
      </c>
      <c r="AN13" s="155">
        <f t="shared" si="5"/>
        <v>1.4E-2</v>
      </c>
      <c r="AO13" s="156">
        <f t="shared" si="6"/>
        <v>0.21910000000000002</v>
      </c>
      <c r="AP13" s="275"/>
      <c r="AQ13" s="150">
        <v>14</v>
      </c>
      <c r="AR13" s="151" t="s">
        <v>162</v>
      </c>
      <c r="AS13" s="152">
        <v>70.94</v>
      </c>
      <c r="AT13" s="152">
        <v>0.7329</v>
      </c>
      <c r="AU13" s="151">
        <v>2623</v>
      </c>
      <c r="AV13" s="151" t="s">
        <v>1718</v>
      </c>
      <c r="AW13" s="151">
        <v>457</v>
      </c>
      <c r="AX13" s="151" t="s">
        <v>1718</v>
      </c>
      <c r="AY13" s="151">
        <v>521</v>
      </c>
      <c r="AZ13" s="151" t="s">
        <v>1718</v>
      </c>
      <c r="BB13" s="155">
        <f t="shared" si="7"/>
        <v>1.4E-2</v>
      </c>
      <c r="BC13" s="156">
        <f t="shared" si="8"/>
        <v>0.26230000000000003</v>
      </c>
      <c r="BE13" s="150">
        <v>14</v>
      </c>
      <c r="BF13" s="151" t="s">
        <v>162</v>
      </c>
      <c r="BG13" s="152">
        <v>105.6</v>
      </c>
      <c r="BH13" s="152">
        <v>87.83</v>
      </c>
      <c r="BI13" s="151">
        <v>679</v>
      </c>
      <c r="BJ13" s="151" t="s">
        <v>1718</v>
      </c>
      <c r="BK13" s="151">
        <v>188</v>
      </c>
      <c r="BL13" s="151" t="s">
        <v>1718</v>
      </c>
      <c r="BM13" s="151">
        <v>145</v>
      </c>
      <c r="BN13" s="151" t="s">
        <v>1718</v>
      </c>
      <c r="BP13" s="155">
        <f t="shared" si="9"/>
        <v>1.4E-2</v>
      </c>
      <c r="BQ13" s="156">
        <f t="shared" si="10"/>
        <v>6.7900000000000002E-2</v>
      </c>
      <c r="BS13" s="150">
        <v>14</v>
      </c>
      <c r="BT13" s="151" t="s">
        <v>162</v>
      </c>
      <c r="BU13" s="152">
        <v>92.16</v>
      </c>
      <c r="BV13" s="152">
        <v>175.4</v>
      </c>
      <c r="BW13" s="151">
        <v>498</v>
      </c>
      <c r="BX13" s="151" t="s">
        <v>1718</v>
      </c>
      <c r="BY13" s="151">
        <v>138</v>
      </c>
      <c r="BZ13" s="151" t="s">
        <v>1718</v>
      </c>
      <c r="CA13" s="151">
        <v>104</v>
      </c>
      <c r="CB13" s="151" t="s">
        <v>1718</v>
      </c>
      <c r="CD13" s="155">
        <f t="shared" si="11"/>
        <v>1.4E-2</v>
      </c>
      <c r="CE13" s="156">
        <f t="shared" si="12"/>
        <v>4.9800000000000004E-2</v>
      </c>
      <c r="CG13" s="150">
        <v>14</v>
      </c>
      <c r="CH13" s="151" t="s">
        <v>162</v>
      </c>
      <c r="CI13" s="152">
        <v>78.489999999999995</v>
      </c>
      <c r="CJ13" s="152">
        <v>209.2</v>
      </c>
      <c r="CK13" s="151">
        <v>469</v>
      </c>
      <c r="CL13" s="151" t="s">
        <v>1718</v>
      </c>
      <c r="CM13" s="151">
        <v>127</v>
      </c>
      <c r="CN13" s="151" t="s">
        <v>1718</v>
      </c>
      <c r="CO13" s="151">
        <v>97</v>
      </c>
      <c r="CP13" s="151" t="s">
        <v>1718</v>
      </c>
      <c r="CR13" s="155">
        <f t="shared" si="0"/>
        <v>1.4E-2</v>
      </c>
      <c r="CS13" s="156">
        <f t="shared" si="13"/>
        <v>4.6900000000000004E-2</v>
      </c>
      <c r="CU13" s="151">
        <v>14</v>
      </c>
      <c r="CV13" s="152" t="s">
        <v>162</v>
      </c>
      <c r="CW13" s="152">
        <v>113.7</v>
      </c>
      <c r="CX13" s="152">
        <v>440.6</v>
      </c>
      <c r="CY13" s="151">
        <v>297</v>
      </c>
      <c r="CZ13" s="151" t="s">
        <v>1718</v>
      </c>
      <c r="DA13" s="151">
        <v>70</v>
      </c>
      <c r="DB13" s="151" t="s">
        <v>1718</v>
      </c>
      <c r="DC13" s="151">
        <v>57</v>
      </c>
      <c r="DD13" t="s">
        <v>1718</v>
      </c>
      <c r="DF13" s="155">
        <f t="shared" si="14"/>
        <v>1.4E-2</v>
      </c>
      <c r="DG13" s="156">
        <f t="shared" si="17"/>
        <v>2.9700000000000001E-2</v>
      </c>
      <c r="DI13" s="151">
        <v>14</v>
      </c>
      <c r="DJ13" s="152" t="s">
        <v>162</v>
      </c>
      <c r="DK13" s="152">
        <v>121.6</v>
      </c>
      <c r="DL13" s="152">
        <v>426</v>
      </c>
      <c r="DM13" s="151">
        <v>305</v>
      </c>
      <c r="DN13" s="151" t="s">
        <v>1718</v>
      </c>
      <c r="DO13" s="151">
        <v>69</v>
      </c>
      <c r="DP13" s="151" t="s">
        <v>1718</v>
      </c>
      <c r="DQ13" s="151">
        <v>57</v>
      </c>
      <c r="DR13" t="s">
        <v>1718</v>
      </c>
      <c r="DT13" s="155">
        <f t="shared" si="15"/>
        <v>1.4E-2</v>
      </c>
      <c r="DU13" s="156">
        <f t="shared" si="18"/>
        <v>3.0500000000000003E-2</v>
      </c>
      <c r="DW13" s="401">
        <v>14</v>
      </c>
      <c r="DX13" s="401" t="s">
        <v>162</v>
      </c>
      <c r="DY13" s="402">
        <v>75.98</v>
      </c>
      <c r="DZ13" s="402">
        <v>35.97</v>
      </c>
      <c r="EA13" s="401">
        <v>1121</v>
      </c>
      <c r="EB13" s="401" t="s">
        <v>1718</v>
      </c>
      <c r="EC13" s="401">
        <v>324</v>
      </c>
      <c r="ED13" s="401" t="s">
        <v>1718</v>
      </c>
      <c r="EE13" s="401">
        <v>268</v>
      </c>
      <c r="EF13" s="403" t="s">
        <v>1718</v>
      </c>
      <c r="EH13" s="155">
        <f t="shared" si="16"/>
        <v>1.4E-2</v>
      </c>
      <c r="EI13" s="156">
        <f t="shared" si="19"/>
        <v>0.11210000000000001</v>
      </c>
    </row>
    <row r="14" spans="1:139" x14ac:dyDescent="0.2">
      <c r="A14" s="150">
        <v>15</v>
      </c>
      <c r="B14" s="151" t="s">
        <v>162</v>
      </c>
      <c r="C14" s="152">
        <v>80.28</v>
      </c>
      <c r="D14" s="152">
        <v>228.8</v>
      </c>
      <c r="E14" s="151">
        <v>468</v>
      </c>
      <c r="F14" s="151" t="s">
        <v>1718</v>
      </c>
      <c r="G14" s="151">
        <v>128</v>
      </c>
      <c r="H14" s="151" t="s">
        <v>1718</v>
      </c>
      <c r="I14" s="151">
        <v>97</v>
      </c>
      <c r="J14" s="151" t="s">
        <v>1718</v>
      </c>
      <c r="L14" s="155">
        <f t="shared" si="1"/>
        <v>1.4999999999999999E-2</v>
      </c>
      <c r="M14" s="156">
        <f t="shared" si="2"/>
        <v>4.6800000000000001E-2</v>
      </c>
      <c r="N14" s="275"/>
      <c r="O14" s="150">
        <v>15</v>
      </c>
      <c r="P14" s="151" t="s">
        <v>162</v>
      </c>
      <c r="Q14" s="152">
        <v>87.73</v>
      </c>
      <c r="R14" s="152">
        <v>194.3</v>
      </c>
      <c r="S14" s="151">
        <v>500</v>
      </c>
      <c r="T14" s="151" t="s">
        <v>1718</v>
      </c>
      <c r="U14" s="151">
        <v>141</v>
      </c>
      <c r="V14" s="151" t="s">
        <v>1718</v>
      </c>
      <c r="W14" s="151">
        <v>106</v>
      </c>
      <c r="X14" s="151" t="s">
        <v>1718</v>
      </c>
      <c r="Z14" s="155">
        <f t="shared" si="3"/>
        <v>1.4999999999999999E-2</v>
      </c>
      <c r="AA14" s="156">
        <f t="shared" si="4"/>
        <v>0.05</v>
      </c>
      <c r="AB14" s="275"/>
      <c r="AC14" s="150">
        <v>15</v>
      </c>
      <c r="AD14" s="151" t="s">
        <v>162</v>
      </c>
      <c r="AE14" s="152">
        <v>60.36</v>
      </c>
      <c r="AF14" s="152">
        <v>7.6109999999999998</v>
      </c>
      <c r="AG14" s="151">
        <v>2325</v>
      </c>
      <c r="AH14" s="151" t="s">
        <v>1718</v>
      </c>
      <c r="AI14" s="151">
        <v>557</v>
      </c>
      <c r="AJ14" s="151" t="s">
        <v>1718</v>
      </c>
      <c r="AK14" s="151">
        <v>549</v>
      </c>
      <c r="AL14" s="151" t="s">
        <v>1718</v>
      </c>
      <c r="AN14" s="155">
        <f t="shared" si="5"/>
        <v>1.4999999999999999E-2</v>
      </c>
      <c r="AO14" s="156">
        <f t="shared" si="6"/>
        <v>0.23250000000000001</v>
      </c>
      <c r="AP14" s="275"/>
      <c r="AQ14" s="150">
        <v>15</v>
      </c>
      <c r="AR14" s="151" t="s">
        <v>162</v>
      </c>
      <c r="AS14" s="152">
        <v>72.98</v>
      </c>
      <c r="AT14" s="152">
        <v>0.69610000000000005</v>
      </c>
      <c r="AU14" s="151">
        <v>2755</v>
      </c>
      <c r="AV14" s="151" t="s">
        <v>1718</v>
      </c>
      <c r="AW14" s="151">
        <v>464</v>
      </c>
      <c r="AX14" s="151" t="s">
        <v>1718</v>
      </c>
      <c r="AY14" s="151">
        <v>533</v>
      </c>
      <c r="AZ14" s="151" t="s">
        <v>1718</v>
      </c>
      <c r="BB14" s="155">
        <f t="shared" si="7"/>
        <v>1.4999999999999999E-2</v>
      </c>
      <c r="BC14" s="156">
        <f t="shared" si="8"/>
        <v>0.27550000000000002</v>
      </c>
      <c r="BE14" s="150">
        <v>15</v>
      </c>
      <c r="BF14" s="151" t="s">
        <v>162</v>
      </c>
      <c r="BG14" s="152">
        <v>109.3</v>
      </c>
      <c r="BH14" s="152">
        <v>85.6</v>
      </c>
      <c r="BI14" s="151">
        <v>724</v>
      </c>
      <c r="BJ14" s="151" t="s">
        <v>1718</v>
      </c>
      <c r="BK14" s="151">
        <v>197</v>
      </c>
      <c r="BL14" s="151" t="s">
        <v>1718</v>
      </c>
      <c r="BM14" s="151">
        <v>153</v>
      </c>
      <c r="BN14" s="151" t="s">
        <v>1718</v>
      </c>
      <c r="BP14" s="155">
        <f t="shared" si="9"/>
        <v>1.4999999999999999E-2</v>
      </c>
      <c r="BQ14" s="156">
        <f t="shared" si="10"/>
        <v>7.2400000000000006E-2</v>
      </c>
      <c r="BS14" s="150">
        <v>15</v>
      </c>
      <c r="BT14" s="151" t="s">
        <v>162</v>
      </c>
      <c r="BU14" s="152">
        <v>95.39</v>
      </c>
      <c r="BV14" s="152">
        <v>172.7</v>
      </c>
      <c r="BW14" s="151">
        <v>531</v>
      </c>
      <c r="BX14" s="151" t="s">
        <v>1718</v>
      </c>
      <c r="BY14" s="151">
        <v>145</v>
      </c>
      <c r="BZ14" s="151" t="s">
        <v>1718</v>
      </c>
      <c r="CA14" s="151">
        <v>110</v>
      </c>
      <c r="CB14" s="151" t="s">
        <v>1718</v>
      </c>
      <c r="CD14" s="155">
        <f t="shared" si="11"/>
        <v>1.4999999999999999E-2</v>
      </c>
      <c r="CE14" s="156">
        <f t="shared" si="12"/>
        <v>5.3100000000000001E-2</v>
      </c>
      <c r="CG14" s="150">
        <v>15</v>
      </c>
      <c r="CH14" s="151" t="s">
        <v>162</v>
      </c>
      <c r="CI14" s="152">
        <v>81.25</v>
      </c>
      <c r="CJ14" s="152">
        <v>206.6</v>
      </c>
      <c r="CK14" s="151">
        <v>500</v>
      </c>
      <c r="CL14" s="151" t="s">
        <v>1718</v>
      </c>
      <c r="CM14" s="151">
        <v>134</v>
      </c>
      <c r="CN14" s="151" t="s">
        <v>1718</v>
      </c>
      <c r="CO14" s="151">
        <v>102</v>
      </c>
      <c r="CP14" s="151" t="s">
        <v>1718</v>
      </c>
      <c r="CR14" s="155">
        <f t="shared" si="0"/>
        <v>1.4999999999999999E-2</v>
      </c>
      <c r="CS14" s="156">
        <f t="shared" si="13"/>
        <v>0.05</v>
      </c>
      <c r="CU14" s="151">
        <v>15</v>
      </c>
      <c r="CV14" s="152" t="s">
        <v>162</v>
      </c>
      <c r="CW14" s="152">
        <v>117.6</v>
      </c>
      <c r="CX14" s="152">
        <v>441.6</v>
      </c>
      <c r="CY14" s="151">
        <v>313</v>
      </c>
      <c r="CZ14" s="151" t="s">
        <v>1718</v>
      </c>
      <c r="DA14" s="151">
        <v>74</v>
      </c>
      <c r="DB14" s="151" t="s">
        <v>1718</v>
      </c>
      <c r="DC14" s="151">
        <v>60</v>
      </c>
      <c r="DD14" t="s">
        <v>1718</v>
      </c>
      <c r="DF14" s="155">
        <f t="shared" si="14"/>
        <v>1.4999999999999999E-2</v>
      </c>
      <c r="DG14" s="156">
        <f t="shared" si="17"/>
        <v>3.1300000000000001E-2</v>
      </c>
      <c r="DI14" s="151">
        <v>15</v>
      </c>
      <c r="DJ14" s="152" t="s">
        <v>162</v>
      </c>
      <c r="DK14" s="152">
        <v>125.9</v>
      </c>
      <c r="DL14" s="152">
        <v>426.9</v>
      </c>
      <c r="DM14" s="151">
        <v>322</v>
      </c>
      <c r="DN14" s="151" t="s">
        <v>1718</v>
      </c>
      <c r="DO14" s="151">
        <v>72</v>
      </c>
      <c r="DP14" s="151" t="s">
        <v>1718</v>
      </c>
      <c r="DQ14" s="151">
        <v>59</v>
      </c>
      <c r="DR14" t="s">
        <v>1718</v>
      </c>
      <c r="DT14" s="155">
        <f t="shared" si="15"/>
        <v>1.4999999999999999E-2</v>
      </c>
      <c r="DU14" s="156">
        <f t="shared" si="18"/>
        <v>3.2199999999999999E-2</v>
      </c>
      <c r="DW14" s="401">
        <v>15</v>
      </c>
      <c r="DX14" s="401" t="s">
        <v>162</v>
      </c>
      <c r="DY14" s="402">
        <v>76.400000000000006</v>
      </c>
      <c r="DZ14" s="402">
        <v>34.72</v>
      </c>
      <c r="EA14" s="401">
        <v>1199</v>
      </c>
      <c r="EB14" s="401" t="s">
        <v>1718</v>
      </c>
      <c r="EC14" s="401">
        <v>339</v>
      </c>
      <c r="ED14" s="401" t="s">
        <v>1718</v>
      </c>
      <c r="EE14" s="401">
        <v>283</v>
      </c>
      <c r="EF14" s="403" t="s">
        <v>1718</v>
      </c>
      <c r="EH14" s="155">
        <f t="shared" si="16"/>
        <v>1.4999999999999999E-2</v>
      </c>
      <c r="EI14" s="156">
        <f t="shared" si="19"/>
        <v>0.11990000000000001</v>
      </c>
    </row>
    <row r="15" spans="1:139" x14ac:dyDescent="0.2">
      <c r="A15" s="150">
        <v>16</v>
      </c>
      <c r="B15" s="151" t="s">
        <v>162</v>
      </c>
      <c r="C15" s="152">
        <v>82.92</v>
      </c>
      <c r="D15" s="152">
        <v>226.3</v>
      </c>
      <c r="E15" s="151">
        <v>496</v>
      </c>
      <c r="F15" s="151" t="s">
        <v>1718</v>
      </c>
      <c r="G15" s="151">
        <v>135</v>
      </c>
      <c r="H15" s="151" t="s">
        <v>1718</v>
      </c>
      <c r="I15" s="151">
        <v>102</v>
      </c>
      <c r="J15" s="151" t="s">
        <v>1718</v>
      </c>
      <c r="L15" s="155">
        <f t="shared" si="1"/>
        <v>1.6E-2</v>
      </c>
      <c r="M15" s="156">
        <f t="shared" si="2"/>
        <v>4.9600000000000005E-2</v>
      </c>
      <c r="N15" s="275"/>
      <c r="O15" s="150">
        <v>16</v>
      </c>
      <c r="P15" s="151" t="s">
        <v>162</v>
      </c>
      <c r="Q15" s="152">
        <v>90.61</v>
      </c>
      <c r="R15" s="152">
        <v>191.6</v>
      </c>
      <c r="S15" s="151">
        <v>531</v>
      </c>
      <c r="T15" s="151" t="s">
        <v>1718</v>
      </c>
      <c r="U15" s="151">
        <v>148</v>
      </c>
      <c r="V15" s="151" t="s">
        <v>1718</v>
      </c>
      <c r="W15" s="151">
        <v>111</v>
      </c>
      <c r="X15" s="151" t="s">
        <v>1718</v>
      </c>
      <c r="Z15" s="155">
        <f t="shared" si="3"/>
        <v>1.6E-2</v>
      </c>
      <c r="AA15" s="156">
        <f t="shared" si="4"/>
        <v>5.3100000000000001E-2</v>
      </c>
      <c r="AB15" s="275"/>
      <c r="AC15" s="150">
        <v>16</v>
      </c>
      <c r="AD15" s="151" t="s">
        <v>162</v>
      </c>
      <c r="AE15" s="152">
        <v>62.39</v>
      </c>
      <c r="AF15" s="152">
        <v>7.2969999999999997</v>
      </c>
      <c r="AG15" s="151">
        <v>2456</v>
      </c>
      <c r="AH15" s="151" t="s">
        <v>1718</v>
      </c>
      <c r="AI15" s="151">
        <v>573</v>
      </c>
      <c r="AJ15" s="151" t="s">
        <v>1718</v>
      </c>
      <c r="AK15" s="151">
        <v>570</v>
      </c>
      <c r="AL15" s="151" t="s">
        <v>1718</v>
      </c>
      <c r="AN15" s="155">
        <f t="shared" si="5"/>
        <v>1.6E-2</v>
      </c>
      <c r="AO15" s="156">
        <f t="shared" si="6"/>
        <v>0.24560000000000001</v>
      </c>
      <c r="AP15" s="275"/>
      <c r="AQ15" s="150">
        <v>16</v>
      </c>
      <c r="AR15" s="151" t="s">
        <v>162</v>
      </c>
      <c r="AS15" s="152">
        <v>74.91</v>
      </c>
      <c r="AT15" s="152">
        <v>0.66320000000000001</v>
      </c>
      <c r="AU15" s="151">
        <v>2883</v>
      </c>
      <c r="AV15" s="151" t="s">
        <v>1718</v>
      </c>
      <c r="AW15" s="151">
        <v>470</v>
      </c>
      <c r="AX15" s="151" t="s">
        <v>1718</v>
      </c>
      <c r="AY15" s="151">
        <v>545</v>
      </c>
      <c r="AZ15" s="151" t="s">
        <v>1718</v>
      </c>
      <c r="BB15" s="155">
        <f t="shared" si="7"/>
        <v>1.6E-2</v>
      </c>
      <c r="BC15" s="156">
        <f t="shared" si="8"/>
        <v>0.2883</v>
      </c>
      <c r="BE15" s="150">
        <v>16</v>
      </c>
      <c r="BF15" s="151" t="s">
        <v>162</v>
      </c>
      <c r="BG15" s="152">
        <v>112.9</v>
      </c>
      <c r="BH15" s="152">
        <v>83.49</v>
      </c>
      <c r="BI15" s="151">
        <v>770</v>
      </c>
      <c r="BJ15" s="151" t="s">
        <v>1718</v>
      </c>
      <c r="BK15" s="151">
        <v>206</v>
      </c>
      <c r="BL15" s="151" t="s">
        <v>1718</v>
      </c>
      <c r="BM15" s="151">
        <v>161</v>
      </c>
      <c r="BN15" s="151" t="s">
        <v>1718</v>
      </c>
      <c r="BP15" s="155">
        <f t="shared" si="9"/>
        <v>1.6E-2</v>
      </c>
      <c r="BQ15" s="156">
        <f t="shared" si="10"/>
        <v>7.6999999999999999E-2</v>
      </c>
      <c r="BS15" s="150">
        <v>16</v>
      </c>
      <c r="BT15" s="151" t="s">
        <v>162</v>
      </c>
      <c r="BU15" s="152">
        <v>98.52</v>
      </c>
      <c r="BV15" s="152">
        <v>170</v>
      </c>
      <c r="BW15" s="151">
        <v>564</v>
      </c>
      <c r="BX15" s="151" t="s">
        <v>1718</v>
      </c>
      <c r="BY15" s="151">
        <v>152</v>
      </c>
      <c r="BZ15" s="151" t="s">
        <v>1718</v>
      </c>
      <c r="CA15" s="151">
        <v>115</v>
      </c>
      <c r="CB15" s="151" t="s">
        <v>1718</v>
      </c>
      <c r="CD15" s="155">
        <f t="shared" si="11"/>
        <v>1.6E-2</v>
      </c>
      <c r="CE15" s="156">
        <f t="shared" si="12"/>
        <v>5.6400000000000006E-2</v>
      </c>
      <c r="CG15" s="150">
        <v>16</v>
      </c>
      <c r="CH15" s="151" t="s">
        <v>162</v>
      </c>
      <c r="CI15" s="152">
        <v>83.91</v>
      </c>
      <c r="CJ15" s="152">
        <v>204.1</v>
      </c>
      <c r="CK15" s="151">
        <v>531</v>
      </c>
      <c r="CL15" s="151" t="s">
        <v>1718</v>
      </c>
      <c r="CM15" s="151">
        <v>141</v>
      </c>
      <c r="CN15" s="151" t="s">
        <v>1718</v>
      </c>
      <c r="CO15" s="151">
        <v>107</v>
      </c>
      <c r="CP15" s="151" t="s">
        <v>1718</v>
      </c>
      <c r="CR15" s="155">
        <f t="shared" si="0"/>
        <v>1.6E-2</v>
      </c>
      <c r="CS15" s="156">
        <f t="shared" si="13"/>
        <v>5.3100000000000001E-2</v>
      </c>
      <c r="CU15" s="151">
        <v>16</v>
      </c>
      <c r="CV15" s="152" t="s">
        <v>162</v>
      </c>
      <c r="CW15" s="152">
        <v>121.5</v>
      </c>
      <c r="CX15" s="152">
        <v>442.3</v>
      </c>
      <c r="CY15" s="151">
        <v>329</v>
      </c>
      <c r="CZ15" s="151" t="s">
        <v>1718</v>
      </c>
      <c r="DA15" s="151">
        <v>77</v>
      </c>
      <c r="DB15" s="151" t="s">
        <v>1718</v>
      </c>
      <c r="DC15" s="151">
        <v>62</v>
      </c>
      <c r="DD15" t="s">
        <v>1718</v>
      </c>
      <c r="DF15" s="155">
        <f t="shared" si="14"/>
        <v>1.6E-2</v>
      </c>
      <c r="DG15" s="156">
        <f t="shared" si="17"/>
        <v>3.2899999999999999E-2</v>
      </c>
      <c r="DI15" s="151">
        <v>16</v>
      </c>
      <c r="DJ15" s="152" t="s">
        <v>162</v>
      </c>
      <c r="DK15" s="152">
        <v>130</v>
      </c>
      <c r="DL15" s="152">
        <v>427.6</v>
      </c>
      <c r="DM15" s="151">
        <v>338</v>
      </c>
      <c r="DN15" s="151" t="s">
        <v>1718</v>
      </c>
      <c r="DO15" s="151">
        <v>75</v>
      </c>
      <c r="DP15" s="151" t="s">
        <v>1718</v>
      </c>
      <c r="DQ15" s="151">
        <v>62</v>
      </c>
      <c r="DR15" t="s">
        <v>1718</v>
      </c>
      <c r="DT15" s="155">
        <f t="shared" si="15"/>
        <v>1.6E-2</v>
      </c>
      <c r="DU15" s="156">
        <f t="shared" si="18"/>
        <v>3.3800000000000004E-2</v>
      </c>
      <c r="DW15" s="401">
        <v>16</v>
      </c>
      <c r="DX15" s="401" t="s">
        <v>162</v>
      </c>
      <c r="DY15" s="402">
        <v>77.09</v>
      </c>
      <c r="DZ15" s="402">
        <v>33.57</v>
      </c>
      <c r="EA15" s="401">
        <v>1278</v>
      </c>
      <c r="EB15" s="401" t="s">
        <v>1718</v>
      </c>
      <c r="EC15" s="401">
        <v>354</v>
      </c>
      <c r="ED15" s="401" t="s">
        <v>1718</v>
      </c>
      <c r="EE15" s="401">
        <v>298</v>
      </c>
      <c r="EF15" s="403" t="s">
        <v>1718</v>
      </c>
      <c r="EH15" s="155">
        <f t="shared" si="16"/>
        <v>1.6E-2</v>
      </c>
      <c r="EI15" s="156">
        <f t="shared" si="19"/>
        <v>0.1278</v>
      </c>
    </row>
    <row r="16" spans="1:139" x14ac:dyDescent="0.2">
      <c r="A16" s="150">
        <v>17</v>
      </c>
      <c r="B16" s="151" t="s">
        <v>162</v>
      </c>
      <c r="C16" s="152">
        <v>85.47</v>
      </c>
      <c r="D16" s="152">
        <v>223.8</v>
      </c>
      <c r="E16" s="151">
        <v>525</v>
      </c>
      <c r="F16" s="151" t="s">
        <v>1718</v>
      </c>
      <c r="G16" s="151">
        <v>141</v>
      </c>
      <c r="H16" s="151" t="s">
        <v>1718</v>
      </c>
      <c r="I16" s="151">
        <v>107</v>
      </c>
      <c r="J16" s="151" t="s">
        <v>1718</v>
      </c>
      <c r="L16" s="155">
        <f t="shared" si="1"/>
        <v>1.7000000000000001E-2</v>
      </c>
      <c r="M16" s="156">
        <f t="shared" si="2"/>
        <v>5.2500000000000005E-2</v>
      </c>
      <c r="N16" s="275"/>
      <c r="O16" s="150">
        <v>17</v>
      </c>
      <c r="P16" s="151" t="s">
        <v>162</v>
      </c>
      <c r="Q16" s="152">
        <v>93.39</v>
      </c>
      <c r="R16" s="152">
        <v>189</v>
      </c>
      <c r="S16" s="151">
        <v>563</v>
      </c>
      <c r="T16" s="151" t="s">
        <v>1718</v>
      </c>
      <c r="U16" s="151">
        <v>155</v>
      </c>
      <c r="V16" s="151" t="s">
        <v>1718</v>
      </c>
      <c r="W16" s="151">
        <v>117</v>
      </c>
      <c r="X16" s="151" t="s">
        <v>1718</v>
      </c>
      <c r="Z16" s="155">
        <f t="shared" si="3"/>
        <v>1.7000000000000001E-2</v>
      </c>
      <c r="AA16" s="156">
        <f t="shared" si="4"/>
        <v>5.6300000000000003E-2</v>
      </c>
      <c r="AB16" s="275"/>
      <c r="AC16" s="150">
        <v>17</v>
      </c>
      <c r="AD16" s="151" t="s">
        <v>162</v>
      </c>
      <c r="AE16" s="152">
        <v>64.36</v>
      </c>
      <c r="AF16" s="152">
        <v>7.0110000000000001</v>
      </c>
      <c r="AG16" s="151">
        <v>2585</v>
      </c>
      <c r="AH16" s="151" t="s">
        <v>1718</v>
      </c>
      <c r="AI16" s="151">
        <v>589</v>
      </c>
      <c r="AJ16" s="151" t="s">
        <v>1718</v>
      </c>
      <c r="AK16" s="151">
        <v>591</v>
      </c>
      <c r="AL16" s="151" t="s">
        <v>1718</v>
      </c>
      <c r="AN16" s="155">
        <f t="shared" si="5"/>
        <v>1.7000000000000001E-2</v>
      </c>
      <c r="AO16" s="156">
        <f t="shared" si="6"/>
        <v>0.25850000000000001</v>
      </c>
      <c r="AP16" s="275"/>
      <c r="AQ16" s="150">
        <v>17</v>
      </c>
      <c r="AR16" s="151" t="s">
        <v>162</v>
      </c>
      <c r="AS16" s="152">
        <v>76.73</v>
      </c>
      <c r="AT16" s="152">
        <v>0.63360000000000005</v>
      </c>
      <c r="AU16" s="151">
        <v>3009</v>
      </c>
      <c r="AV16" s="151" t="s">
        <v>1718</v>
      </c>
      <c r="AW16" s="151">
        <v>476</v>
      </c>
      <c r="AX16" s="151" t="s">
        <v>1718</v>
      </c>
      <c r="AY16" s="151">
        <v>556</v>
      </c>
      <c r="AZ16" s="151" t="s">
        <v>1718</v>
      </c>
      <c r="BB16" s="155">
        <f t="shared" si="7"/>
        <v>1.7000000000000001E-2</v>
      </c>
      <c r="BC16" s="156">
        <f t="shared" si="8"/>
        <v>0.3009</v>
      </c>
      <c r="BE16" s="150">
        <v>17</v>
      </c>
      <c r="BF16" s="151" t="s">
        <v>162</v>
      </c>
      <c r="BG16" s="152">
        <v>116.4</v>
      </c>
      <c r="BH16" s="152">
        <v>81.510000000000005</v>
      </c>
      <c r="BI16" s="151">
        <v>815</v>
      </c>
      <c r="BJ16" s="151" t="s">
        <v>1718</v>
      </c>
      <c r="BK16" s="151">
        <v>215</v>
      </c>
      <c r="BL16" s="151" t="s">
        <v>1718</v>
      </c>
      <c r="BM16" s="151">
        <v>169</v>
      </c>
      <c r="BN16" s="151" t="s">
        <v>1718</v>
      </c>
      <c r="BP16" s="155">
        <f t="shared" si="9"/>
        <v>1.7000000000000001E-2</v>
      </c>
      <c r="BQ16" s="156">
        <f t="shared" si="10"/>
        <v>8.1500000000000003E-2</v>
      </c>
      <c r="BS16" s="150">
        <v>17</v>
      </c>
      <c r="BT16" s="151" t="s">
        <v>162</v>
      </c>
      <c r="BU16" s="152">
        <v>101.6</v>
      </c>
      <c r="BV16" s="152">
        <v>167.5</v>
      </c>
      <c r="BW16" s="151">
        <v>597</v>
      </c>
      <c r="BX16" s="151" t="s">
        <v>1718</v>
      </c>
      <c r="BY16" s="151">
        <v>160</v>
      </c>
      <c r="BZ16" s="151" t="s">
        <v>1718</v>
      </c>
      <c r="CA16" s="151">
        <v>121</v>
      </c>
      <c r="CB16" s="151" t="s">
        <v>1718</v>
      </c>
      <c r="CD16" s="155">
        <f t="shared" si="11"/>
        <v>1.7000000000000001E-2</v>
      </c>
      <c r="CE16" s="156">
        <f t="shared" si="12"/>
        <v>5.9700000000000003E-2</v>
      </c>
      <c r="CG16" s="150">
        <v>17</v>
      </c>
      <c r="CH16" s="151" t="s">
        <v>162</v>
      </c>
      <c r="CI16" s="152">
        <v>86.49</v>
      </c>
      <c r="CJ16" s="152">
        <v>201.6</v>
      </c>
      <c r="CK16" s="151">
        <v>562</v>
      </c>
      <c r="CL16" s="151" t="s">
        <v>1718</v>
      </c>
      <c r="CM16" s="151">
        <v>148</v>
      </c>
      <c r="CN16" s="151" t="s">
        <v>1718</v>
      </c>
      <c r="CO16" s="151">
        <v>112</v>
      </c>
      <c r="CP16" s="151" t="s">
        <v>1718</v>
      </c>
      <c r="CR16" s="155">
        <f t="shared" si="0"/>
        <v>1.7000000000000001E-2</v>
      </c>
      <c r="CS16" s="156">
        <f t="shared" si="13"/>
        <v>5.62E-2</v>
      </c>
      <c r="CU16" s="151">
        <v>17</v>
      </c>
      <c r="CV16" s="152" t="s">
        <v>162</v>
      </c>
      <c r="CW16" s="152">
        <v>125.2</v>
      </c>
      <c r="CX16" s="152">
        <v>442.6</v>
      </c>
      <c r="CY16" s="151">
        <v>345</v>
      </c>
      <c r="CZ16" s="151" t="s">
        <v>1718</v>
      </c>
      <c r="DA16" s="151">
        <v>80</v>
      </c>
      <c r="DB16" s="151" t="s">
        <v>1718</v>
      </c>
      <c r="DC16" s="151">
        <v>65</v>
      </c>
      <c r="DD16" t="s">
        <v>1718</v>
      </c>
      <c r="DF16" s="155">
        <f t="shared" si="14"/>
        <v>1.7000000000000001E-2</v>
      </c>
      <c r="DG16" s="156">
        <f t="shared" si="17"/>
        <v>3.4500000000000003E-2</v>
      </c>
      <c r="DI16" s="151">
        <v>17</v>
      </c>
      <c r="DJ16" s="152" t="s">
        <v>162</v>
      </c>
      <c r="DK16" s="152">
        <v>134</v>
      </c>
      <c r="DL16" s="152">
        <v>427.9</v>
      </c>
      <c r="DM16" s="151">
        <v>355</v>
      </c>
      <c r="DN16" s="151" t="s">
        <v>1718</v>
      </c>
      <c r="DO16" s="151">
        <v>78</v>
      </c>
      <c r="DP16" s="151" t="s">
        <v>1718</v>
      </c>
      <c r="DQ16" s="151">
        <v>64</v>
      </c>
      <c r="DR16" t="s">
        <v>1718</v>
      </c>
      <c r="DT16" s="155">
        <f t="shared" si="15"/>
        <v>1.7000000000000001E-2</v>
      </c>
      <c r="DU16" s="156">
        <f t="shared" si="18"/>
        <v>3.5500000000000004E-2</v>
      </c>
      <c r="DW16" s="401">
        <v>17</v>
      </c>
      <c r="DX16" s="401" t="s">
        <v>162</v>
      </c>
      <c r="DY16" s="402">
        <v>78.05</v>
      </c>
      <c r="DZ16" s="402">
        <v>32.51</v>
      </c>
      <c r="EA16" s="401">
        <v>1357</v>
      </c>
      <c r="EB16" s="401" t="s">
        <v>1718</v>
      </c>
      <c r="EC16" s="401">
        <v>369</v>
      </c>
      <c r="ED16" s="401" t="s">
        <v>1718</v>
      </c>
      <c r="EE16" s="401">
        <v>313</v>
      </c>
      <c r="EF16" s="403" t="s">
        <v>1718</v>
      </c>
      <c r="EH16" s="155">
        <f t="shared" si="16"/>
        <v>1.7000000000000001E-2</v>
      </c>
      <c r="EI16" s="156">
        <f t="shared" si="19"/>
        <v>0.13570000000000002</v>
      </c>
    </row>
    <row r="17" spans="1:139" x14ac:dyDescent="0.2">
      <c r="A17" s="150">
        <v>18</v>
      </c>
      <c r="B17" s="151" t="s">
        <v>162</v>
      </c>
      <c r="C17" s="152">
        <v>87.95</v>
      </c>
      <c r="D17" s="152">
        <v>221.3</v>
      </c>
      <c r="E17" s="151">
        <v>553</v>
      </c>
      <c r="F17" s="151" t="s">
        <v>1718</v>
      </c>
      <c r="G17" s="151">
        <v>147</v>
      </c>
      <c r="H17" s="151" t="s">
        <v>1718</v>
      </c>
      <c r="I17" s="151">
        <v>112</v>
      </c>
      <c r="J17" s="151" t="s">
        <v>1718</v>
      </c>
      <c r="L17" s="155">
        <f t="shared" si="1"/>
        <v>1.8000000000000002E-2</v>
      </c>
      <c r="M17" s="156">
        <f t="shared" si="2"/>
        <v>5.5300000000000002E-2</v>
      </c>
      <c r="N17" s="275"/>
      <c r="O17" s="150">
        <v>18</v>
      </c>
      <c r="P17" s="151" t="s">
        <v>162</v>
      </c>
      <c r="Q17" s="152">
        <v>96.1</v>
      </c>
      <c r="R17" s="152">
        <v>186.5</v>
      </c>
      <c r="S17" s="151">
        <v>594</v>
      </c>
      <c r="T17" s="151" t="s">
        <v>1718</v>
      </c>
      <c r="U17" s="151">
        <v>162</v>
      </c>
      <c r="V17" s="151" t="s">
        <v>1718</v>
      </c>
      <c r="W17" s="151">
        <v>122</v>
      </c>
      <c r="X17" s="151" t="s">
        <v>1718</v>
      </c>
      <c r="Z17" s="155">
        <f t="shared" si="3"/>
        <v>1.8000000000000002E-2</v>
      </c>
      <c r="AA17" s="156">
        <f t="shared" si="4"/>
        <v>5.9400000000000001E-2</v>
      </c>
      <c r="AB17" s="275"/>
      <c r="AC17" s="150">
        <v>18</v>
      </c>
      <c r="AD17" s="151" t="s">
        <v>162</v>
      </c>
      <c r="AE17" s="152">
        <v>66.27</v>
      </c>
      <c r="AF17" s="152">
        <v>6.75</v>
      </c>
      <c r="AG17" s="151">
        <v>2712</v>
      </c>
      <c r="AH17" s="151" t="s">
        <v>1718</v>
      </c>
      <c r="AI17" s="151">
        <v>603</v>
      </c>
      <c r="AJ17" s="151" t="s">
        <v>1718</v>
      </c>
      <c r="AK17" s="151">
        <v>611</v>
      </c>
      <c r="AL17" s="151" t="s">
        <v>1718</v>
      </c>
      <c r="AN17" s="155">
        <f t="shared" si="5"/>
        <v>1.8000000000000002E-2</v>
      </c>
      <c r="AO17" s="156">
        <f t="shared" si="6"/>
        <v>0.2712</v>
      </c>
      <c r="AP17" s="275"/>
      <c r="AQ17" s="150">
        <v>18</v>
      </c>
      <c r="AR17" s="151" t="s">
        <v>162</v>
      </c>
      <c r="AS17" s="152">
        <v>78.45</v>
      </c>
      <c r="AT17" s="152">
        <v>0.60680000000000001</v>
      </c>
      <c r="AU17" s="151">
        <v>3132</v>
      </c>
      <c r="AV17" s="151" t="s">
        <v>1718</v>
      </c>
      <c r="AW17" s="151">
        <v>482</v>
      </c>
      <c r="AX17" s="151" t="s">
        <v>1718</v>
      </c>
      <c r="AY17" s="151">
        <v>566</v>
      </c>
      <c r="AZ17" s="151" t="s">
        <v>1718</v>
      </c>
      <c r="BB17" s="155">
        <f t="shared" si="7"/>
        <v>1.8000000000000002E-2</v>
      </c>
      <c r="BC17" s="156">
        <f t="shared" si="8"/>
        <v>0.31320000000000003</v>
      </c>
      <c r="BE17" s="150">
        <v>18</v>
      </c>
      <c r="BF17" s="151" t="s">
        <v>162</v>
      </c>
      <c r="BG17" s="152">
        <v>119.8</v>
      </c>
      <c r="BH17" s="152">
        <v>79.63</v>
      </c>
      <c r="BI17" s="151">
        <v>860</v>
      </c>
      <c r="BJ17" s="151" t="s">
        <v>1718</v>
      </c>
      <c r="BK17" s="151">
        <v>223</v>
      </c>
      <c r="BL17" s="151" t="s">
        <v>1718</v>
      </c>
      <c r="BM17" s="151">
        <v>177</v>
      </c>
      <c r="BN17" s="151" t="s">
        <v>1718</v>
      </c>
      <c r="BP17" s="155">
        <f t="shared" si="9"/>
        <v>1.8000000000000002E-2</v>
      </c>
      <c r="BQ17" s="156">
        <f t="shared" si="10"/>
        <v>8.6000000000000007E-2</v>
      </c>
      <c r="BS17" s="150">
        <v>18</v>
      </c>
      <c r="BT17" s="151" t="s">
        <v>162</v>
      </c>
      <c r="BU17" s="152">
        <v>104.5</v>
      </c>
      <c r="BV17" s="152">
        <v>165</v>
      </c>
      <c r="BW17" s="151">
        <v>630</v>
      </c>
      <c r="BX17" s="151" t="s">
        <v>1718</v>
      </c>
      <c r="BY17" s="151">
        <v>167</v>
      </c>
      <c r="BZ17" s="151" t="s">
        <v>1718</v>
      </c>
      <c r="CA17" s="151">
        <v>127</v>
      </c>
      <c r="CB17" s="151" t="s">
        <v>1718</v>
      </c>
      <c r="CD17" s="155">
        <f t="shared" si="11"/>
        <v>1.8000000000000002E-2</v>
      </c>
      <c r="CE17" s="156">
        <f t="shared" si="12"/>
        <v>6.3E-2</v>
      </c>
      <c r="CG17" s="150">
        <v>18</v>
      </c>
      <c r="CH17" s="151" t="s">
        <v>162</v>
      </c>
      <c r="CI17" s="152">
        <v>89</v>
      </c>
      <c r="CJ17" s="152">
        <v>199.1</v>
      </c>
      <c r="CK17" s="151">
        <v>593</v>
      </c>
      <c r="CL17" s="151" t="s">
        <v>1718</v>
      </c>
      <c r="CM17" s="151">
        <v>155</v>
      </c>
      <c r="CN17" s="151" t="s">
        <v>1718</v>
      </c>
      <c r="CO17" s="151">
        <v>117</v>
      </c>
      <c r="CP17" s="151" t="s">
        <v>1718</v>
      </c>
      <c r="CR17" s="155">
        <f t="shared" si="0"/>
        <v>1.8000000000000002E-2</v>
      </c>
      <c r="CS17" s="156">
        <f t="shared" si="13"/>
        <v>5.9300000000000005E-2</v>
      </c>
      <c r="CU17" s="151">
        <v>18</v>
      </c>
      <c r="CV17" s="152" t="s">
        <v>162</v>
      </c>
      <c r="CW17" s="152">
        <v>128.9</v>
      </c>
      <c r="CX17" s="152">
        <v>442.7</v>
      </c>
      <c r="CY17" s="151">
        <v>361</v>
      </c>
      <c r="CZ17" s="151" t="s">
        <v>1718</v>
      </c>
      <c r="DA17" s="151">
        <v>83</v>
      </c>
      <c r="DB17" s="151" t="s">
        <v>1718</v>
      </c>
      <c r="DC17" s="151">
        <v>67</v>
      </c>
      <c r="DD17" t="s">
        <v>1718</v>
      </c>
      <c r="DF17" s="155">
        <f t="shared" si="14"/>
        <v>1.8000000000000002E-2</v>
      </c>
      <c r="DG17" s="156">
        <f t="shared" si="17"/>
        <v>3.61E-2</v>
      </c>
      <c r="DI17" s="151">
        <v>18</v>
      </c>
      <c r="DJ17" s="152" t="s">
        <v>162</v>
      </c>
      <c r="DK17" s="152">
        <v>137.9</v>
      </c>
      <c r="DL17" s="152">
        <v>428</v>
      </c>
      <c r="DM17" s="151">
        <v>371</v>
      </c>
      <c r="DN17" s="151" t="s">
        <v>1718</v>
      </c>
      <c r="DO17" s="151">
        <v>81</v>
      </c>
      <c r="DP17" s="151" t="s">
        <v>1718</v>
      </c>
      <c r="DQ17" s="151">
        <v>67</v>
      </c>
      <c r="DR17" t="s">
        <v>1718</v>
      </c>
      <c r="DT17" s="155">
        <f t="shared" si="15"/>
        <v>1.8000000000000002E-2</v>
      </c>
      <c r="DU17" s="156">
        <f t="shared" si="18"/>
        <v>3.7100000000000001E-2</v>
      </c>
      <c r="DW17" s="401">
        <v>18</v>
      </c>
      <c r="DX17" s="401" t="s">
        <v>162</v>
      </c>
      <c r="DY17" s="402">
        <v>79.23</v>
      </c>
      <c r="DZ17" s="402">
        <v>31.52</v>
      </c>
      <c r="EA17" s="401">
        <v>1437</v>
      </c>
      <c r="EB17" s="401" t="s">
        <v>1718</v>
      </c>
      <c r="EC17" s="401">
        <v>384</v>
      </c>
      <c r="ED17" s="401" t="s">
        <v>1718</v>
      </c>
      <c r="EE17" s="401">
        <v>328</v>
      </c>
      <c r="EF17" s="403" t="s">
        <v>1718</v>
      </c>
      <c r="EH17" s="155">
        <f t="shared" si="16"/>
        <v>1.8000000000000002E-2</v>
      </c>
      <c r="EI17" s="156">
        <f t="shared" si="19"/>
        <v>0.14369999999999999</v>
      </c>
    </row>
    <row r="18" spans="1:139" x14ac:dyDescent="0.2">
      <c r="A18" s="150">
        <v>20</v>
      </c>
      <c r="B18" s="151" t="s">
        <v>162</v>
      </c>
      <c r="C18" s="152">
        <v>92.7</v>
      </c>
      <c r="D18" s="152">
        <v>216.4</v>
      </c>
      <c r="E18" s="151">
        <v>611</v>
      </c>
      <c r="F18" s="151" t="s">
        <v>1718</v>
      </c>
      <c r="G18" s="151">
        <v>160</v>
      </c>
      <c r="H18" s="151" t="s">
        <v>1718</v>
      </c>
      <c r="I18" s="151">
        <v>121</v>
      </c>
      <c r="J18" s="151" t="s">
        <v>1718</v>
      </c>
      <c r="L18" s="155">
        <f t="shared" si="1"/>
        <v>0.02</v>
      </c>
      <c r="M18" s="156">
        <f t="shared" si="2"/>
        <v>6.1100000000000002E-2</v>
      </c>
      <c r="N18" s="275"/>
      <c r="O18" s="150">
        <v>20</v>
      </c>
      <c r="P18" s="151" t="s">
        <v>162</v>
      </c>
      <c r="Q18" s="152">
        <v>101.3</v>
      </c>
      <c r="R18" s="152">
        <v>181.5</v>
      </c>
      <c r="S18" s="151">
        <v>656</v>
      </c>
      <c r="T18" s="151" t="s">
        <v>1718</v>
      </c>
      <c r="U18" s="151">
        <v>176</v>
      </c>
      <c r="V18" s="151" t="s">
        <v>1718</v>
      </c>
      <c r="W18" s="151">
        <v>133</v>
      </c>
      <c r="X18" s="151" t="s">
        <v>1718</v>
      </c>
      <c r="Z18" s="155">
        <f t="shared" si="3"/>
        <v>0.02</v>
      </c>
      <c r="AA18" s="156">
        <f t="shared" si="4"/>
        <v>6.5600000000000006E-2</v>
      </c>
      <c r="AB18" s="275"/>
      <c r="AC18" s="150">
        <v>20</v>
      </c>
      <c r="AD18" s="151" t="s">
        <v>162</v>
      </c>
      <c r="AE18" s="152">
        <v>69.930000000000007</v>
      </c>
      <c r="AF18" s="152">
        <v>6.2880000000000003</v>
      </c>
      <c r="AG18" s="151">
        <v>2958</v>
      </c>
      <c r="AH18" s="151" t="s">
        <v>1718</v>
      </c>
      <c r="AI18" s="151">
        <v>630</v>
      </c>
      <c r="AJ18" s="151" t="s">
        <v>1718</v>
      </c>
      <c r="AK18" s="151">
        <v>648</v>
      </c>
      <c r="AL18" s="151" t="s">
        <v>1718</v>
      </c>
      <c r="AN18" s="155">
        <f t="shared" si="5"/>
        <v>0.02</v>
      </c>
      <c r="AO18" s="156">
        <f t="shared" si="6"/>
        <v>0.29580000000000001</v>
      </c>
      <c r="AP18" s="275"/>
      <c r="AQ18" s="150">
        <v>20</v>
      </c>
      <c r="AR18" s="151" t="s">
        <v>162</v>
      </c>
      <c r="AS18" s="152">
        <v>81.61</v>
      </c>
      <c r="AT18" s="152">
        <v>0.56000000000000005</v>
      </c>
      <c r="AU18" s="151">
        <v>3372</v>
      </c>
      <c r="AV18" s="151" t="s">
        <v>1718</v>
      </c>
      <c r="AW18" s="151">
        <v>493</v>
      </c>
      <c r="AX18" s="151" t="s">
        <v>1718</v>
      </c>
      <c r="AY18" s="151">
        <v>585</v>
      </c>
      <c r="AZ18" s="151" t="s">
        <v>1718</v>
      </c>
      <c r="BB18" s="155">
        <f t="shared" si="7"/>
        <v>0.02</v>
      </c>
      <c r="BC18" s="156">
        <f t="shared" si="8"/>
        <v>0.3372</v>
      </c>
      <c r="BE18" s="150">
        <v>20</v>
      </c>
      <c r="BF18" s="151" t="s">
        <v>162</v>
      </c>
      <c r="BG18" s="152">
        <v>126.2</v>
      </c>
      <c r="BH18" s="152">
        <v>76.150000000000006</v>
      </c>
      <c r="BI18" s="151">
        <v>949</v>
      </c>
      <c r="BJ18" s="151" t="s">
        <v>1718</v>
      </c>
      <c r="BK18" s="151">
        <v>240</v>
      </c>
      <c r="BL18" s="151" t="s">
        <v>1718</v>
      </c>
      <c r="BM18" s="151">
        <v>192</v>
      </c>
      <c r="BN18" s="151" t="s">
        <v>1718</v>
      </c>
      <c r="BP18" s="155">
        <f t="shared" si="9"/>
        <v>0.02</v>
      </c>
      <c r="BQ18" s="156">
        <f t="shared" si="10"/>
        <v>9.4899999999999998E-2</v>
      </c>
      <c r="BS18" s="150">
        <v>20</v>
      </c>
      <c r="BT18" s="151" t="s">
        <v>162</v>
      </c>
      <c r="BU18" s="152">
        <v>110.1</v>
      </c>
      <c r="BV18" s="152">
        <v>160.19999999999999</v>
      </c>
      <c r="BW18" s="151">
        <v>696</v>
      </c>
      <c r="BX18" s="151" t="s">
        <v>1718</v>
      </c>
      <c r="BY18" s="151">
        <v>181</v>
      </c>
      <c r="BZ18" s="151" t="s">
        <v>1718</v>
      </c>
      <c r="CA18" s="151">
        <v>138</v>
      </c>
      <c r="CB18" s="151" t="s">
        <v>1718</v>
      </c>
      <c r="CD18" s="155">
        <f t="shared" si="11"/>
        <v>0.02</v>
      </c>
      <c r="CE18" s="156">
        <f t="shared" si="12"/>
        <v>6.9600000000000009E-2</v>
      </c>
      <c r="CG18" s="150">
        <v>20</v>
      </c>
      <c r="CH18" s="151" t="s">
        <v>162</v>
      </c>
      <c r="CI18" s="152">
        <v>93.82</v>
      </c>
      <c r="CJ18" s="152">
        <v>194.3</v>
      </c>
      <c r="CK18" s="151">
        <v>655</v>
      </c>
      <c r="CL18" s="151" t="s">
        <v>1718</v>
      </c>
      <c r="CM18" s="151">
        <v>168</v>
      </c>
      <c r="CN18" s="151" t="s">
        <v>1718</v>
      </c>
      <c r="CO18" s="151">
        <v>128</v>
      </c>
      <c r="CP18" s="151" t="s">
        <v>1718</v>
      </c>
      <c r="CR18" s="155">
        <f t="shared" si="0"/>
        <v>0.02</v>
      </c>
      <c r="CS18" s="156">
        <f t="shared" si="13"/>
        <v>6.5500000000000003E-2</v>
      </c>
      <c r="CU18" s="151">
        <v>20</v>
      </c>
      <c r="CV18" s="152" t="s">
        <v>162</v>
      </c>
      <c r="CW18" s="152">
        <v>135.80000000000001</v>
      </c>
      <c r="CX18" s="152">
        <v>442.2</v>
      </c>
      <c r="CY18" s="151">
        <v>393</v>
      </c>
      <c r="CZ18" s="151" t="s">
        <v>1718</v>
      </c>
      <c r="DA18" s="151">
        <v>89</v>
      </c>
      <c r="DB18" s="151" t="s">
        <v>1718</v>
      </c>
      <c r="DC18" s="151">
        <v>72</v>
      </c>
      <c r="DD18" t="s">
        <v>1718</v>
      </c>
      <c r="DF18" s="155">
        <f t="shared" si="14"/>
        <v>0.02</v>
      </c>
      <c r="DG18" s="156">
        <f t="shared" si="17"/>
        <v>3.9300000000000002E-2</v>
      </c>
      <c r="DI18" s="151">
        <v>20</v>
      </c>
      <c r="DJ18" s="152" t="s">
        <v>162</v>
      </c>
      <c r="DK18" s="152">
        <v>145.4</v>
      </c>
      <c r="DL18" s="152">
        <v>427.5</v>
      </c>
      <c r="DM18" s="151">
        <v>403</v>
      </c>
      <c r="DN18" s="151" t="s">
        <v>1718</v>
      </c>
      <c r="DO18" s="151">
        <v>87</v>
      </c>
      <c r="DP18" s="151" t="s">
        <v>1718</v>
      </c>
      <c r="DQ18" s="151">
        <v>72</v>
      </c>
      <c r="DR18" t="s">
        <v>1718</v>
      </c>
      <c r="DT18" s="155">
        <f t="shared" si="15"/>
        <v>0.02</v>
      </c>
      <c r="DU18" s="156">
        <f t="shared" si="18"/>
        <v>4.0300000000000002E-2</v>
      </c>
      <c r="DW18" s="401">
        <v>20</v>
      </c>
      <c r="DX18" s="401" t="s">
        <v>162</v>
      </c>
      <c r="DY18" s="402">
        <v>82.02</v>
      </c>
      <c r="DZ18" s="402">
        <v>29.75</v>
      </c>
      <c r="EA18" s="401">
        <v>1596</v>
      </c>
      <c r="EB18" s="401" t="s">
        <v>1718</v>
      </c>
      <c r="EC18" s="401">
        <v>412</v>
      </c>
      <c r="ED18" s="401" t="s">
        <v>1718</v>
      </c>
      <c r="EE18" s="401">
        <v>357</v>
      </c>
      <c r="EF18" s="403" t="s">
        <v>1718</v>
      </c>
      <c r="EH18" s="155">
        <f t="shared" si="16"/>
        <v>0.02</v>
      </c>
      <c r="EI18" s="156">
        <f t="shared" si="19"/>
        <v>0.15960000000000002</v>
      </c>
    </row>
    <row r="19" spans="1:139" x14ac:dyDescent="0.2">
      <c r="A19" s="150">
        <v>22.5</v>
      </c>
      <c r="B19" s="151" t="s">
        <v>162</v>
      </c>
      <c r="C19" s="152">
        <v>98.33</v>
      </c>
      <c r="D19" s="152">
        <v>210.5</v>
      </c>
      <c r="E19" s="151">
        <v>683</v>
      </c>
      <c r="F19" s="151" t="s">
        <v>1718</v>
      </c>
      <c r="G19" s="151">
        <v>176</v>
      </c>
      <c r="H19" s="151" t="s">
        <v>1718</v>
      </c>
      <c r="I19" s="151">
        <v>133</v>
      </c>
      <c r="J19" s="151" t="s">
        <v>1718</v>
      </c>
      <c r="L19" s="155">
        <f t="shared" si="1"/>
        <v>2.2499999999999999E-2</v>
      </c>
      <c r="M19" s="156">
        <f t="shared" si="2"/>
        <v>6.83E-2</v>
      </c>
      <c r="N19" s="275"/>
      <c r="O19" s="150">
        <v>22.5</v>
      </c>
      <c r="P19" s="151" t="s">
        <v>162</v>
      </c>
      <c r="Q19" s="152">
        <v>107.4</v>
      </c>
      <c r="R19" s="152">
        <v>175.6</v>
      </c>
      <c r="S19" s="151">
        <v>735</v>
      </c>
      <c r="T19" s="151" t="s">
        <v>1718</v>
      </c>
      <c r="U19" s="151">
        <v>193</v>
      </c>
      <c r="V19" s="151" t="s">
        <v>1718</v>
      </c>
      <c r="W19" s="151">
        <v>146</v>
      </c>
      <c r="X19" s="151" t="s">
        <v>1718</v>
      </c>
      <c r="Z19" s="155">
        <f t="shared" si="3"/>
        <v>2.2499999999999999E-2</v>
      </c>
      <c r="AA19" s="156">
        <f t="shared" si="4"/>
        <v>7.350000000000001E-2</v>
      </c>
      <c r="AB19" s="275"/>
      <c r="AC19" s="150">
        <v>22.5</v>
      </c>
      <c r="AD19" s="151" t="s">
        <v>162</v>
      </c>
      <c r="AE19" s="152">
        <v>74.25</v>
      </c>
      <c r="AF19" s="152">
        <v>5.8029999999999999</v>
      </c>
      <c r="AG19" s="151">
        <v>3254</v>
      </c>
      <c r="AH19" s="151" t="s">
        <v>1718</v>
      </c>
      <c r="AI19" s="151">
        <v>659</v>
      </c>
      <c r="AJ19" s="151" t="s">
        <v>1718</v>
      </c>
      <c r="AK19" s="151">
        <v>689</v>
      </c>
      <c r="AL19" s="151" t="s">
        <v>1718</v>
      </c>
      <c r="AN19" s="155">
        <f t="shared" si="5"/>
        <v>2.2499999999999999E-2</v>
      </c>
      <c r="AO19" s="156">
        <f t="shared" si="6"/>
        <v>0.32540000000000002</v>
      </c>
      <c r="AP19" s="275"/>
      <c r="AQ19" s="150">
        <v>22.5</v>
      </c>
      <c r="AR19" s="151" t="s">
        <v>162</v>
      </c>
      <c r="AS19" s="152">
        <v>85.11</v>
      </c>
      <c r="AT19" s="152">
        <v>0.51160000000000005</v>
      </c>
      <c r="AU19" s="151">
        <v>3661</v>
      </c>
      <c r="AV19" s="151" t="s">
        <v>1718</v>
      </c>
      <c r="AW19" s="151">
        <v>505</v>
      </c>
      <c r="AX19" s="151" t="s">
        <v>1718</v>
      </c>
      <c r="AY19" s="151">
        <v>607</v>
      </c>
      <c r="AZ19" s="151" t="s">
        <v>1718</v>
      </c>
      <c r="BB19" s="155">
        <f t="shared" si="7"/>
        <v>2.2499999999999999E-2</v>
      </c>
      <c r="BC19" s="156">
        <f t="shared" si="8"/>
        <v>0.36610000000000004</v>
      </c>
      <c r="BE19" s="150">
        <v>22.5</v>
      </c>
      <c r="BF19" s="151" t="s">
        <v>162</v>
      </c>
      <c r="BG19" s="152">
        <v>133.9</v>
      </c>
      <c r="BH19" s="152">
        <v>72.290000000000006</v>
      </c>
      <c r="BI19" s="151">
        <v>1060</v>
      </c>
      <c r="BJ19" s="151" t="s">
        <v>1718</v>
      </c>
      <c r="BK19" s="151">
        <v>259</v>
      </c>
      <c r="BL19" s="151" t="s">
        <v>1718</v>
      </c>
      <c r="BM19" s="151">
        <v>210</v>
      </c>
      <c r="BN19" s="151" t="s">
        <v>1718</v>
      </c>
      <c r="BP19" s="155">
        <f t="shared" si="9"/>
        <v>2.2499999999999999E-2</v>
      </c>
      <c r="BQ19" s="156">
        <f t="shared" si="10"/>
        <v>0.10600000000000001</v>
      </c>
      <c r="BS19" s="150">
        <v>22.5</v>
      </c>
      <c r="BT19" s="151" t="s">
        <v>162</v>
      </c>
      <c r="BU19" s="152">
        <v>116.8</v>
      </c>
      <c r="BV19" s="152">
        <v>154.6</v>
      </c>
      <c r="BW19" s="151">
        <v>779</v>
      </c>
      <c r="BX19" s="151" t="s">
        <v>1718</v>
      </c>
      <c r="BY19" s="151">
        <v>197</v>
      </c>
      <c r="BZ19" s="151" t="s">
        <v>1718</v>
      </c>
      <c r="CA19" s="151">
        <v>151</v>
      </c>
      <c r="CB19" s="151" t="s">
        <v>1718</v>
      </c>
      <c r="CD19" s="155">
        <f t="shared" si="11"/>
        <v>2.2499999999999999E-2</v>
      </c>
      <c r="CE19" s="156">
        <f t="shared" si="12"/>
        <v>7.7899999999999997E-2</v>
      </c>
      <c r="CG19" s="150">
        <v>22.5</v>
      </c>
      <c r="CH19" s="151" t="s">
        <v>162</v>
      </c>
      <c r="CI19" s="152">
        <v>99.51</v>
      </c>
      <c r="CJ19" s="152">
        <v>188.5</v>
      </c>
      <c r="CK19" s="151">
        <v>733</v>
      </c>
      <c r="CL19" s="151" t="s">
        <v>1718</v>
      </c>
      <c r="CM19" s="151">
        <v>184</v>
      </c>
      <c r="CN19" s="151" t="s">
        <v>1718</v>
      </c>
      <c r="CO19" s="151">
        <v>140</v>
      </c>
      <c r="CP19" s="151" t="s">
        <v>1718</v>
      </c>
      <c r="CR19" s="155">
        <f t="shared" si="0"/>
        <v>2.2499999999999999E-2</v>
      </c>
      <c r="CS19" s="156">
        <f t="shared" si="13"/>
        <v>7.3300000000000004E-2</v>
      </c>
      <c r="CU19" s="151">
        <v>22.5</v>
      </c>
      <c r="CV19" s="152" t="s">
        <v>162</v>
      </c>
      <c r="CW19" s="152">
        <v>144.1</v>
      </c>
      <c r="CX19" s="152">
        <v>440.6</v>
      </c>
      <c r="CY19" s="151">
        <v>432</v>
      </c>
      <c r="CZ19" s="151" t="s">
        <v>1718</v>
      </c>
      <c r="DA19" s="151">
        <v>96</v>
      </c>
      <c r="DB19" s="151" t="s">
        <v>1718</v>
      </c>
      <c r="DC19" s="151">
        <v>78</v>
      </c>
      <c r="DD19" t="s">
        <v>1718</v>
      </c>
      <c r="DF19" s="155">
        <f t="shared" si="14"/>
        <v>2.2499999999999999E-2</v>
      </c>
      <c r="DG19" s="156">
        <f t="shared" si="17"/>
        <v>4.3200000000000002E-2</v>
      </c>
      <c r="DI19" s="151">
        <v>22.5</v>
      </c>
      <c r="DJ19" s="152" t="s">
        <v>162</v>
      </c>
      <c r="DK19" s="152">
        <v>154.19999999999999</v>
      </c>
      <c r="DL19" s="152">
        <v>426</v>
      </c>
      <c r="DM19" s="151">
        <v>443</v>
      </c>
      <c r="DN19" s="151" t="s">
        <v>1718</v>
      </c>
      <c r="DO19" s="151">
        <v>94</v>
      </c>
      <c r="DP19" s="151" t="s">
        <v>1718</v>
      </c>
      <c r="DQ19" s="151">
        <v>78</v>
      </c>
      <c r="DR19" t="s">
        <v>1718</v>
      </c>
      <c r="DT19" s="155">
        <f t="shared" si="15"/>
        <v>2.2499999999999999E-2</v>
      </c>
      <c r="DU19" s="156">
        <f t="shared" si="18"/>
        <v>4.4299999999999999E-2</v>
      </c>
      <c r="DW19" s="401">
        <v>22.5</v>
      </c>
      <c r="DX19" s="401" t="s">
        <v>162</v>
      </c>
      <c r="DY19" s="402">
        <v>86.05</v>
      </c>
      <c r="DZ19" s="402">
        <v>27.83</v>
      </c>
      <c r="EA19" s="401">
        <v>1794</v>
      </c>
      <c r="EB19" s="401" t="s">
        <v>1718</v>
      </c>
      <c r="EC19" s="401">
        <v>445</v>
      </c>
      <c r="ED19" s="401" t="s">
        <v>1718</v>
      </c>
      <c r="EE19" s="401">
        <v>392</v>
      </c>
      <c r="EF19" s="403" t="s">
        <v>1718</v>
      </c>
      <c r="EH19" s="155">
        <f t="shared" si="16"/>
        <v>2.2499999999999999E-2</v>
      </c>
      <c r="EI19" s="156">
        <f t="shared" si="19"/>
        <v>0.1794</v>
      </c>
    </row>
    <row r="20" spans="1:139" x14ac:dyDescent="0.2">
      <c r="A20" s="150">
        <v>25</v>
      </c>
      <c r="B20" s="151" t="s">
        <v>162</v>
      </c>
      <c r="C20" s="152">
        <v>103.6</v>
      </c>
      <c r="D20" s="152">
        <v>204.9</v>
      </c>
      <c r="E20" s="151">
        <v>756</v>
      </c>
      <c r="F20" s="151" t="s">
        <v>1718</v>
      </c>
      <c r="G20" s="151">
        <v>191</v>
      </c>
      <c r="H20" s="151" t="s">
        <v>1718</v>
      </c>
      <c r="I20" s="151">
        <v>145</v>
      </c>
      <c r="J20" s="151" t="s">
        <v>1718</v>
      </c>
      <c r="L20" s="155">
        <f t="shared" si="1"/>
        <v>2.5000000000000001E-2</v>
      </c>
      <c r="M20" s="156">
        <f t="shared" si="2"/>
        <v>7.5600000000000001E-2</v>
      </c>
      <c r="N20" s="275"/>
      <c r="O20" s="150">
        <v>25</v>
      </c>
      <c r="P20" s="151" t="s">
        <v>162</v>
      </c>
      <c r="Q20" s="152">
        <v>113.3</v>
      </c>
      <c r="R20" s="152">
        <v>170.1</v>
      </c>
      <c r="S20" s="151">
        <v>814</v>
      </c>
      <c r="T20" s="151" t="s">
        <v>1718</v>
      </c>
      <c r="U20" s="151">
        <v>210</v>
      </c>
      <c r="V20" s="151" t="s">
        <v>1718</v>
      </c>
      <c r="W20" s="151">
        <v>159</v>
      </c>
      <c r="X20" s="151" t="s">
        <v>1718</v>
      </c>
      <c r="Z20" s="155">
        <f t="shared" si="3"/>
        <v>2.5000000000000001E-2</v>
      </c>
      <c r="AA20" s="156">
        <f t="shared" si="4"/>
        <v>8.14E-2</v>
      </c>
      <c r="AB20" s="275"/>
      <c r="AC20" s="150">
        <v>25</v>
      </c>
      <c r="AD20" s="151" t="s">
        <v>162</v>
      </c>
      <c r="AE20" s="152">
        <v>78.31</v>
      </c>
      <c r="AF20" s="152">
        <v>5.3959999999999999</v>
      </c>
      <c r="AG20" s="151">
        <v>3538</v>
      </c>
      <c r="AH20" s="151" t="s">
        <v>1718</v>
      </c>
      <c r="AI20" s="151">
        <v>685</v>
      </c>
      <c r="AJ20" s="151" t="s">
        <v>1718</v>
      </c>
      <c r="AK20" s="151">
        <v>728</v>
      </c>
      <c r="AL20" s="151" t="s">
        <v>1718</v>
      </c>
      <c r="AN20" s="155">
        <f t="shared" si="5"/>
        <v>2.5000000000000001E-2</v>
      </c>
      <c r="AO20" s="156">
        <f t="shared" si="6"/>
        <v>0.3538</v>
      </c>
      <c r="AP20" s="275"/>
      <c r="AQ20" s="150">
        <v>25</v>
      </c>
      <c r="AR20" s="151" t="s">
        <v>162</v>
      </c>
      <c r="AS20" s="152">
        <v>88.16</v>
      </c>
      <c r="AT20" s="152">
        <v>0.47160000000000002</v>
      </c>
      <c r="AU20" s="151">
        <v>3941</v>
      </c>
      <c r="AV20" s="151" t="s">
        <v>1718</v>
      </c>
      <c r="AW20" s="151">
        <v>515</v>
      </c>
      <c r="AX20" s="151" t="s">
        <v>1718</v>
      </c>
      <c r="AY20" s="151">
        <v>626</v>
      </c>
      <c r="AZ20" s="151" t="s">
        <v>1718</v>
      </c>
      <c r="BB20" s="155">
        <f t="shared" si="7"/>
        <v>2.5000000000000001E-2</v>
      </c>
      <c r="BC20" s="156">
        <f t="shared" si="8"/>
        <v>0.39410000000000001</v>
      </c>
      <c r="BE20" s="150">
        <v>25</v>
      </c>
      <c r="BF20" s="151" t="s">
        <v>162</v>
      </c>
      <c r="BG20" s="152">
        <v>140.69999999999999</v>
      </c>
      <c r="BH20" s="152">
        <v>68.849999999999994</v>
      </c>
      <c r="BI20" s="151">
        <v>1169</v>
      </c>
      <c r="BJ20" s="151" t="s">
        <v>1718</v>
      </c>
      <c r="BK20" s="151">
        <v>277</v>
      </c>
      <c r="BL20" s="151" t="s">
        <v>1718</v>
      </c>
      <c r="BM20" s="151">
        <v>228</v>
      </c>
      <c r="BN20" s="151" t="s">
        <v>1718</v>
      </c>
      <c r="BP20" s="155">
        <f t="shared" si="9"/>
        <v>2.5000000000000001E-2</v>
      </c>
      <c r="BQ20" s="156">
        <f t="shared" si="10"/>
        <v>0.1169</v>
      </c>
      <c r="BS20" s="150">
        <v>25</v>
      </c>
      <c r="BT20" s="151" t="s">
        <v>162</v>
      </c>
      <c r="BU20" s="152">
        <v>123.1</v>
      </c>
      <c r="BV20" s="152">
        <v>149.4</v>
      </c>
      <c r="BW20" s="151">
        <v>862</v>
      </c>
      <c r="BX20" s="151" t="s">
        <v>1718</v>
      </c>
      <c r="BY20" s="151">
        <v>214</v>
      </c>
      <c r="BZ20" s="151" t="s">
        <v>1718</v>
      </c>
      <c r="CA20" s="151">
        <v>165</v>
      </c>
      <c r="CB20" s="151" t="s">
        <v>1718</v>
      </c>
      <c r="CD20" s="155">
        <f t="shared" si="11"/>
        <v>2.5000000000000001E-2</v>
      </c>
      <c r="CE20" s="156">
        <f t="shared" si="12"/>
        <v>8.6199999999999999E-2</v>
      </c>
      <c r="CG20" s="150">
        <v>25</v>
      </c>
      <c r="CH20" s="151" t="s">
        <v>162</v>
      </c>
      <c r="CI20" s="152">
        <v>104.9</v>
      </c>
      <c r="CJ20" s="152">
        <v>183.1</v>
      </c>
      <c r="CK20" s="151">
        <v>811</v>
      </c>
      <c r="CL20" s="151" t="s">
        <v>1718</v>
      </c>
      <c r="CM20" s="151">
        <v>200</v>
      </c>
      <c r="CN20" s="151" t="s">
        <v>1718</v>
      </c>
      <c r="CO20" s="151">
        <v>153</v>
      </c>
      <c r="CP20" s="151" t="s">
        <v>1718</v>
      </c>
      <c r="CR20" s="155">
        <f t="shared" si="0"/>
        <v>2.5000000000000001E-2</v>
      </c>
      <c r="CS20" s="156">
        <f t="shared" si="13"/>
        <v>8.1100000000000005E-2</v>
      </c>
      <c r="CU20" s="151">
        <v>25</v>
      </c>
      <c r="CV20" s="152" t="s">
        <v>162</v>
      </c>
      <c r="CW20" s="152">
        <v>151.9</v>
      </c>
      <c r="CX20" s="152">
        <v>438.3</v>
      </c>
      <c r="CY20" s="151">
        <v>471</v>
      </c>
      <c r="CZ20" s="151" t="s">
        <v>1718</v>
      </c>
      <c r="DA20" s="151">
        <v>104</v>
      </c>
      <c r="DB20" s="151" t="s">
        <v>1718</v>
      </c>
      <c r="DC20" s="151">
        <v>84</v>
      </c>
      <c r="DD20" t="s">
        <v>1718</v>
      </c>
      <c r="DF20" s="155">
        <f t="shared" si="14"/>
        <v>2.5000000000000001E-2</v>
      </c>
      <c r="DG20" s="156">
        <f t="shared" si="17"/>
        <v>4.7100000000000003E-2</v>
      </c>
      <c r="DI20" s="151">
        <v>25</v>
      </c>
      <c r="DJ20" s="152" t="s">
        <v>162</v>
      </c>
      <c r="DK20" s="152">
        <v>162.5</v>
      </c>
      <c r="DL20" s="152">
        <v>423.8</v>
      </c>
      <c r="DM20" s="151">
        <v>482</v>
      </c>
      <c r="DN20" s="151" t="s">
        <v>1718</v>
      </c>
      <c r="DO20" s="151">
        <v>101</v>
      </c>
      <c r="DP20" s="151" t="s">
        <v>1718</v>
      </c>
      <c r="DQ20" s="151">
        <v>83</v>
      </c>
      <c r="DR20" t="s">
        <v>1718</v>
      </c>
      <c r="DT20" s="155">
        <f t="shared" si="15"/>
        <v>2.5000000000000001E-2</v>
      </c>
      <c r="DU20" s="156">
        <f t="shared" si="18"/>
        <v>4.82E-2</v>
      </c>
      <c r="DW20" s="401">
        <v>25</v>
      </c>
      <c r="DX20" s="401" t="s">
        <v>162</v>
      </c>
      <c r="DY20" s="402">
        <v>90.41</v>
      </c>
      <c r="DZ20" s="402">
        <v>26.18</v>
      </c>
      <c r="EA20" s="401">
        <v>1989</v>
      </c>
      <c r="EB20" s="401" t="s">
        <v>1718</v>
      </c>
      <c r="EC20" s="401">
        <v>476</v>
      </c>
      <c r="ED20" s="401" t="s">
        <v>1718</v>
      </c>
      <c r="EE20" s="401">
        <v>426</v>
      </c>
      <c r="EF20" s="403" t="s">
        <v>1718</v>
      </c>
      <c r="EH20" s="155">
        <f t="shared" si="16"/>
        <v>2.5000000000000001E-2</v>
      </c>
      <c r="EI20" s="156">
        <f t="shared" si="19"/>
        <v>0.19890000000000002</v>
      </c>
    </row>
    <row r="21" spans="1:139" x14ac:dyDescent="0.2">
      <c r="A21" s="150">
        <v>27.5</v>
      </c>
      <c r="B21" s="151" t="s">
        <v>162</v>
      </c>
      <c r="C21" s="152">
        <v>108.7</v>
      </c>
      <c r="D21" s="152">
        <v>199.6</v>
      </c>
      <c r="E21" s="151">
        <v>829</v>
      </c>
      <c r="F21" s="151" t="s">
        <v>1718</v>
      </c>
      <c r="G21" s="151">
        <v>206</v>
      </c>
      <c r="H21" s="151" t="s">
        <v>1718</v>
      </c>
      <c r="I21" s="151">
        <v>157</v>
      </c>
      <c r="J21" s="151" t="s">
        <v>1718</v>
      </c>
      <c r="L21" s="155">
        <f t="shared" si="1"/>
        <v>2.75E-2</v>
      </c>
      <c r="M21" s="156">
        <f t="shared" si="2"/>
        <v>8.2900000000000001E-2</v>
      </c>
      <c r="N21" s="275"/>
      <c r="O21" s="150">
        <v>27.5</v>
      </c>
      <c r="P21" s="151" t="s">
        <v>162</v>
      </c>
      <c r="Q21" s="152">
        <v>118.8</v>
      </c>
      <c r="R21" s="152">
        <v>165</v>
      </c>
      <c r="S21" s="151">
        <v>893</v>
      </c>
      <c r="T21" s="151" t="s">
        <v>1718</v>
      </c>
      <c r="U21" s="151">
        <v>226</v>
      </c>
      <c r="V21" s="151" t="s">
        <v>1718</v>
      </c>
      <c r="W21" s="151">
        <v>172</v>
      </c>
      <c r="X21" s="151" t="s">
        <v>1718</v>
      </c>
      <c r="Z21" s="155">
        <f t="shared" si="3"/>
        <v>2.75E-2</v>
      </c>
      <c r="AA21" s="156">
        <f t="shared" si="4"/>
        <v>8.9300000000000004E-2</v>
      </c>
      <c r="AB21" s="275"/>
      <c r="AC21" s="150">
        <v>27.5</v>
      </c>
      <c r="AD21" s="151" t="s">
        <v>162</v>
      </c>
      <c r="AE21" s="152">
        <v>82.13</v>
      </c>
      <c r="AF21" s="152">
        <v>5.048</v>
      </c>
      <c r="AG21" s="151">
        <v>3812</v>
      </c>
      <c r="AH21" s="151" t="s">
        <v>1718</v>
      </c>
      <c r="AI21" s="151">
        <v>708</v>
      </c>
      <c r="AJ21" s="151" t="s">
        <v>1718</v>
      </c>
      <c r="AK21" s="151">
        <v>762</v>
      </c>
      <c r="AL21" s="151" t="s">
        <v>1718</v>
      </c>
      <c r="AN21" s="155">
        <f t="shared" si="5"/>
        <v>2.75E-2</v>
      </c>
      <c r="AO21" s="156">
        <f t="shared" si="6"/>
        <v>0.38120000000000004</v>
      </c>
      <c r="AP21" s="275"/>
      <c r="AQ21" s="150">
        <v>27.5</v>
      </c>
      <c r="AR21" s="151" t="s">
        <v>162</v>
      </c>
      <c r="AS21" s="152">
        <v>90.83</v>
      </c>
      <c r="AT21" s="152">
        <v>0.43790000000000001</v>
      </c>
      <c r="AU21" s="151">
        <v>4212</v>
      </c>
      <c r="AV21" s="151" t="s">
        <v>1718</v>
      </c>
      <c r="AW21" s="151">
        <v>525</v>
      </c>
      <c r="AX21" s="151" t="s">
        <v>1718</v>
      </c>
      <c r="AY21" s="151">
        <v>644</v>
      </c>
      <c r="AZ21" s="151" t="s">
        <v>1718</v>
      </c>
      <c r="BB21" s="155">
        <f t="shared" si="7"/>
        <v>2.75E-2</v>
      </c>
      <c r="BC21" s="156">
        <f t="shared" si="8"/>
        <v>0.42120000000000002</v>
      </c>
      <c r="BE21" s="150">
        <v>27.5</v>
      </c>
      <c r="BF21" s="151" t="s">
        <v>162</v>
      </c>
      <c r="BG21" s="152">
        <v>146.30000000000001</v>
      </c>
      <c r="BH21" s="152">
        <v>65.78</v>
      </c>
      <c r="BI21" s="151">
        <v>1277</v>
      </c>
      <c r="BJ21" s="151" t="s">
        <v>1718</v>
      </c>
      <c r="BK21" s="151">
        <v>294</v>
      </c>
      <c r="BL21" s="151" t="s">
        <v>1718</v>
      </c>
      <c r="BM21" s="151">
        <v>245</v>
      </c>
      <c r="BN21" s="151" t="s">
        <v>1718</v>
      </c>
      <c r="BP21" s="155">
        <f t="shared" si="9"/>
        <v>2.75E-2</v>
      </c>
      <c r="BQ21" s="156">
        <f t="shared" si="10"/>
        <v>0.12770000000000001</v>
      </c>
      <c r="BS21" s="150">
        <v>27.5</v>
      </c>
      <c r="BT21" s="151" t="s">
        <v>162</v>
      </c>
      <c r="BU21" s="152">
        <v>129.19999999999999</v>
      </c>
      <c r="BV21" s="152">
        <v>144.5</v>
      </c>
      <c r="BW21" s="151">
        <v>945</v>
      </c>
      <c r="BX21" s="151" t="s">
        <v>1718</v>
      </c>
      <c r="BY21" s="151">
        <v>229</v>
      </c>
      <c r="BZ21" s="151" t="s">
        <v>1718</v>
      </c>
      <c r="CA21" s="151">
        <v>178</v>
      </c>
      <c r="CB21" s="151" t="s">
        <v>1718</v>
      </c>
      <c r="CD21" s="155">
        <f t="shared" si="11"/>
        <v>2.75E-2</v>
      </c>
      <c r="CE21" s="156">
        <f t="shared" si="12"/>
        <v>9.4500000000000001E-2</v>
      </c>
      <c r="CG21" s="150">
        <v>27.5</v>
      </c>
      <c r="CH21" s="151" t="s">
        <v>162</v>
      </c>
      <c r="CI21" s="152">
        <v>110</v>
      </c>
      <c r="CJ21" s="152">
        <v>177.9</v>
      </c>
      <c r="CK21" s="151">
        <v>889</v>
      </c>
      <c r="CL21" s="151" t="s">
        <v>1718</v>
      </c>
      <c r="CM21" s="151">
        <v>215</v>
      </c>
      <c r="CN21" s="151" t="s">
        <v>1718</v>
      </c>
      <c r="CO21" s="151">
        <v>165</v>
      </c>
      <c r="CP21" s="151" t="s">
        <v>1718</v>
      </c>
      <c r="CR21" s="155">
        <f t="shared" si="0"/>
        <v>2.75E-2</v>
      </c>
      <c r="CS21" s="156">
        <f t="shared" si="13"/>
        <v>8.8900000000000007E-2</v>
      </c>
      <c r="CU21" s="151">
        <v>27.5</v>
      </c>
      <c r="CV21" s="152" t="s">
        <v>162</v>
      </c>
      <c r="CW21" s="152">
        <v>159.30000000000001</v>
      </c>
      <c r="CX21" s="152">
        <v>435.5</v>
      </c>
      <c r="CY21" s="151">
        <v>509</v>
      </c>
      <c r="CZ21" s="151" t="s">
        <v>1718</v>
      </c>
      <c r="DA21" s="151">
        <v>111</v>
      </c>
      <c r="DB21" s="151" t="s">
        <v>1718</v>
      </c>
      <c r="DC21" s="151">
        <v>90</v>
      </c>
      <c r="DD21" t="s">
        <v>1718</v>
      </c>
      <c r="DF21" s="155">
        <f t="shared" si="14"/>
        <v>2.75E-2</v>
      </c>
      <c r="DG21" s="156">
        <f t="shared" si="17"/>
        <v>5.0900000000000001E-2</v>
      </c>
      <c r="DI21" s="151">
        <v>27.5</v>
      </c>
      <c r="DJ21" s="152" t="s">
        <v>162</v>
      </c>
      <c r="DK21" s="152">
        <v>170.4</v>
      </c>
      <c r="DL21" s="152">
        <v>421.1</v>
      </c>
      <c r="DM21" s="151">
        <v>521</v>
      </c>
      <c r="DN21" s="151" t="s">
        <v>1718</v>
      </c>
      <c r="DO21" s="151">
        <v>108</v>
      </c>
      <c r="DP21" s="151" t="s">
        <v>1718</v>
      </c>
      <c r="DQ21" s="151">
        <v>89</v>
      </c>
      <c r="DR21" t="s">
        <v>1718</v>
      </c>
      <c r="DT21" s="155">
        <f t="shared" si="15"/>
        <v>2.75E-2</v>
      </c>
      <c r="DU21" s="156">
        <f t="shared" si="18"/>
        <v>5.21E-2</v>
      </c>
      <c r="DW21" s="401">
        <v>27.5</v>
      </c>
      <c r="DX21" s="401" t="s">
        <v>162</v>
      </c>
      <c r="DY21" s="402">
        <v>94.92</v>
      </c>
      <c r="DZ21" s="402">
        <v>24.75</v>
      </c>
      <c r="EA21" s="401">
        <v>2181</v>
      </c>
      <c r="EB21" s="401" t="s">
        <v>1718</v>
      </c>
      <c r="EC21" s="401">
        <v>504</v>
      </c>
      <c r="ED21" s="401" t="s">
        <v>1718</v>
      </c>
      <c r="EE21" s="401">
        <v>458</v>
      </c>
      <c r="EF21" s="403" t="s">
        <v>1718</v>
      </c>
      <c r="EH21" s="155">
        <f t="shared" si="16"/>
        <v>2.75E-2</v>
      </c>
      <c r="EI21" s="156">
        <f t="shared" si="19"/>
        <v>0.21810000000000002</v>
      </c>
    </row>
    <row r="22" spans="1:139" x14ac:dyDescent="0.2">
      <c r="A22" s="150">
        <v>30</v>
      </c>
      <c r="B22" s="151" t="s">
        <v>162</v>
      </c>
      <c r="C22" s="152">
        <v>113.5</v>
      </c>
      <c r="D22" s="152">
        <v>194.5</v>
      </c>
      <c r="E22" s="151">
        <v>902</v>
      </c>
      <c r="F22" s="151" t="s">
        <v>1718</v>
      </c>
      <c r="G22" s="151">
        <v>220</v>
      </c>
      <c r="H22" s="151" t="s">
        <v>1718</v>
      </c>
      <c r="I22" s="151">
        <v>169</v>
      </c>
      <c r="J22" s="151" t="s">
        <v>1718</v>
      </c>
      <c r="L22" s="155">
        <f t="shared" si="1"/>
        <v>0.03</v>
      </c>
      <c r="M22" s="156">
        <f t="shared" si="2"/>
        <v>9.0200000000000002E-2</v>
      </c>
      <c r="N22" s="275"/>
      <c r="O22" s="150">
        <v>30</v>
      </c>
      <c r="P22" s="151" t="s">
        <v>162</v>
      </c>
      <c r="Q22" s="152">
        <v>124.1</v>
      </c>
      <c r="R22" s="152">
        <v>160.19999999999999</v>
      </c>
      <c r="S22" s="151">
        <v>972</v>
      </c>
      <c r="T22" s="151" t="s">
        <v>1718</v>
      </c>
      <c r="U22" s="151">
        <v>241</v>
      </c>
      <c r="V22" s="151" t="s">
        <v>1718</v>
      </c>
      <c r="W22" s="151">
        <v>185</v>
      </c>
      <c r="X22" s="151" t="s">
        <v>1718</v>
      </c>
      <c r="Z22" s="155">
        <f t="shared" si="3"/>
        <v>0.03</v>
      </c>
      <c r="AA22" s="156">
        <f t="shared" si="4"/>
        <v>9.7200000000000009E-2</v>
      </c>
      <c r="AB22" s="275"/>
      <c r="AC22" s="150">
        <v>30</v>
      </c>
      <c r="AD22" s="151" t="s">
        <v>162</v>
      </c>
      <c r="AE22" s="152">
        <v>85.74</v>
      </c>
      <c r="AF22" s="152">
        <v>4.7469999999999999</v>
      </c>
      <c r="AG22" s="151">
        <v>4078</v>
      </c>
      <c r="AH22" s="151" t="s">
        <v>1718</v>
      </c>
      <c r="AI22" s="151">
        <v>729</v>
      </c>
      <c r="AJ22" s="151" t="s">
        <v>1718</v>
      </c>
      <c r="AK22" s="151">
        <v>794</v>
      </c>
      <c r="AL22" s="151" t="s">
        <v>1718</v>
      </c>
      <c r="AN22" s="155">
        <f t="shared" si="5"/>
        <v>0.03</v>
      </c>
      <c r="AO22" s="156">
        <f t="shared" si="6"/>
        <v>0.4078</v>
      </c>
      <c r="AP22" s="275"/>
      <c r="AQ22" s="150">
        <v>30</v>
      </c>
      <c r="AR22" s="151" t="s">
        <v>162</v>
      </c>
      <c r="AS22" s="152">
        <v>93.16</v>
      </c>
      <c r="AT22" s="152">
        <v>0.40910000000000002</v>
      </c>
      <c r="AU22" s="151">
        <v>4477</v>
      </c>
      <c r="AV22" s="151" t="s">
        <v>1718</v>
      </c>
      <c r="AW22" s="151">
        <v>533</v>
      </c>
      <c r="AX22" s="151" t="s">
        <v>1718</v>
      </c>
      <c r="AY22" s="151">
        <v>660</v>
      </c>
      <c r="AZ22" s="151" t="s">
        <v>1718</v>
      </c>
      <c r="BB22" s="155">
        <f t="shared" si="7"/>
        <v>0.03</v>
      </c>
      <c r="BC22" s="156">
        <f t="shared" si="8"/>
        <v>0.44770000000000004</v>
      </c>
      <c r="BE22" s="150">
        <v>30</v>
      </c>
      <c r="BF22" s="151" t="s">
        <v>162</v>
      </c>
      <c r="BG22" s="152">
        <v>151.4</v>
      </c>
      <c r="BH22" s="152">
        <v>63.02</v>
      </c>
      <c r="BI22" s="151">
        <v>1384</v>
      </c>
      <c r="BJ22" s="151" t="s">
        <v>1718</v>
      </c>
      <c r="BK22" s="151">
        <v>310</v>
      </c>
      <c r="BL22" s="151" t="s">
        <v>1718</v>
      </c>
      <c r="BM22" s="151">
        <v>261</v>
      </c>
      <c r="BN22" s="151" t="s">
        <v>1718</v>
      </c>
      <c r="BP22" s="155">
        <f t="shared" si="9"/>
        <v>0.03</v>
      </c>
      <c r="BQ22" s="156">
        <f t="shared" si="10"/>
        <v>0.1384</v>
      </c>
      <c r="BS22" s="150">
        <v>30</v>
      </c>
      <c r="BT22" s="151" t="s">
        <v>162</v>
      </c>
      <c r="BU22" s="152">
        <v>134.9</v>
      </c>
      <c r="BV22" s="152">
        <v>140.1</v>
      </c>
      <c r="BW22" s="151">
        <v>1027</v>
      </c>
      <c r="BX22" s="151" t="s">
        <v>1718</v>
      </c>
      <c r="BY22" s="151">
        <v>245</v>
      </c>
      <c r="BZ22" s="151" t="s">
        <v>1718</v>
      </c>
      <c r="CA22" s="151">
        <v>191</v>
      </c>
      <c r="CB22" s="151" t="s">
        <v>1718</v>
      </c>
      <c r="CD22" s="155">
        <f t="shared" si="11"/>
        <v>0.03</v>
      </c>
      <c r="CE22" s="156">
        <f t="shared" si="12"/>
        <v>0.1027</v>
      </c>
      <c r="CG22" s="150">
        <v>30</v>
      </c>
      <c r="CH22" s="151" t="s">
        <v>162</v>
      </c>
      <c r="CI22" s="152">
        <v>114.9</v>
      </c>
      <c r="CJ22" s="152">
        <v>173.1</v>
      </c>
      <c r="CK22" s="151">
        <v>968</v>
      </c>
      <c r="CL22" s="151" t="s">
        <v>1718</v>
      </c>
      <c r="CM22" s="151">
        <v>231</v>
      </c>
      <c r="CN22" s="151" t="s">
        <v>1718</v>
      </c>
      <c r="CO22" s="151">
        <v>178</v>
      </c>
      <c r="CP22" s="151" t="s">
        <v>1718</v>
      </c>
      <c r="CR22" s="155">
        <f t="shared" si="0"/>
        <v>0.03</v>
      </c>
      <c r="CS22" s="156">
        <f t="shared" si="13"/>
        <v>9.6800000000000011E-2</v>
      </c>
      <c r="CU22" s="151">
        <v>30</v>
      </c>
      <c r="CV22" s="152" t="s">
        <v>162</v>
      </c>
      <c r="CW22" s="152">
        <v>166.4</v>
      </c>
      <c r="CX22" s="152">
        <v>432.3</v>
      </c>
      <c r="CY22" s="151">
        <v>548</v>
      </c>
      <c r="CZ22" s="151" t="s">
        <v>1718</v>
      </c>
      <c r="DA22" s="151">
        <v>118</v>
      </c>
      <c r="DB22" s="151" t="s">
        <v>1718</v>
      </c>
      <c r="DC22" s="151">
        <v>96</v>
      </c>
      <c r="DD22" t="s">
        <v>1718</v>
      </c>
      <c r="DF22" s="155">
        <f t="shared" si="14"/>
        <v>0.03</v>
      </c>
      <c r="DG22" s="156">
        <f t="shared" si="17"/>
        <v>5.4800000000000001E-2</v>
      </c>
      <c r="DI22" s="151">
        <v>30</v>
      </c>
      <c r="DJ22" s="152" t="s">
        <v>162</v>
      </c>
      <c r="DK22" s="152">
        <v>178</v>
      </c>
      <c r="DL22" s="152">
        <v>418</v>
      </c>
      <c r="DM22" s="151">
        <v>560</v>
      </c>
      <c r="DN22" s="151" t="s">
        <v>1718</v>
      </c>
      <c r="DO22" s="151">
        <v>115</v>
      </c>
      <c r="DP22" s="151" t="s">
        <v>1718</v>
      </c>
      <c r="DQ22" s="151">
        <v>95</v>
      </c>
      <c r="DR22" t="s">
        <v>1718</v>
      </c>
      <c r="DT22" s="155">
        <f t="shared" si="15"/>
        <v>0.03</v>
      </c>
      <c r="DU22" s="156">
        <f t="shared" si="18"/>
        <v>5.6000000000000001E-2</v>
      </c>
      <c r="DW22" s="401">
        <v>30</v>
      </c>
      <c r="DX22" s="401" t="s">
        <v>162</v>
      </c>
      <c r="DY22" s="402">
        <v>99.46</v>
      </c>
      <c r="DZ22" s="402">
        <v>23.48</v>
      </c>
      <c r="EA22" s="401">
        <v>2368</v>
      </c>
      <c r="EB22" s="401" t="s">
        <v>1718</v>
      </c>
      <c r="EC22" s="401">
        <v>531</v>
      </c>
      <c r="ED22" s="401" t="s">
        <v>1718</v>
      </c>
      <c r="EE22" s="401">
        <v>489</v>
      </c>
      <c r="EF22" s="403" t="s">
        <v>1718</v>
      </c>
      <c r="EH22" s="155">
        <f t="shared" si="16"/>
        <v>0.03</v>
      </c>
      <c r="EI22" s="156">
        <f t="shared" si="19"/>
        <v>0.23680000000000001</v>
      </c>
    </row>
    <row r="23" spans="1:139" x14ac:dyDescent="0.2">
      <c r="A23" s="150">
        <v>32.5</v>
      </c>
      <c r="B23" s="151" t="s">
        <v>162</v>
      </c>
      <c r="C23" s="152">
        <v>118.2</v>
      </c>
      <c r="D23" s="152">
        <v>189.8</v>
      </c>
      <c r="E23" s="151">
        <v>975</v>
      </c>
      <c r="F23" s="151" t="s">
        <v>1718</v>
      </c>
      <c r="G23" s="151">
        <v>235</v>
      </c>
      <c r="H23" s="151" t="s">
        <v>1718</v>
      </c>
      <c r="I23" s="151">
        <v>180</v>
      </c>
      <c r="J23" s="151" t="s">
        <v>1718</v>
      </c>
      <c r="L23" s="155">
        <f t="shared" si="1"/>
        <v>3.2500000000000001E-2</v>
      </c>
      <c r="M23" s="156">
        <f t="shared" si="2"/>
        <v>9.7500000000000003E-2</v>
      </c>
      <c r="N23" s="275"/>
      <c r="O23" s="150">
        <v>32.5</v>
      </c>
      <c r="P23" s="151" t="s">
        <v>162</v>
      </c>
      <c r="Q23" s="152">
        <v>129.1</v>
      </c>
      <c r="R23" s="152">
        <v>155.69999999999999</v>
      </c>
      <c r="S23" s="151">
        <v>1052</v>
      </c>
      <c r="T23" s="151" t="s">
        <v>1718</v>
      </c>
      <c r="U23" s="151">
        <v>257</v>
      </c>
      <c r="V23" s="151" t="s">
        <v>1718</v>
      </c>
      <c r="W23" s="151">
        <v>198</v>
      </c>
      <c r="X23" s="151" t="s">
        <v>1718</v>
      </c>
      <c r="Z23" s="155">
        <f t="shared" si="3"/>
        <v>3.2500000000000001E-2</v>
      </c>
      <c r="AA23" s="156">
        <f t="shared" si="4"/>
        <v>0.1052</v>
      </c>
      <c r="AB23" s="275"/>
      <c r="AC23" s="150">
        <v>32.5</v>
      </c>
      <c r="AD23" s="151" t="s">
        <v>162</v>
      </c>
      <c r="AE23" s="152">
        <v>89.14</v>
      </c>
      <c r="AF23" s="152">
        <v>4.484</v>
      </c>
      <c r="AG23" s="151">
        <v>4335</v>
      </c>
      <c r="AH23" s="151" t="s">
        <v>1718</v>
      </c>
      <c r="AI23" s="151">
        <v>748</v>
      </c>
      <c r="AJ23" s="151" t="s">
        <v>1718</v>
      </c>
      <c r="AK23" s="151">
        <v>824</v>
      </c>
      <c r="AL23" s="151" t="s">
        <v>1718</v>
      </c>
      <c r="AN23" s="155">
        <f t="shared" si="5"/>
        <v>3.2500000000000001E-2</v>
      </c>
      <c r="AO23" s="156">
        <f t="shared" si="6"/>
        <v>0.4335</v>
      </c>
      <c r="AP23" s="275"/>
      <c r="AQ23" s="150">
        <v>32.5</v>
      </c>
      <c r="AR23" s="151" t="s">
        <v>162</v>
      </c>
      <c r="AS23" s="152">
        <v>95.21</v>
      </c>
      <c r="AT23" s="152">
        <v>0.38419999999999999</v>
      </c>
      <c r="AU23" s="151">
        <v>4736</v>
      </c>
      <c r="AV23" s="151" t="s">
        <v>1718</v>
      </c>
      <c r="AW23" s="151">
        <v>541</v>
      </c>
      <c r="AX23" s="151" t="s">
        <v>1718</v>
      </c>
      <c r="AY23" s="151">
        <v>675</v>
      </c>
      <c r="AZ23" s="151" t="s">
        <v>1718</v>
      </c>
      <c r="BB23" s="155">
        <f t="shared" si="7"/>
        <v>3.2500000000000001E-2</v>
      </c>
      <c r="BC23" s="156">
        <f t="shared" si="8"/>
        <v>0.47360000000000002</v>
      </c>
      <c r="BE23" s="150">
        <v>32.5</v>
      </c>
      <c r="BF23" s="151" t="s">
        <v>162</v>
      </c>
      <c r="BG23" s="152">
        <v>156.30000000000001</v>
      </c>
      <c r="BH23" s="152">
        <v>60.52</v>
      </c>
      <c r="BI23" s="151">
        <v>1491</v>
      </c>
      <c r="BJ23" s="151" t="s">
        <v>1718</v>
      </c>
      <c r="BK23" s="151">
        <v>325</v>
      </c>
      <c r="BL23" s="151" t="s">
        <v>1718</v>
      </c>
      <c r="BM23" s="151">
        <v>277</v>
      </c>
      <c r="BN23" s="151" t="s">
        <v>1718</v>
      </c>
      <c r="BP23" s="155">
        <f t="shared" si="9"/>
        <v>3.2500000000000001E-2</v>
      </c>
      <c r="BQ23" s="156">
        <f t="shared" si="10"/>
        <v>0.14910000000000001</v>
      </c>
      <c r="BS23" s="150">
        <v>32.5</v>
      </c>
      <c r="BT23" s="151" t="s">
        <v>162</v>
      </c>
      <c r="BU23" s="152">
        <v>140.4</v>
      </c>
      <c r="BV23" s="152">
        <v>135.9</v>
      </c>
      <c r="BW23" s="151">
        <v>1110</v>
      </c>
      <c r="BX23" s="151" t="s">
        <v>1718</v>
      </c>
      <c r="BY23" s="151">
        <v>259</v>
      </c>
      <c r="BZ23" s="151" t="s">
        <v>1718</v>
      </c>
      <c r="CA23" s="151">
        <v>204</v>
      </c>
      <c r="CB23" s="151" t="s">
        <v>1718</v>
      </c>
      <c r="CD23" s="155">
        <f t="shared" si="11"/>
        <v>3.2500000000000001E-2</v>
      </c>
      <c r="CE23" s="156">
        <f t="shared" si="12"/>
        <v>0.111</v>
      </c>
      <c r="CG23" s="150">
        <v>32.5</v>
      </c>
      <c r="CH23" s="151" t="s">
        <v>162</v>
      </c>
      <c r="CI23" s="152">
        <v>119.6</v>
      </c>
      <c r="CJ23" s="152">
        <v>168.5</v>
      </c>
      <c r="CK23" s="151">
        <v>1047</v>
      </c>
      <c r="CL23" s="151" t="s">
        <v>1718</v>
      </c>
      <c r="CM23" s="151">
        <v>245</v>
      </c>
      <c r="CN23" s="151" t="s">
        <v>1718</v>
      </c>
      <c r="CO23" s="151">
        <v>190</v>
      </c>
      <c r="CP23" s="151" t="s">
        <v>1718</v>
      </c>
      <c r="CR23" s="155">
        <f t="shared" si="0"/>
        <v>3.2500000000000001E-2</v>
      </c>
      <c r="CS23" s="156">
        <f t="shared" si="13"/>
        <v>0.1047</v>
      </c>
      <c r="CU23" s="151">
        <v>32.5</v>
      </c>
      <c r="CV23" s="152" t="s">
        <v>162</v>
      </c>
      <c r="CW23" s="152">
        <v>173.2</v>
      </c>
      <c r="CX23" s="152">
        <v>428.9</v>
      </c>
      <c r="CY23" s="151">
        <v>586</v>
      </c>
      <c r="CZ23" s="151" t="s">
        <v>1718</v>
      </c>
      <c r="DA23" s="151">
        <v>124</v>
      </c>
      <c r="DB23" s="151" t="s">
        <v>1718</v>
      </c>
      <c r="DC23" s="151">
        <v>101</v>
      </c>
      <c r="DD23" t="s">
        <v>1718</v>
      </c>
      <c r="DF23" s="155">
        <f t="shared" si="14"/>
        <v>3.2500000000000001E-2</v>
      </c>
      <c r="DG23" s="156">
        <f t="shared" si="17"/>
        <v>5.8600000000000006E-2</v>
      </c>
      <c r="DI23" s="151">
        <v>32.5</v>
      </c>
      <c r="DJ23" s="152" t="s">
        <v>162</v>
      </c>
      <c r="DK23" s="152">
        <v>185.3</v>
      </c>
      <c r="DL23" s="152">
        <v>414.7</v>
      </c>
      <c r="DM23" s="151">
        <v>599</v>
      </c>
      <c r="DN23" s="151" t="s">
        <v>1718</v>
      </c>
      <c r="DO23" s="151">
        <v>121</v>
      </c>
      <c r="DP23" s="151" t="s">
        <v>1718</v>
      </c>
      <c r="DQ23" s="151">
        <v>100</v>
      </c>
      <c r="DR23" t="s">
        <v>1718</v>
      </c>
      <c r="DT23" s="155">
        <f t="shared" si="15"/>
        <v>3.2500000000000001E-2</v>
      </c>
      <c r="DU23" s="156">
        <f t="shared" si="18"/>
        <v>5.9900000000000002E-2</v>
      </c>
      <c r="DW23" s="401">
        <v>32.5</v>
      </c>
      <c r="DX23" s="401" t="s">
        <v>162</v>
      </c>
      <c r="DY23" s="402">
        <v>104</v>
      </c>
      <c r="DZ23" s="402">
        <v>22.36</v>
      </c>
      <c r="EA23" s="401">
        <v>2551</v>
      </c>
      <c r="EB23" s="401" t="s">
        <v>1718</v>
      </c>
      <c r="EC23" s="401">
        <v>555</v>
      </c>
      <c r="ED23" s="401" t="s">
        <v>1718</v>
      </c>
      <c r="EE23" s="401">
        <v>518</v>
      </c>
      <c r="EF23" s="403" t="s">
        <v>1718</v>
      </c>
      <c r="EH23" s="155">
        <f t="shared" si="16"/>
        <v>3.2500000000000001E-2</v>
      </c>
      <c r="EI23" s="156">
        <f t="shared" si="19"/>
        <v>0.25509999999999999</v>
      </c>
    </row>
    <row r="24" spans="1:139" x14ac:dyDescent="0.2">
      <c r="A24" s="150">
        <v>35</v>
      </c>
      <c r="B24" s="151" t="s">
        <v>162</v>
      </c>
      <c r="C24" s="152">
        <v>122.6</v>
      </c>
      <c r="D24" s="152">
        <v>185.2</v>
      </c>
      <c r="E24" s="151">
        <v>1049</v>
      </c>
      <c r="F24" s="151" t="s">
        <v>1718</v>
      </c>
      <c r="G24" s="151">
        <v>249</v>
      </c>
      <c r="H24" s="151" t="s">
        <v>1718</v>
      </c>
      <c r="I24" s="151">
        <v>192</v>
      </c>
      <c r="J24" s="151" t="s">
        <v>1718</v>
      </c>
      <c r="L24" s="155">
        <f t="shared" si="1"/>
        <v>3.5000000000000003E-2</v>
      </c>
      <c r="M24" s="156">
        <f t="shared" si="2"/>
        <v>0.10490000000000001</v>
      </c>
      <c r="N24" s="275"/>
      <c r="O24" s="150">
        <v>35</v>
      </c>
      <c r="P24" s="151" t="s">
        <v>162</v>
      </c>
      <c r="Q24" s="152">
        <v>134</v>
      </c>
      <c r="R24" s="152">
        <v>151.5</v>
      </c>
      <c r="S24" s="151">
        <v>1131</v>
      </c>
      <c r="T24" s="151" t="s">
        <v>1718</v>
      </c>
      <c r="U24" s="151">
        <v>271</v>
      </c>
      <c r="V24" s="151" t="s">
        <v>1718</v>
      </c>
      <c r="W24" s="151">
        <v>211</v>
      </c>
      <c r="X24" s="151" t="s">
        <v>1718</v>
      </c>
      <c r="Z24" s="155">
        <f t="shared" si="3"/>
        <v>3.5000000000000003E-2</v>
      </c>
      <c r="AA24" s="156">
        <f t="shared" si="4"/>
        <v>0.11310000000000001</v>
      </c>
      <c r="AB24" s="275"/>
      <c r="AC24" s="150">
        <v>35</v>
      </c>
      <c r="AD24" s="151" t="s">
        <v>162</v>
      </c>
      <c r="AE24" s="152">
        <v>92.36</v>
      </c>
      <c r="AF24" s="152">
        <v>4.2510000000000003</v>
      </c>
      <c r="AG24" s="151">
        <v>4584</v>
      </c>
      <c r="AH24" s="151" t="s">
        <v>1718</v>
      </c>
      <c r="AI24" s="151">
        <v>765</v>
      </c>
      <c r="AJ24" s="151" t="s">
        <v>1718</v>
      </c>
      <c r="AK24" s="151">
        <v>851</v>
      </c>
      <c r="AL24" s="151" t="s">
        <v>1718</v>
      </c>
      <c r="AN24" s="155">
        <f t="shared" si="5"/>
        <v>3.5000000000000003E-2</v>
      </c>
      <c r="AO24" s="156">
        <f t="shared" si="6"/>
        <v>0.45840000000000003</v>
      </c>
      <c r="AP24" s="275"/>
      <c r="AQ24" s="150">
        <v>35</v>
      </c>
      <c r="AR24" s="151" t="s">
        <v>162</v>
      </c>
      <c r="AS24" s="152">
        <v>97</v>
      </c>
      <c r="AT24" s="152">
        <v>0.3624</v>
      </c>
      <c r="AU24" s="151">
        <v>4990</v>
      </c>
      <c r="AV24" s="151" t="s">
        <v>1718</v>
      </c>
      <c r="AW24" s="151">
        <v>548</v>
      </c>
      <c r="AX24" s="151" t="s">
        <v>1718</v>
      </c>
      <c r="AY24" s="151">
        <v>690</v>
      </c>
      <c r="AZ24" s="151" t="s">
        <v>1718</v>
      </c>
      <c r="BB24" s="155">
        <f t="shared" si="7"/>
        <v>3.5000000000000003E-2</v>
      </c>
      <c r="BC24" s="156">
        <f t="shared" si="8"/>
        <v>0.499</v>
      </c>
      <c r="BE24" s="150">
        <v>35</v>
      </c>
      <c r="BF24" s="151" t="s">
        <v>162</v>
      </c>
      <c r="BG24" s="152">
        <v>160.80000000000001</v>
      </c>
      <c r="BH24" s="152">
        <v>58.24</v>
      </c>
      <c r="BI24" s="151">
        <v>1597</v>
      </c>
      <c r="BJ24" s="151" t="s">
        <v>1718</v>
      </c>
      <c r="BK24" s="151">
        <v>340</v>
      </c>
      <c r="BL24" s="151" t="s">
        <v>1718</v>
      </c>
      <c r="BM24" s="151">
        <v>293</v>
      </c>
      <c r="BN24" s="151" t="s">
        <v>1718</v>
      </c>
      <c r="BP24" s="155">
        <f t="shared" si="9"/>
        <v>3.5000000000000003E-2</v>
      </c>
      <c r="BQ24" s="156">
        <f t="shared" si="10"/>
        <v>0.15970000000000001</v>
      </c>
      <c r="BS24" s="150">
        <v>35</v>
      </c>
      <c r="BT24" s="151" t="s">
        <v>162</v>
      </c>
      <c r="BU24" s="152">
        <v>145.69999999999999</v>
      </c>
      <c r="BV24" s="152">
        <v>132</v>
      </c>
      <c r="BW24" s="151">
        <v>1192</v>
      </c>
      <c r="BX24" s="151" t="s">
        <v>1718</v>
      </c>
      <c r="BY24" s="151">
        <v>273</v>
      </c>
      <c r="BZ24" s="151" t="s">
        <v>1718</v>
      </c>
      <c r="CA24" s="151">
        <v>217</v>
      </c>
      <c r="CB24" s="151" t="s">
        <v>1718</v>
      </c>
      <c r="CD24" s="155">
        <f t="shared" si="11"/>
        <v>3.5000000000000003E-2</v>
      </c>
      <c r="CE24" s="156">
        <f t="shared" si="12"/>
        <v>0.1192</v>
      </c>
      <c r="CG24" s="150">
        <v>35</v>
      </c>
      <c r="CH24" s="151" t="s">
        <v>162</v>
      </c>
      <c r="CI24" s="152">
        <v>124.1</v>
      </c>
      <c r="CJ24" s="152">
        <v>164.3</v>
      </c>
      <c r="CK24" s="151">
        <v>1126</v>
      </c>
      <c r="CL24" s="151" t="s">
        <v>1718</v>
      </c>
      <c r="CM24" s="151">
        <v>260</v>
      </c>
      <c r="CN24" s="151" t="s">
        <v>1718</v>
      </c>
      <c r="CO24" s="151">
        <v>202</v>
      </c>
      <c r="CP24" s="151" t="s">
        <v>1718</v>
      </c>
      <c r="CR24" s="155">
        <f t="shared" si="0"/>
        <v>3.5000000000000003E-2</v>
      </c>
      <c r="CS24" s="156">
        <f t="shared" si="13"/>
        <v>0.11260000000000001</v>
      </c>
      <c r="CU24" s="151">
        <v>35</v>
      </c>
      <c r="CV24" s="152" t="s">
        <v>162</v>
      </c>
      <c r="CW24" s="152">
        <v>179.7</v>
      </c>
      <c r="CX24" s="152">
        <v>425.2</v>
      </c>
      <c r="CY24" s="151">
        <v>624</v>
      </c>
      <c r="CZ24" s="151" t="s">
        <v>1718</v>
      </c>
      <c r="DA24" s="151">
        <v>131</v>
      </c>
      <c r="DB24" s="151" t="s">
        <v>1718</v>
      </c>
      <c r="DC24" s="151">
        <v>107</v>
      </c>
      <c r="DD24" t="s">
        <v>1718</v>
      </c>
      <c r="DF24" s="155">
        <f t="shared" si="14"/>
        <v>3.5000000000000003E-2</v>
      </c>
      <c r="DG24" s="156">
        <f t="shared" si="17"/>
        <v>6.2400000000000004E-2</v>
      </c>
      <c r="DI24" s="151">
        <v>35</v>
      </c>
      <c r="DJ24" s="152" t="s">
        <v>162</v>
      </c>
      <c r="DK24" s="152">
        <v>192.3</v>
      </c>
      <c r="DL24" s="152">
        <v>411.2</v>
      </c>
      <c r="DM24" s="151">
        <v>637</v>
      </c>
      <c r="DN24" s="151" t="s">
        <v>1718</v>
      </c>
      <c r="DO24" s="151">
        <v>127</v>
      </c>
      <c r="DP24" s="151" t="s">
        <v>1718</v>
      </c>
      <c r="DQ24" s="151">
        <v>105</v>
      </c>
      <c r="DR24" t="s">
        <v>1718</v>
      </c>
      <c r="DT24" s="155">
        <f t="shared" si="15"/>
        <v>3.5000000000000003E-2</v>
      </c>
      <c r="DU24" s="156">
        <f t="shared" si="18"/>
        <v>6.3700000000000007E-2</v>
      </c>
      <c r="DW24" s="401">
        <v>35</v>
      </c>
      <c r="DX24" s="401" t="s">
        <v>162</v>
      </c>
      <c r="DY24" s="402">
        <v>108.4</v>
      </c>
      <c r="DZ24" s="402">
        <v>21.35</v>
      </c>
      <c r="EA24" s="401">
        <v>2731</v>
      </c>
      <c r="EB24" s="401" t="s">
        <v>1718</v>
      </c>
      <c r="EC24" s="401">
        <v>578</v>
      </c>
      <c r="ED24" s="401" t="s">
        <v>1718</v>
      </c>
      <c r="EE24" s="401">
        <v>546</v>
      </c>
      <c r="EF24" s="403" t="s">
        <v>1718</v>
      </c>
      <c r="EH24" s="155">
        <f t="shared" si="16"/>
        <v>3.5000000000000003E-2</v>
      </c>
      <c r="EI24" s="156">
        <f t="shared" si="19"/>
        <v>0.27310000000000001</v>
      </c>
    </row>
    <row r="25" spans="1:139" x14ac:dyDescent="0.2">
      <c r="A25" s="150">
        <v>37.5</v>
      </c>
      <c r="B25" s="151" t="s">
        <v>162</v>
      </c>
      <c r="C25" s="152">
        <v>126.9</v>
      </c>
      <c r="D25" s="152">
        <v>180.9</v>
      </c>
      <c r="E25" s="151">
        <v>1123</v>
      </c>
      <c r="F25" s="151" t="s">
        <v>1718</v>
      </c>
      <c r="G25" s="151">
        <v>262</v>
      </c>
      <c r="H25" s="151" t="s">
        <v>1718</v>
      </c>
      <c r="I25" s="151">
        <v>203</v>
      </c>
      <c r="J25" s="151" t="s">
        <v>1718</v>
      </c>
      <c r="L25" s="155">
        <f t="shared" si="1"/>
        <v>3.7499999999999999E-2</v>
      </c>
      <c r="M25" s="156">
        <f t="shared" si="2"/>
        <v>0.11230000000000001</v>
      </c>
      <c r="N25" s="275"/>
      <c r="O25" s="150">
        <v>37.5</v>
      </c>
      <c r="P25" s="151" t="s">
        <v>162</v>
      </c>
      <c r="Q25" s="152">
        <v>142.30000000000001</v>
      </c>
      <c r="R25" s="152">
        <v>147.6</v>
      </c>
      <c r="S25" s="151">
        <v>1210</v>
      </c>
      <c r="T25" s="151" t="s">
        <v>1718</v>
      </c>
      <c r="U25" s="151">
        <v>286</v>
      </c>
      <c r="V25" s="151" t="s">
        <v>1718</v>
      </c>
      <c r="W25" s="151">
        <v>223</v>
      </c>
      <c r="X25" s="151" t="s">
        <v>1718</v>
      </c>
      <c r="Z25" s="155">
        <f t="shared" si="3"/>
        <v>3.7499999999999999E-2</v>
      </c>
      <c r="AA25" s="156">
        <f t="shared" si="4"/>
        <v>0.12100000000000001</v>
      </c>
      <c r="AB25" s="275"/>
      <c r="AC25" s="150">
        <v>37.5</v>
      </c>
      <c r="AD25" s="151" t="s">
        <v>162</v>
      </c>
      <c r="AE25" s="152">
        <v>95.41</v>
      </c>
      <c r="AF25" s="152">
        <v>4.0449999999999999</v>
      </c>
      <c r="AG25" s="151">
        <v>4827</v>
      </c>
      <c r="AH25" s="151" t="s">
        <v>1718</v>
      </c>
      <c r="AI25" s="151">
        <v>780</v>
      </c>
      <c r="AJ25" s="151" t="s">
        <v>1718</v>
      </c>
      <c r="AK25" s="151">
        <v>877</v>
      </c>
      <c r="AL25" s="151" t="s">
        <v>1718</v>
      </c>
      <c r="AN25" s="155">
        <f t="shared" si="5"/>
        <v>3.7499999999999999E-2</v>
      </c>
      <c r="AO25" s="156">
        <f t="shared" si="6"/>
        <v>0.48270000000000002</v>
      </c>
      <c r="AP25" s="275"/>
      <c r="AQ25" s="150">
        <v>37.5</v>
      </c>
      <c r="AR25" s="151" t="s">
        <v>162</v>
      </c>
      <c r="AS25" s="152">
        <v>98.56</v>
      </c>
      <c r="AT25" s="152">
        <v>0.34310000000000002</v>
      </c>
      <c r="AU25" s="151">
        <v>5241</v>
      </c>
      <c r="AV25" s="151" t="s">
        <v>1718</v>
      </c>
      <c r="AW25" s="151">
        <v>555</v>
      </c>
      <c r="AX25" s="151" t="s">
        <v>1718</v>
      </c>
      <c r="AY25" s="151">
        <v>703</v>
      </c>
      <c r="AZ25" s="151" t="s">
        <v>1718</v>
      </c>
      <c r="BB25" s="155">
        <f t="shared" si="7"/>
        <v>3.7499999999999999E-2</v>
      </c>
      <c r="BC25" s="156">
        <f t="shared" si="8"/>
        <v>0.52410000000000001</v>
      </c>
      <c r="BE25" s="150">
        <v>37.5</v>
      </c>
      <c r="BF25" s="151" t="s">
        <v>162</v>
      </c>
      <c r="BG25" s="152">
        <v>165.1</v>
      </c>
      <c r="BH25" s="152">
        <v>56.15</v>
      </c>
      <c r="BI25" s="151">
        <v>1702</v>
      </c>
      <c r="BJ25" s="151" t="s">
        <v>1718</v>
      </c>
      <c r="BK25" s="151">
        <v>354</v>
      </c>
      <c r="BL25" s="151" t="s">
        <v>1718</v>
      </c>
      <c r="BM25" s="151">
        <v>308</v>
      </c>
      <c r="BN25" s="151" t="s">
        <v>1718</v>
      </c>
      <c r="BP25" s="155">
        <f t="shared" si="9"/>
        <v>3.7499999999999999E-2</v>
      </c>
      <c r="BQ25" s="156">
        <f t="shared" si="10"/>
        <v>0.17020000000000002</v>
      </c>
      <c r="BS25" s="150">
        <v>37.5</v>
      </c>
      <c r="BT25" s="151" t="s">
        <v>162</v>
      </c>
      <c r="BU25" s="152">
        <v>156.4</v>
      </c>
      <c r="BV25" s="152">
        <v>128.30000000000001</v>
      </c>
      <c r="BW25" s="151">
        <v>1274</v>
      </c>
      <c r="BX25" s="151" t="s">
        <v>1718</v>
      </c>
      <c r="BY25" s="151">
        <v>287</v>
      </c>
      <c r="BZ25" s="151" t="s">
        <v>1718</v>
      </c>
      <c r="CA25" s="151">
        <v>229</v>
      </c>
      <c r="CB25" s="151" t="s">
        <v>1718</v>
      </c>
      <c r="CD25" s="155">
        <f t="shared" si="11"/>
        <v>3.7499999999999999E-2</v>
      </c>
      <c r="CE25" s="156">
        <f t="shared" si="12"/>
        <v>0.12740000000000001</v>
      </c>
      <c r="CG25" s="150">
        <v>37.5</v>
      </c>
      <c r="CH25" s="151" t="s">
        <v>162</v>
      </c>
      <c r="CI25" s="152">
        <v>128.5</v>
      </c>
      <c r="CJ25" s="152">
        <v>160.19999999999999</v>
      </c>
      <c r="CK25" s="151">
        <v>1205</v>
      </c>
      <c r="CL25" s="151" t="s">
        <v>1718</v>
      </c>
      <c r="CM25" s="151">
        <v>274</v>
      </c>
      <c r="CN25" s="151" t="s">
        <v>1718</v>
      </c>
      <c r="CO25" s="151">
        <v>214</v>
      </c>
      <c r="CP25" s="151" t="s">
        <v>1718</v>
      </c>
      <c r="CR25" s="155">
        <f t="shared" si="0"/>
        <v>3.7499999999999999E-2</v>
      </c>
      <c r="CS25" s="156">
        <f t="shared" si="13"/>
        <v>0.12050000000000001</v>
      </c>
      <c r="CU25" s="151">
        <v>37.5</v>
      </c>
      <c r="CV25" s="152" t="s">
        <v>162</v>
      </c>
      <c r="CW25" s="152">
        <v>186</v>
      </c>
      <c r="CX25" s="152">
        <v>421.5</v>
      </c>
      <c r="CY25" s="151">
        <v>662</v>
      </c>
      <c r="CZ25" s="151" t="s">
        <v>1718</v>
      </c>
      <c r="DA25" s="151">
        <v>137</v>
      </c>
      <c r="DB25" s="151" t="s">
        <v>1718</v>
      </c>
      <c r="DC25" s="151">
        <v>112</v>
      </c>
      <c r="DD25" t="s">
        <v>1718</v>
      </c>
      <c r="DF25" s="155">
        <f t="shared" si="14"/>
        <v>3.7499999999999999E-2</v>
      </c>
      <c r="DG25" s="156">
        <f t="shared" si="17"/>
        <v>6.6200000000000009E-2</v>
      </c>
      <c r="DI25" s="151">
        <v>37.5</v>
      </c>
      <c r="DJ25" s="152" t="s">
        <v>162</v>
      </c>
      <c r="DK25" s="152">
        <v>199</v>
      </c>
      <c r="DL25" s="152">
        <v>407.6</v>
      </c>
      <c r="DM25" s="151">
        <v>676</v>
      </c>
      <c r="DN25" s="151" t="s">
        <v>1718</v>
      </c>
      <c r="DO25" s="151">
        <v>134</v>
      </c>
      <c r="DP25" s="151" t="s">
        <v>1718</v>
      </c>
      <c r="DQ25" s="151">
        <v>111</v>
      </c>
      <c r="DR25" t="s">
        <v>1718</v>
      </c>
      <c r="DT25" s="155">
        <f t="shared" si="15"/>
        <v>3.7499999999999999E-2</v>
      </c>
      <c r="DU25" s="156">
        <f t="shared" si="18"/>
        <v>6.7600000000000007E-2</v>
      </c>
      <c r="DW25" s="401">
        <v>37.5</v>
      </c>
      <c r="DX25" s="401" t="s">
        <v>162</v>
      </c>
      <c r="DY25" s="402">
        <v>112.7</v>
      </c>
      <c r="DZ25" s="402">
        <v>20.440000000000001</v>
      </c>
      <c r="EA25" s="401">
        <v>2906</v>
      </c>
      <c r="EB25" s="401" t="s">
        <v>1718</v>
      </c>
      <c r="EC25" s="401">
        <v>599</v>
      </c>
      <c r="ED25" s="401" t="s">
        <v>1718</v>
      </c>
      <c r="EE25" s="401">
        <v>573</v>
      </c>
      <c r="EF25" s="403" t="s">
        <v>1718</v>
      </c>
      <c r="EH25" s="155">
        <f t="shared" si="16"/>
        <v>3.7499999999999999E-2</v>
      </c>
      <c r="EI25" s="156">
        <f t="shared" si="19"/>
        <v>0.29060000000000002</v>
      </c>
    </row>
    <row r="26" spans="1:139" x14ac:dyDescent="0.2">
      <c r="A26" s="150">
        <v>40</v>
      </c>
      <c r="B26" s="151" t="s">
        <v>162</v>
      </c>
      <c r="C26" s="152">
        <v>131.1</v>
      </c>
      <c r="D26" s="152">
        <v>176.8</v>
      </c>
      <c r="E26" s="151">
        <v>1197</v>
      </c>
      <c r="F26" s="151" t="s">
        <v>1718</v>
      </c>
      <c r="G26" s="151">
        <v>276</v>
      </c>
      <c r="H26" s="151" t="s">
        <v>1718</v>
      </c>
      <c r="I26" s="151">
        <v>215</v>
      </c>
      <c r="J26" s="151" t="s">
        <v>1718</v>
      </c>
      <c r="L26" s="155">
        <f t="shared" si="1"/>
        <v>0.04</v>
      </c>
      <c r="M26" s="156">
        <f t="shared" si="2"/>
        <v>0.1197</v>
      </c>
      <c r="N26" s="275"/>
      <c r="O26" s="150">
        <v>40</v>
      </c>
      <c r="P26" s="151" t="s">
        <v>162</v>
      </c>
      <c r="Q26" s="152">
        <v>151.69999999999999</v>
      </c>
      <c r="R26" s="152">
        <v>143.80000000000001</v>
      </c>
      <c r="S26" s="151">
        <v>1288</v>
      </c>
      <c r="T26" s="151" t="s">
        <v>1718</v>
      </c>
      <c r="U26" s="151">
        <v>299</v>
      </c>
      <c r="V26" s="151" t="s">
        <v>1718</v>
      </c>
      <c r="W26" s="151">
        <v>236</v>
      </c>
      <c r="X26" s="151" t="s">
        <v>1718</v>
      </c>
      <c r="Z26" s="155">
        <f t="shared" si="3"/>
        <v>0.04</v>
      </c>
      <c r="AA26" s="156">
        <f t="shared" si="4"/>
        <v>0.1288</v>
      </c>
      <c r="AB26" s="275"/>
      <c r="AC26" s="150">
        <v>40</v>
      </c>
      <c r="AD26" s="151" t="s">
        <v>162</v>
      </c>
      <c r="AE26" s="152">
        <v>98.3</v>
      </c>
      <c r="AF26" s="152">
        <v>3.859</v>
      </c>
      <c r="AG26" s="151">
        <v>5064</v>
      </c>
      <c r="AH26" s="151" t="s">
        <v>1718</v>
      </c>
      <c r="AI26" s="151">
        <v>795</v>
      </c>
      <c r="AJ26" s="151" t="s">
        <v>1718</v>
      </c>
      <c r="AK26" s="151">
        <v>901</v>
      </c>
      <c r="AL26" s="151" t="s">
        <v>1718</v>
      </c>
      <c r="AN26" s="155">
        <f t="shared" si="5"/>
        <v>0.04</v>
      </c>
      <c r="AO26" s="156">
        <f t="shared" si="6"/>
        <v>0.50640000000000007</v>
      </c>
      <c r="AP26" s="275"/>
      <c r="AQ26" s="150">
        <v>40</v>
      </c>
      <c r="AR26" s="151" t="s">
        <v>162</v>
      </c>
      <c r="AS26" s="152">
        <v>99.91</v>
      </c>
      <c r="AT26" s="152">
        <v>0.32600000000000001</v>
      </c>
      <c r="AU26" s="151">
        <v>5488</v>
      </c>
      <c r="AV26" s="151" t="s">
        <v>1718</v>
      </c>
      <c r="AW26" s="151">
        <v>561</v>
      </c>
      <c r="AX26" s="151" t="s">
        <v>1718</v>
      </c>
      <c r="AY26" s="151">
        <v>716</v>
      </c>
      <c r="AZ26" s="151" t="s">
        <v>1718</v>
      </c>
      <c r="BB26" s="155">
        <f t="shared" si="7"/>
        <v>0.04</v>
      </c>
      <c r="BC26" s="156">
        <f t="shared" si="8"/>
        <v>0.54880000000000007</v>
      </c>
      <c r="BE26" s="150">
        <v>40</v>
      </c>
      <c r="BF26" s="151" t="s">
        <v>162</v>
      </c>
      <c r="BG26" s="152">
        <v>169.2</v>
      </c>
      <c r="BH26" s="152">
        <v>54.23</v>
      </c>
      <c r="BI26" s="151">
        <v>1806</v>
      </c>
      <c r="BJ26" s="151" t="s">
        <v>1718</v>
      </c>
      <c r="BK26" s="151">
        <v>367</v>
      </c>
      <c r="BL26" s="151" t="s">
        <v>1718</v>
      </c>
      <c r="BM26" s="151">
        <v>323</v>
      </c>
      <c r="BN26" s="151" t="s">
        <v>1718</v>
      </c>
      <c r="BP26" s="155">
        <f t="shared" si="9"/>
        <v>0.04</v>
      </c>
      <c r="BQ26" s="156">
        <f t="shared" si="10"/>
        <v>0.18060000000000001</v>
      </c>
      <c r="BS26" s="150">
        <v>40</v>
      </c>
      <c r="BT26" s="151" t="s">
        <v>162</v>
      </c>
      <c r="BU26" s="152">
        <v>167.5</v>
      </c>
      <c r="BV26" s="152">
        <v>124.9</v>
      </c>
      <c r="BW26" s="151">
        <v>1353</v>
      </c>
      <c r="BX26" s="151" t="s">
        <v>1718</v>
      </c>
      <c r="BY26" s="151">
        <v>300</v>
      </c>
      <c r="BZ26" s="151" t="s">
        <v>1718</v>
      </c>
      <c r="CA26" s="151">
        <v>241</v>
      </c>
      <c r="CB26" s="151" t="s">
        <v>1718</v>
      </c>
      <c r="CD26" s="155">
        <f t="shared" si="11"/>
        <v>0.04</v>
      </c>
      <c r="CE26" s="156">
        <f t="shared" si="12"/>
        <v>0.1353</v>
      </c>
      <c r="CG26" s="150">
        <v>40</v>
      </c>
      <c r="CH26" s="151" t="s">
        <v>162</v>
      </c>
      <c r="CI26" s="152">
        <v>132.69999999999999</v>
      </c>
      <c r="CJ26" s="152">
        <v>156.4</v>
      </c>
      <c r="CK26" s="151">
        <v>1284</v>
      </c>
      <c r="CL26" s="151" t="s">
        <v>1718</v>
      </c>
      <c r="CM26" s="151">
        <v>287</v>
      </c>
      <c r="CN26" s="151" t="s">
        <v>1718</v>
      </c>
      <c r="CO26" s="151">
        <v>226</v>
      </c>
      <c r="CP26" s="151" t="s">
        <v>1718</v>
      </c>
      <c r="CR26" s="155">
        <f t="shared" si="0"/>
        <v>0.04</v>
      </c>
      <c r="CS26" s="156">
        <f t="shared" si="13"/>
        <v>0.12840000000000001</v>
      </c>
      <c r="CU26" s="151">
        <v>40</v>
      </c>
      <c r="CV26" s="152" t="s">
        <v>162</v>
      </c>
      <c r="CW26" s="152">
        <v>192.1</v>
      </c>
      <c r="CX26" s="152">
        <v>417.6</v>
      </c>
      <c r="CY26" s="151">
        <v>700</v>
      </c>
      <c r="CZ26" s="151" t="s">
        <v>1718</v>
      </c>
      <c r="DA26" s="151">
        <v>144</v>
      </c>
      <c r="DB26" s="151" t="s">
        <v>1718</v>
      </c>
      <c r="DC26" s="151">
        <v>118</v>
      </c>
      <c r="DD26" t="s">
        <v>1718</v>
      </c>
      <c r="DF26" s="155">
        <f t="shared" si="14"/>
        <v>0.04</v>
      </c>
      <c r="DG26" s="156">
        <f t="shared" si="17"/>
        <v>7.0000000000000007E-2</v>
      </c>
      <c r="DI26" s="151">
        <v>40</v>
      </c>
      <c r="DJ26" s="152" t="s">
        <v>162</v>
      </c>
      <c r="DK26" s="152">
        <v>205.6</v>
      </c>
      <c r="DL26" s="152">
        <v>403.9</v>
      </c>
      <c r="DM26" s="151">
        <v>714</v>
      </c>
      <c r="DN26" s="151" t="s">
        <v>1718</v>
      </c>
      <c r="DO26" s="151">
        <v>140</v>
      </c>
      <c r="DP26" s="151" t="s">
        <v>1718</v>
      </c>
      <c r="DQ26" s="151">
        <v>116</v>
      </c>
      <c r="DR26" t="s">
        <v>1718</v>
      </c>
      <c r="DT26" s="155">
        <f t="shared" si="15"/>
        <v>0.04</v>
      </c>
      <c r="DU26" s="156">
        <f t="shared" si="18"/>
        <v>7.1400000000000005E-2</v>
      </c>
      <c r="DW26" s="401">
        <v>40</v>
      </c>
      <c r="DX26" s="401" t="s">
        <v>162</v>
      </c>
      <c r="DY26" s="402">
        <v>116.9</v>
      </c>
      <c r="DZ26" s="402">
        <v>19.62</v>
      </c>
      <c r="EA26" s="401">
        <v>3077</v>
      </c>
      <c r="EB26" s="401" t="s">
        <v>1718</v>
      </c>
      <c r="EC26" s="401">
        <v>618</v>
      </c>
      <c r="ED26" s="401" t="s">
        <v>1718</v>
      </c>
      <c r="EE26" s="401">
        <v>599</v>
      </c>
      <c r="EF26" s="403" t="s">
        <v>1718</v>
      </c>
      <c r="EH26" s="155">
        <f t="shared" si="16"/>
        <v>0.04</v>
      </c>
      <c r="EI26" s="156">
        <f t="shared" si="19"/>
        <v>0.30770000000000003</v>
      </c>
    </row>
    <row r="27" spans="1:139" x14ac:dyDescent="0.2">
      <c r="A27" s="150">
        <v>45</v>
      </c>
      <c r="B27" s="151" t="s">
        <v>162</v>
      </c>
      <c r="C27" s="152">
        <v>139.4</v>
      </c>
      <c r="D27" s="152">
        <v>169.3</v>
      </c>
      <c r="E27" s="151">
        <v>1345</v>
      </c>
      <c r="F27" s="151" t="s">
        <v>1718</v>
      </c>
      <c r="G27" s="151">
        <v>302</v>
      </c>
      <c r="H27" s="151" t="s">
        <v>1718</v>
      </c>
      <c r="I27" s="151">
        <v>237</v>
      </c>
      <c r="J27" s="151" t="s">
        <v>1718</v>
      </c>
      <c r="L27" s="155">
        <f t="shared" si="1"/>
        <v>4.4999999999999998E-2</v>
      </c>
      <c r="M27" s="156">
        <f t="shared" si="2"/>
        <v>0.13450000000000001</v>
      </c>
      <c r="N27" s="275"/>
      <c r="O27" s="150">
        <v>45</v>
      </c>
      <c r="P27" s="151" t="s">
        <v>162</v>
      </c>
      <c r="Q27" s="152">
        <v>166.4</v>
      </c>
      <c r="R27" s="152">
        <v>137</v>
      </c>
      <c r="S27" s="151">
        <v>1440</v>
      </c>
      <c r="T27" s="151" t="s">
        <v>1718</v>
      </c>
      <c r="U27" s="151">
        <v>325</v>
      </c>
      <c r="V27" s="151" t="s">
        <v>1718</v>
      </c>
      <c r="W27" s="151">
        <v>260</v>
      </c>
      <c r="X27" s="151" t="s">
        <v>1718</v>
      </c>
      <c r="Z27" s="155">
        <f t="shared" si="3"/>
        <v>4.4999999999999998E-2</v>
      </c>
      <c r="AA27" s="156">
        <f t="shared" si="4"/>
        <v>0.14400000000000002</v>
      </c>
      <c r="AB27" s="275"/>
      <c r="AC27" s="150">
        <v>45</v>
      </c>
      <c r="AD27" s="151" t="s">
        <v>162</v>
      </c>
      <c r="AE27" s="152">
        <v>103.7</v>
      </c>
      <c r="AF27" s="152">
        <v>3.5390000000000001</v>
      </c>
      <c r="AG27" s="151">
        <v>5523</v>
      </c>
      <c r="AH27" s="151" t="s">
        <v>1718</v>
      </c>
      <c r="AI27" s="151">
        <v>822</v>
      </c>
      <c r="AJ27" s="151" t="s">
        <v>1718</v>
      </c>
      <c r="AK27" s="151">
        <v>945</v>
      </c>
      <c r="AL27" s="151" t="s">
        <v>1718</v>
      </c>
      <c r="AN27" s="155">
        <f t="shared" si="5"/>
        <v>4.4999999999999998E-2</v>
      </c>
      <c r="AO27" s="156">
        <f t="shared" si="6"/>
        <v>0.55230000000000001</v>
      </c>
      <c r="AP27" s="275"/>
      <c r="AQ27" s="150">
        <v>45</v>
      </c>
      <c r="AR27" s="151" t="s">
        <v>162</v>
      </c>
      <c r="AS27" s="152">
        <v>102.1</v>
      </c>
      <c r="AT27" s="152">
        <v>0.29670000000000002</v>
      </c>
      <c r="AU27" s="151">
        <v>5974</v>
      </c>
      <c r="AV27" s="151" t="s">
        <v>1718</v>
      </c>
      <c r="AW27" s="151">
        <v>575</v>
      </c>
      <c r="AX27" s="151" t="s">
        <v>1718</v>
      </c>
      <c r="AY27" s="151">
        <v>740</v>
      </c>
      <c r="AZ27" s="151" t="s">
        <v>1718</v>
      </c>
      <c r="BB27" s="155">
        <f t="shared" si="7"/>
        <v>4.4999999999999998E-2</v>
      </c>
      <c r="BC27" s="156">
        <f t="shared" si="8"/>
        <v>0.59740000000000004</v>
      </c>
      <c r="BE27" s="150">
        <v>45</v>
      </c>
      <c r="BF27" s="151" t="s">
        <v>162</v>
      </c>
      <c r="BG27" s="152">
        <v>176.9</v>
      </c>
      <c r="BH27" s="152">
        <v>50.82</v>
      </c>
      <c r="BI27" s="151">
        <v>2013</v>
      </c>
      <c r="BJ27" s="151" t="s">
        <v>1718</v>
      </c>
      <c r="BK27" s="151">
        <v>393</v>
      </c>
      <c r="BL27" s="151" t="s">
        <v>1718</v>
      </c>
      <c r="BM27" s="151">
        <v>351</v>
      </c>
      <c r="BN27" s="151" t="s">
        <v>1718</v>
      </c>
      <c r="BP27" s="155">
        <f t="shared" si="9"/>
        <v>4.4999999999999998E-2</v>
      </c>
      <c r="BQ27" s="156">
        <f t="shared" si="10"/>
        <v>0.20130000000000001</v>
      </c>
      <c r="BS27" s="150">
        <v>45</v>
      </c>
      <c r="BT27" s="151" t="s">
        <v>162</v>
      </c>
      <c r="BU27" s="152">
        <v>181.1</v>
      </c>
      <c r="BV27" s="152">
        <v>118.7</v>
      </c>
      <c r="BW27" s="151">
        <v>1509</v>
      </c>
      <c r="BX27" s="151" t="s">
        <v>1718</v>
      </c>
      <c r="BY27" s="151">
        <v>323</v>
      </c>
      <c r="BZ27" s="151" t="s">
        <v>1718</v>
      </c>
      <c r="CA27" s="151">
        <v>265</v>
      </c>
      <c r="CB27" s="151" t="s">
        <v>1718</v>
      </c>
      <c r="CD27" s="155">
        <f t="shared" si="11"/>
        <v>4.4999999999999998E-2</v>
      </c>
      <c r="CE27" s="156">
        <f t="shared" si="12"/>
        <v>0.15090000000000001</v>
      </c>
      <c r="CG27" s="150">
        <v>45</v>
      </c>
      <c r="CH27" s="151" t="s">
        <v>162</v>
      </c>
      <c r="CI27" s="152">
        <v>146.6</v>
      </c>
      <c r="CJ27" s="152">
        <v>149.30000000000001</v>
      </c>
      <c r="CK27" s="151">
        <v>1442</v>
      </c>
      <c r="CL27" s="151" t="s">
        <v>1718</v>
      </c>
      <c r="CM27" s="151">
        <v>314</v>
      </c>
      <c r="CN27" s="151" t="s">
        <v>1718</v>
      </c>
      <c r="CO27" s="151">
        <v>250</v>
      </c>
      <c r="CP27" s="151" t="s">
        <v>1718</v>
      </c>
      <c r="CR27" s="155">
        <f t="shared" si="0"/>
        <v>4.4999999999999998E-2</v>
      </c>
      <c r="CS27" s="156">
        <f t="shared" si="13"/>
        <v>0.14419999999999999</v>
      </c>
      <c r="CU27" s="151">
        <v>45</v>
      </c>
      <c r="CV27" s="152" t="s">
        <v>162</v>
      </c>
      <c r="CW27" s="152">
        <v>203.8</v>
      </c>
      <c r="CX27" s="152">
        <v>409.9</v>
      </c>
      <c r="CY27" s="151">
        <v>776</v>
      </c>
      <c r="CZ27" s="151" t="s">
        <v>1718</v>
      </c>
      <c r="DA27" s="151">
        <v>156</v>
      </c>
      <c r="DB27" s="151" t="s">
        <v>1718</v>
      </c>
      <c r="DC27" s="151">
        <v>128</v>
      </c>
      <c r="DD27" t="s">
        <v>1718</v>
      </c>
      <c r="DF27" s="155">
        <f t="shared" si="14"/>
        <v>4.4999999999999998E-2</v>
      </c>
      <c r="DG27" s="156">
        <f t="shared" si="17"/>
        <v>7.7600000000000002E-2</v>
      </c>
      <c r="DI27" s="151">
        <v>45</v>
      </c>
      <c r="DJ27" s="152" t="s">
        <v>162</v>
      </c>
      <c r="DK27" s="152">
        <v>218</v>
      </c>
      <c r="DL27" s="152">
        <v>396.4</v>
      </c>
      <c r="DM27" s="151">
        <v>790</v>
      </c>
      <c r="DN27" s="151" t="s">
        <v>1718</v>
      </c>
      <c r="DO27" s="151">
        <v>152</v>
      </c>
      <c r="DP27" s="151" t="s">
        <v>1718</v>
      </c>
      <c r="DQ27" s="151">
        <v>126</v>
      </c>
      <c r="DR27" t="s">
        <v>1718</v>
      </c>
      <c r="DT27" s="155">
        <f t="shared" si="15"/>
        <v>4.4999999999999998E-2</v>
      </c>
      <c r="DU27" s="156">
        <f t="shared" si="18"/>
        <v>7.9000000000000001E-2</v>
      </c>
      <c r="DW27" s="401">
        <v>45</v>
      </c>
      <c r="DX27" s="401" t="s">
        <v>162</v>
      </c>
      <c r="DY27" s="402">
        <v>125</v>
      </c>
      <c r="DZ27" s="402">
        <v>18.18</v>
      </c>
      <c r="EA27" s="401">
        <v>3409</v>
      </c>
      <c r="EB27" s="401" t="s">
        <v>1718</v>
      </c>
      <c r="EC27" s="401">
        <v>654</v>
      </c>
      <c r="ED27" s="401" t="s">
        <v>1718</v>
      </c>
      <c r="EE27" s="401">
        <v>647</v>
      </c>
      <c r="EF27" s="403" t="s">
        <v>1718</v>
      </c>
      <c r="EH27" s="155">
        <f t="shared" si="16"/>
        <v>4.4999999999999998E-2</v>
      </c>
      <c r="EI27" s="156">
        <f t="shared" si="19"/>
        <v>0.34090000000000004</v>
      </c>
    </row>
    <row r="28" spans="1:139" x14ac:dyDescent="0.2">
      <c r="A28" s="150">
        <v>50</v>
      </c>
      <c r="B28" s="151" t="s">
        <v>162</v>
      </c>
      <c r="C28" s="152">
        <v>146.19999999999999</v>
      </c>
      <c r="D28" s="152">
        <v>162.4</v>
      </c>
      <c r="E28" s="151">
        <v>1494</v>
      </c>
      <c r="F28" s="151" t="s">
        <v>1718</v>
      </c>
      <c r="G28" s="151">
        <v>327</v>
      </c>
      <c r="H28" s="151" t="s">
        <v>1718</v>
      </c>
      <c r="I28" s="151">
        <v>259</v>
      </c>
      <c r="J28" s="151" t="s">
        <v>1718</v>
      </c>
      <c r="L28" s="155">
        <f t="shared" si="1"/>
        <v>0.05</v>
      </c>
      <c r="M28" s="156">
        <f t="shared" si="2"/>
        <v>0.14940000000000001</v>
      </c>
      <c r="N28" s="275"/>
      <c r="O28" s="150">
        <v>50</v>
      </c>
      <c r="P28" s="151" t="s">
        <v>162</v>
      </c>
      <c r="Q28" s="152">
        <v>177.6</v>
      </c>
      <c r="R28" s="152">
        <v>130.9</v>
      </c>
      <c r="S28" s="151">
        <v>1590</v>
      </c>
      <c r="T28" s="151" t="s">
        <v>1718</v>
      </c>
      <c r="U28" s="151">
        <v>348</v>
      </c>
      <c r="V28" s="151" t="s">
        <v>1718</v>
      </c>
      <c r="W28" s="151">
        <v>283</v>
      </c>
      <c r="X28" s="151" t="s">
        <v>1718</v>
      </c>
      <c r="Z28" s="155">
        <f t="shared" si="3"/>
        <v>0.05</v>
      </c>
      <c r="AA28" s="156">
        <f t="shared" si="4"/>
        <v>0.159</v>
      </c>
      <c r="AB28" s="275"/>
      <c r="AC28" s="150">
        <v>50</v>
      </c>
      <c r="AD28" s="151" t="s">
        <v>162</v>
      </c>
      <c r="AE28" s="152">
        <v>108.6</v>
      </c>
      <c r="AF28" s="152">
        <v>3.274</v>
      </c>
      <c r="AG28" s="151">
        <v>5963</v>
      </c>
      <c r="AH28" s="151" t="s">
        <v>1718</v>
      </c>
      <c r="AI28" s="151">
        <v>845</v>
      </c>
      <c r="AJ28" s="151" t="s">
        <v>1718</v>
      </c>
      <c r="AK28" s="151">
        <v>985</v>
      </c>
      <c r="AL28" s="151" t="s">
        <v>1718</v>
      </c>
      <c r="AN28" s="155">
        <f t="shared" si="5"/>
        <v>0.05</v>
      </c>
      <c r="AO28" s="156">
        <f t="shared" si="6"/>
        <v>0.59630000000000005</v>
      </c>
      <c r="AP28" s="275"/>
      <c r="AQ28" s="150">
        <v>50</v>
      </c>
      <c r="AR28" s="151" t="s">
        <v>162</v>
      </c>
      <c r="AS28" s="152">
        <v>103.7</v>
      </c>
      <c r="AT28" s="152">
        <v>0.27260000000000001</v>
      </c>
      <c r="AU28" s="151">
        <v>6453</v>
      </c>
      <c r="AV28" s="151" t="s">
        <v>1718</v>
      </c>
      <c r="AW28" s="151">
        <v>588</v>
      </c>
      <c r="AX28" s="151" t="s">
        <v>1718</v>
      </c>
      <c r="AY28" s="151">
        <v>762</v>
      </c>
      <c r="AZ28" s="151" t="s">
        <v>1718</v>
      </c>
      <c r="BB28" s="155">
        <f t="shared" si="7"/>
        <v>0.05</v>
      </c>
      <c r="BC28" s="156">
        <f t="shared" si="8"/>
        <v>0.64529999999999998</v>
      </c>
      <c r="BE28" s="150">
        <v>50</v>
      </c>
      <c r="BF28" s="151" t="s">
        <v>162</v>
      </c>
      <c r="BG28" s="152">
        <v>184</v>
      </c>
      <c r="BH28" s="152">
        <v>47.88</v>
      </c>
      <c r="BI28" s="151">
        <v>2217</v>
      </c>
      <c r="BJ28" s="151" t="s">
        <v>1718</v>
      </c>
      <c r="BK28" s="151">
        <v>417</v>
      </c>
      <c r="BL28" s="151" t="s">
        <v>1718</v>
      </c>
      <c r="BM28" s="151">
        <v>378</v>
      </c>
      <c r="BN28" s="151" t="s">
        <v>1718</v>
      </c>
      <c r="BP28" s="155">
        <f t="shared" si="9"/>
        <v>0.05</v>
      </c>
      <c r="BQ28" s="156">
        <f t="shared" si="10"/>
        <v>0.22170000000000001</v>
      </c>
      <c r="BS28" s="150">
        <v>50</v>
      </c>
      <c r="BT28" s="151" t="s">
        <v>162</v>
      </c>
      <c r="BU28" s="152">
        <v>188.3</v>
      </c>
      <c r="BV28" s="152">
        <v>113.2</v>
      </c>
      <c r="BW28" s="151">
        <v>1663</v>
      </c>
      <c r="BX28" s="151" t="s">
        <v>1718</v>
      </c>
      <c r="BY28" s="151">
        <v>346</v>
      </c>
      <c r="BZ28" s="151" t="s">
        <v>1718</v>
      </c>
      <c r="CA28" s="151">
        <v>288</v>
      </c>
      <c r="CB28" s="151" t="s">
        <v>1718</v>
      </c>
      <c r="CD28" s="155">
        <f t="shared" si="11"/>
        <v>0.05</v>
      </c>
      <c r="CE28" s="156">
        <f t="shared" si="12"/>
        <v>0.1663</v>
      </c>
      <c r="CG28" s="150">
        <v>50</v>
      </c>
      <c r="CH28" s="151" t="s">
        <v>162</v>
      </c>
      <c r="CI28" s="152">
        <v>160.69999999999999</v>
      </c>
      <c r="CJ28" s="152">
        <v>143</v>
      </c>
      <c r="CK28" s="151">
        <v>1595</v>
      </c>
      <c r="CL28" s="151" t="s">
        <v>1718</v>
      </c>
      <c r="CM28" s="151">
        <v>338</v>
      </c>
      <c r="CN28" s="151" t="s">
        <v>1718</v>
      </c>
      <c r="CO28" s="151">
        <v>273</v>
      </c>
      <c r="CP28" s="151" t="s">
        <v>1718</v>
      </c>
      <c r="CR28" s="155">
        <f t="shared" si="0"/>
        <v>0.05</v>
      </c>
      <c r="CS28" s="156">
        <f t="shared" si="13"/>
        <v>0.1595</v>
      </c>
      <c r="CU28" s="151">
        <v>50</v>
      </c>
      <c r="CV28" s="152" t="s">
        <v>162</v>
      </c>
      <c r="CW28" s="152">
        <v>214.8</v>
      </c>
      <c r="CX28" s="152">
        <v>402.1</v>
      </c>
      <c r="CY28" s="151">
        <v>851</v>
      </c>
      <c r="CZ28" s="151" t="s">
        <v>1718</v>
      </c>
      <c r="DA28" s="151">
        <v>169</v>
      </c>
      <c r="DB28" s="151" t="s">
        <v>1718</v>
      </c>
      <c r="DC28" s="151">
        <v>139</v>
      </c>
      <c r="DD28" t="s">
        <v>1718</v>
      </c>
      <c r="DF28" s="155">
        <f t="shared" si="14"/>
        <v>0.05</v>
      </c>
      <c r="DG28" s="156">
        <f t="shared" si="17"/>
        <v>8.5100000000000009E-2</v>
      </c>
      <c r="DI28" s="151">
        <v>50</v>
      </c>
      <c r="DJ28" s="152" t="s">
        <v>162</v>
      </c>
      <c r="DK28" s="152">
        <v>229.8</v>
      </c>
      <c r="DL28" s="152">
        <v>388.9</v>
      </c>
      <c r="DM28" s="151">
        <v>866</v>
      </c>
      <c r="DN28" s="151" t="s">
        <v>1718</v>
      </c>
      <c r="DO28" s="151">
        <v>163</v>
      </c>
      <c r="DP28" s="151" t="s">
        <v>1718</v>
      </c>
      <c r="DQ28" s="151">
        <v>136</v>
      </c>
      <c r="DR28" t="s">
        <v>1718</v>
      </c>
      <c r="DT28" s="155">
        <f t="shared" si="15"/>
        <v>0.05</v>
      </c>
      <c r="DU28" s="156">
        <f t="shared" si="18"/>
        <v>8.660000000000001E-2</v>
      </c>
      <c r="DW28" s="401">
        <v>50</v>
      </c>
      <c r="DX28" s="401" t="s">
        <v>162</v>
      </c>
      <c r="DY28" s="402">
        <v>132.4</v>
      </c>
      <c r="DZ28" s="402">
        <v>16.97</v>
      </c>
      <c r="EA28" s="401">
        <v>3729</v>
      </c>
      <c r="EB28" s="401" t="s">
        <v>1718</v>
      </c>
      <c r="EC28" s="401">
        <v>686</v>
      </c>
      <c r="ED28" s="401" t="s">
        <v>1718</v>
      </c>
      <c r="EE28" s="401">
        <v>690</v>
      </c>
      <c r="EF28" s="403" t="s">
        <v>1718</v>
      </c>
      <c r="EH28" s="155">
        <f t="shared" si="16"/>
        <v>0.05</v>
      </c>
      <c r="EI28" s="156">
        <f t="shared" si="19"/>
        <v>0.37290000000000001</v>
      </c>
    </row>
    <row r="29" spans="1:139" x14ac:dyDescent="0.2">
      <c r="A29" s="150">
        <v>55</v>
      </c>
      <c r="B29" s="151" t="s">
        <v>162</v>
      </c>
      <c r="C29" s="152">
        <v>151.6</v>
      </c>
      <c r="D29" s="152">
        <v>156.19999999999999</v>
      </c>
      <c r="E29" s="151">
        <v>1644</v>
      </c>
      <c r="F29" s="151" t="s">
        <v>1718</v>
      </c>
      <c r="G29" s="151">
        <v>352</v>
      </c>
      <c r="H29" s="151" t="s">
        <v>1718</v>
      </c>
      <c r="I29" s="151">
        <v>281</v>
      </c>
      <c r="J29" s="151" t="s">
        <v>1718</v>
      </c>
      <c r="L29" s="155">
        <f t="shared" si="1"/>
        <v>5.5E-2</v>
      </c>
      <c r="M29" s="156">
        <f t="shared" si="2"/>
        <v>0.16440000000000002</v>
      </c>
      <c r="N29" s="275"/>
      <c r="O29" s="150">
        <v>55</v>
      </c>
      <c r="P29" s="151" t="s">
        <v>162</v>
      </c>
      <c r="Q29" s="152">
        <v>186.4</v>
      </c>
      <c r="R29" s="152">
        <v>125.4</v>
      </c>
      <c r="S29" s="151">
        <v>1739</v>
      </c>
      <c r="T29" s="151" t="s">
        <v>1718</v>
      </c>
      <c r="U29" s="151">
        <v>371</v>
      </c>
      <c r="V29" s="151" t="s">
        <v>1718</v>
      </c>
      <c r="W29" s="151">
        <v>305</v>
      </c>
      <c r="X29" s="151" t="s">
        <v>1718</v>
      </c>
      <c r="Z29" s="155">
        <f t="shared" si="3"/>
        <v>5.5E-2</v>
      </c>
      <c r="AA29" s="156">
        <f t="shared" si="4"/>
        <v>0.1739</v>
      </c>
      <c r="AB29" s="275"/>
      <c r="AC29" s="150">
        <v>55</v>
      </c>
      <c r="AD29" s="151" t="s">
        <v>162</v>
      </c>
      <c r="AE29" s="152">
        <v>113.1</v>
      </c>
      <c r="AF29" s="152">
        <v>3.0489999999999999</v>
      </c>
      <c r="AG29" s="151">
        <v>6387</v>
      </c>
      <c r="AH29" s="151" t="s">
        <v>1718</v>
      </c>
      <c r="AI29" s="151">
        <v>866</v>
      </c>
      <c r="AJ29" s="151" t="s">
        <v>1718</v>
      </c>
      <c r="AK29" s="151">
        <v>1021</v>
      </c>
      <c r="AL29" s="151" t="s">
        <v>1718</v>
      </c>
      <c r="AN29" s="155">
        <f t="shared" si="5"/>
        <v>5.5E-2</v>
      </c>
      <c r="AO29" s="156">
        <f t="shared" si="6"/>
        <v>0.63870000000000005</v>
      </c>
      <c r="AP29" s="275"/>
      <c r="AQ29" s="150">
        <v>55</v>
      </c>
      <c r="AR29" s="151" t="s">
        <v>162</v>
      </c>
      <c r="AS29" s="152">
        <v>104.7</v>
      </c>
      <c r="AT29" s="152">
        <v>0.2525</v>
      </c>
      <c r="AU29" s="151">
        <v>6926</v>
      </c>
      <c r="AV29" s="151" t="s">
        <v>1718</v>
      </c>
      <c r="AW29" s="151">
        <v>599</v>
      </c>
      <c r="AX29" s="151" t="s">
        <v>1718</v>
      </c>
      <c r="AY29" s="151">
        <v>782</v>
      </c>
      <c r="AZ29" s="151" t="s">
        <v>1718</v>
      </c>
      <c r="BB29" s="155">
        <f t="shared" si="7"/>
        <v>5.5E-2</v>
      </c>
      <c r="BC29" s="156">
        <f t="shared" si="8"/>
        <v>0.69259999999999999</v>
      </c>
      <c r="BE29" s="150">
        <v>55</v>
      </c>
      <c r="BF29" s="151" t="s">
        <v>162</v>
      </c>
      <c r="BG29" s="152">
        <v>190.6</v>
      </c>
      <c r="BH29" s="152">
        <v>45.3</v>
      </c>
      <c r="BI29" s="151">
        <v>2418</v>
      </c>
      <c r="BJ29" s="151" t="s">
        <v>1718</v>
      </c>
      <c r="BK29" s="151">
        <v>439</v>
      </c>
      <c r="BL29" s="151" t="s">
        <v>1718</v>
      </c>
      <c r="BM29" s="151">
        <v>404</v>
      </c>
      <c r="BN29" s="151" t="s">
        <v>1718</v>
      </c>
      <c r="BP29" s="155">
        <f t="shared" si="9"/>
        <v>5.5E-2</v>
      </c>
      <c r="BQ29" s="156">
        <f t="shared" si="10"/>
        <v>0.24180000000000001</v>
      </c>
      <c r="BS29" s="150">
        <v>55</v>
      </c>
      <c r="BT29" s="151" t="s">
        <v>162</v>
      </c>
      <c r="BU29" s="152">
        <v>192.4</v>
      </c>
      <c r="BV29" s="152">
        <v>108.2</v>
      </c>
      <c r="BW29" s="151">
        <v>1817</v>
      </c>
      <c r="BX29" s="151" t="s">
        <v>1718</v>
      </c>
      <c r="BY29" s="151">
        <v>367</v>
      </c>
      <c r="BZ29" s="151" t="s">
        <v>1718</v>
      </c>
      <c r="CA29" s="151">
        <v>310</v>
      </c>
      <c r="CB29" s="151" t="s">
        <v>1718</v>
      </c>
      <c r="CD29" s="155">
        <f t="shared" si="11"/>
        <v>5.5E-2</v>
      </c>
      <c r="CE29" s="156">
        <f t="shared" si="12"/>
        <v>0.1817</v>
      </c>
      <c r="CG29" s="150">
        <v>55</v>
      </c>
      <c r="CH29" s="151" t="s">
        <v>162</v>
      </c>
      <c r="CI29" s="152">
        <v>171.7</v>
      </c>
      <c r="CJ29" s="152">
        <v>137.19999999999999</v>
      </c>
      <c r="CK29" s="151">
        <v>1746</v>
      </c>
      <c r="CL29" s="151" t="s">
        <v>1718</v>
      </c>
      <c r="CM29" s="151">
        <v>361</v>
      </c>
      <c r="CN29" s="151" t="s">
        <v>1718</v>
      </c>
      <c r="CO29" s="151">
        <v>295</v>
      </c>
      <c r="CP29" s="151" t="s">
        <v>1718</v>
      </c>
      <c r="CR29" s="155">
        <f t="shared" si="0"/>
        <v>5.5E-2</v>
      </c>
      <c r="CS29" s="156">
        <f t="shared" si="13"/>
        <v>0.17460000000000001</v>
      </c>
      <c r="CU29" s="151">
        <v>55</v>
      </c>
      <c r="CV29" s="152" t="s">
        <v>162</v>
      </c>
      <c r="CW29" s="152">
        <v>225.3</v>
      </c>
      <c r="CX29" s="152">
        <v>394.4</v>
      </c>
      <c r="CY29" s="151">
        <v>927</v>
      </c>
      <c r="CZ29" s="151" t="s">
        <v>1718</v>
      </c>
      <c r="DA29" s="151">
        <v>181</v>
      </c>
      <c r="DB29" s="151" t="s">
        <v>1718</v>
      </c>
      <c r="DC29" s="151">
        <v>149</v>
      </c>
      <c r="DD29" t="s">
        <v>1718</v>
      </c>
      <c r="DF29" s="155">
        <f t="shared" si="14"/>
        <v>5.5E-2</v>
      </c>
      <c r="DG29" s="156">
        <f t="shared" si="17"/>
        <v>9.2700000000000005E-2</v>
      </c>
      <c r="DI29" s="151">
        <v>55</v>
      </c>
      <c r="DJ29" s="152" t="s">
        <v>162</v>
      </c>
      <c r="DK29" s="152">
        <v>241.1</v>
      </c>
      <c r="DL29" s="152">
        <v>381.5</v>
      </c>
      <c r="DM29" s="151">
        <v>941</v>
      </c>
      <c r="DN29" s="151" t="s">
        <v>1718</v>
      </c>
      <c r="DO29" s="151">
        <v>175</v>
      </c>
      <c r="DP29" s="151" t="s">
        <v>1718</v>
      </c>
      <c r="DQ29" s="151">
        <v>146</v>
      </c>
      <c r="DR29" t="s">
        <v>1718</v>
      </c>
      <c r="DT29" s="155">
        <f t="shared" si="15"/>
        <v>5.5E-2</v>
      </c>
      <c r="DU29" s="156">
        <f t="shared" si="18"/>
        <v>9.4100000000000003E-2</v>
      </c>
      <c r="DW29" s="401">
        <v>55</v>
      </c>
      <c r="DX29" s="401" t="s">
        <v>162</v>
      </c>
      <c r="DY29" s="402">
        <v>139.30000000000001</v>
      </c>
      <c r="DZ29" s="402">
        <v>15.92</v>
      </c>
      <c r="EA29" s="401">
        <v>4038</v>
      </c>
      <c r="EB29" s="401" t="s">
        <v>1718</v>
      </c>
      <c r="EC29" s="401">
        <v>715</v>
      </c>
      <c r="ED29" s="401" t="s">
        <v>1718</v>
      </c>
      <c r="EE29" s="401">
        <v>731</v>
      </c>
      <c r="EF29" s="403" t="s">
        <v>1718</v>
      </c>
      <c r="EH29" s="155">
        <f t="shared" si="16"/>
        <v>5.5E-2</v>
      </c>
      <c r="EI29" s="156">
        <f t="shared" si="19"/>
        <v>0.40379999999999999</v>
      </c>
    </row>
    <row r="30" spans="1:139" x14ac:dyDescent="0.2">
      <c r="A30" s="150">
        <v>60</v>
      </c>
      <c r="B30" s="151" t="s">
        <v>162</v>
      </c>
      <c r="C30" s="152">
        <v>156.30000000000001</v>
      </c>
      <c r="D30" s="152">
        <v>150.5</v>
      </c>
      <c r="E30" s="151">
        <v>1794</v>
      </c>
      <c r="F30" s="151" t="s">
        <v>1718</v>
      </c>
      <c r="G30" s="151">
        <v>376</v>
      </c>
      <c r="H30" s="151" t="s">
        <v>1718</v>
      </c>
      <c r="I30" s="151">
        <v>303</v>
      </c>
      <c r="J30" s="151" t="s">
        <v>1718</v>
      </c>
      <c r="L30" s="155">
        <f t="shared" si="1"/>
        <v>0.06</v>
      </c>
      <c r="M30" s="156">
        <f t="shared" si="2"/>
        <v>0.1794</v>
      </c>
      <c r="N30" s="275"/>
      <c r="O30" s="150">
        <v>60</v>
      </c>
      <c r="P30" s="151" t="s">
        <v>162</v>
      </c>
      <c r="Q30" s="152">
        <v>193.6</v>
      </c>
      <c r="R30" s="152">
        <v>120.4</v>
      </c>
      <c r="S30" s="151">
        <v>1887</v>
      </c>
      <c r="T30" s="151" t="s">
        <v>1718</v>
      </c>
      <c r="U30" s="151">
        <v>392</v>
      </c>
      <c r="V30" s="151" t="s">
        <v>1718</v>
      </c>
      <c r="W30" s="151">
        <v>327</v>
      </c>
      <c r="X30" s="151" t="s">
        <v>1718</v>
      </c>
      <c r="Z30" s="155">
        <f t="shared" si="3"/>
        <v>0.06</v>
      </c>
      <c r="AA30" s="156">
        <f t="shared" si="4"/>
        <v>0.18870000000000001</v>
      </c>
      <c r="AB30" s="275"/>
      <c r="AC30" s="150">
        <v>60</v>
      </c>
      <c r="AD30" s="151" t="s">
        <v>162</v>
      </c>
      <c r="AE30" s="152">
        <v>117.4</v>
      </c>
      <c r="AF30" s="152">
        <v>2.8559999999999999</v>
      </c>
      <c r="AG30" s="151">
        <v>6797</v>
      </c>
      <c r="AH30" s="151" t="s">
        <v>1718</v>
      </c>
      <c r="AI30" s="151">
        <v>885</v>
      </c>
      <c r="AJ30" s="151" t="s">
        <v>1718</v>
      </c>
      <c r="AK30" s="151">
        <v>1054</v>
      </c>
      <c r="AL30" s="151" t="s">
        <v>1718</v>
      </c>
      <c r="AN30" s="155">
        <f t="shared" si="5"/>
        <v>0.06</v>
      </c>
      <c r="AO30" s="156">
        <f t="shared" si="6"/>
        <v>0.67970000000000008</v>
      </c>
      <c r="AP30" s="275"/>
      <c r="AQ30" s="150">
        <v>60</v>
      </c>
      <c r="AR30" s="151" t="s">
        <v>162</v>
      </c>
      <c r="AS30" s="152">
        <v>105.3</v>
      </c>
      <c r="AT30" s="152">
        <v>0.23530000000000001</v>
      </c>
      <c r="AU30" s="151">
        <v>7396</v>
      </c>
      <c r="AV30" s="151" t="s">
        <v>1718</v>
      </c>
      <c r="AW30" s="151">
        <v>610</v>
      </c>
      <c r="AX30" s="151" t="s">
        <v>1718</v>
      </c>
      <c r="AY30" s="151">
        <v>801</v>
      </c>
      <c r="AZ30" s="151" t="s">
        <v>1718</v>
      </c>
      <c r="BB30" s="155">
        <f t="shared" si="7"/>
        <v>0.06</v>
      </c>
      <c r="BC30" s="156">
        <f t="shared" si="8"/>
        <v>0.73960000000000004</v>
      </c>
      <c r="BE30" s="150">
        <v>60</v>
      </c>
      <c r="BF30" s="151" t="s">
        <v>162</v>
      </c>
      <c r="BG30" s="152">
        <v>196.8</v>
      </c>
      <c r="BH30" s="152">
        <v>43.03</v>
      </c>
      <c r="BI30" s="151">
        <v>2617</v>
      </c>
      <c r="BJ30" s="151" t="s">
        <v>1718</v>
      </c>
      <c r="BK30" s="151">
        <v>460</v>
      </c>
      <c r="BL30" s="151" t="s">
        <v>1718</v>
      </c>
      <c r="BM30" s="151">
        <v>429</v>
      </c>
      <c r="BN30" s="151" t="s">
        <v>1718</v>
      </c>
      <c r="BP30" s="155">
        <f t="shared" si="9"/>
        <v>0.06</v>
      </c>
      <c r="BQ30" s="156">
        <f t="shared" si="10"/>
        <v>0.26169999999999999</v>
      </c>
      <c r="BS30" s="150">
        <v>60</v>
      </c>
      <c r="BT30" s="151" t="s">
        <v>162</v>
      </c>
      <c r="BU30" s="152">
        <v>195.1</v>
      </c>
      <c r="BV30" s="152">
        <v>103.7</v>
      </c>
      <c r="BW30" s="151">
        <v>1972</v>
      </c>
      <c r="BX30" s="151" t="s">
        <v>1718</v>
      </c>
      <c r="BY30" s="151">
        <v>388</v>
      </c>
      <c r="BZ30" s="151" t="s">
        <v>1718</v>
      </c>
      <c r="CA30" s="151">
        <v>331</v>
      </c>
      <c r="CB30" s="151" t="s">
        <v>1718</v>
      </c>
      <c r="CD30" s="155">
        <f t="shared" si="11"/>
        <v>0.06</v>
      </c>
      <c r="CE30" s="156">
        <f t="shared" si="12"/>
        <v>0.19720000000000001</v>
      </c>
      <c r="CG30" s="150">
        <v>60</v>
      </c>
      <c r="CH30" s="151" t="s">
        <v>162</v>
      </c>
      <c r="CI30" s="152">
        <v>180.4</v>
      </c>
      <c r="CJ30" s="152">
        <v>132</v>
      </c>
      <c r="CK30" s="151">
        <v>1896</v>
      </c>
      <c r="CL30" s="151" t="s">
        <v>1718</v>
      </c>
      <c r="CM30" s="151">
        <v>382</v>
      </c>
      <c r="CN30" s="151" t="s">
        <v>1718</v>
      </c>
      <c r="CO30" s="151">
        <v>316</v>
      </c>
      <c r="CP30" s="151" t="s">
        <v>1718</v>
      </c>
      <c r="CR30" s="155">
        <f t="shared" si="0"/>
        <v>0.06</v>
      </c>
      <c r="CS30" s="156">
        <f t="shared" si="13"/>
        <v>0.18960000000000002</v>
      </c>
      <c r="CU30" s="151">
        <v>60</v>
      </c>
      <c r="CV30" s="152" t="s">
        <v>162</v>
      </c>
      <c r="CW30" s="152">
        <v>235.3</v>
      </c>
      <c r="CX30" s="152">
        <v>387</v>
      </c>
      <c r="CY30" s="151">
        <v>1002</v>
      </c>
      <c r="CZ30" s="151" t="s">
        <v>1718</v>
      </c>
      <c r="DA30" s="151">
        <v>192</v>
      </c>
      <c r="DB30" s="151" t="s">
        <v>1718</v>
      </c>
      <c r="DC30" s="151">
        <v>159</v>
      </c>
      <c r="DD30" t="s">
        <v>1718</v>
      </c>
      <c r="DF30" s="155">
        <f t="shared" si="14"/>
        <v>0.06</v>
      </c>
      <c r="DG30" s="156">
        <f t="shared" si="17"/>
        <v>0.10020000000000001</v>
      </c>
      <c r="DI30" s="151">
        <v>60</v>
      </c>
      <c r="DJ30" s="152" t="s">
        <v>162</v>
      </c>
      <c r="DK30" s="152">
        <v>251.8</v>
      </c>
      <c r="DL30" s="152">
        <v>374.3</v>
      </c>
      <c r="DM30" s="151">
        <v>1017</v>
      </c>
      <c r="DN30" s="151" t="s">
        <v>1718</v>
      </c>
      <c r="DO30" s="151">
        <v>186</v>
      </c>
      <c r="DP30" s="151" t="s">
        <v>1718</v>
      </c>
      <c r="DQ30" s="151">
        <v>155</v>
      </c>
      <c r="DR30" t="s">
        <v>1718</v>
      </c>
      <c r="DT30" s="155">
        <f t="shared" si="15"/>
        <v>0.06</v>
      </c>
      <c r="DU30" s="156">
        <f t="shared" si="18"/>
        <v>0.1017</v>
      </c>
      <c r="DW30" s="401">
        <v>60</v>
      </c>
      <c r="DX30" s="401" t="s">
        <v>162</v>
      </c>
      <c r="DY30" s="402">
        <v>145.69999999999999</v>
      </c>
      <c r="DZ30" s="402">
        <v>15.01</v>
      </c>
      <c r="EA30" s="401">
        <v>4336</v>
      </c>
      <c r="EB30" s="401" t="s">
        <v>1718</v>
      </c>
      <c r="EC30" s="401">
        <v>741</v>
      </c>
      <c r="ED30" s="401" t="s">
        <v>1718</v>
      </c>
      <c r="EE30" s="401">
        <v>768</v>
      </c>
      <c r="EF30" s="403" t="s">
        <v>1718</v>
      </c>
      <c r="EH30" s="155">
        <f t="shared" si="16"/>
        <v>0.06</v>
      </c>
      <c r="EI30" s="156">
        <f t="shared" si="19"/>
        <v>0.43360000000000004</v>
      </c>
    </row>
    <row r="31" spans="1:139" x14ac:dyDescent="0.2">
      <c r="A31" s="150">
        <v>65</v>
      </c>
      <c r="B31" s="151" t="s">
        <v>162</v>
      </c>
      <c r="C31" s="152">
        <v>160.6</v>
      </c>
      <c r="D31" s="152">
        <v>145.19999999999999</v>
      </c>
      <c r="E31" s="151">
        <v>1945</v>
      </c>
      <c r="F31" s="151" t="s">
        <v>1718</v>
      </c>
      <c r="G31" s="151">
        <v>399</v>
      </c>
      <c r="H31" s="151" t="s">
        <v>1718</v>
      </c>
      <c r="I31" s="151">
        <v>325</v>
      </c>
      <c r="J31" s="151" t="s">
        <v>1718</v>
      </c>
      <c r="L31" s="155">
        <f t="shared" si="1"/>
        <v>6.5000000000000002E-2</v>
      </c>
      <c r="M31" s="156">
        <f t="shared" si="2"/>
        <v>0.19450000000000001</v>
      </c>
      <c r="N31" s="275"/>
      <c r="O31" s="150">
        <v>65</v>
      </c>
      <c r="P31" s="151" t="s">
        <v>162</v>
      </c>
      <c r="Q31" s="152">
        <v>199.6</v>
      </c>
      <c r="R31" s="152">
        <v>115.9</v>
      </c>
      <c r="S31" s="151">
        <v>2034</v>
      </c>
      <c r="T31" s="151" t="s">
        <v>1718</v>
      </c>
      <c r="U31" s="151">
        <v>413</v>
      </c>
      <c r="V31" s="151" t="s">
        <v>1718</v>
      </c>
      <c r="W31" s="151">
        <v>348</v>
      </c>
      <c r="X31" s="151" t="s">
        <v>1718</v>
      </c>
      <c r="Z31" s="155">
        <f t="shared" si="3"/>
        <v>6.5000000000000002E-2</v>
      </c>
      <c r="AA31" s="156">
        <f t="shared" si="4"/>
        <v>0.2034</v>
      </c>
      <c r="AB31" s="275"/>
      <c r="AC31" s="150">
        <v>65</v>
      </c>
      <c r="AD31" s="151" t="s">
        <v>162</v>
      </c>
      <c r="AE31" s="152">
        <v>121.5</v>
      </c>
      <c r="AF31" s="152">
        <v>2.6880000000000002</v>
      </c>
      <c r="AG31" s="151">
        <v>7195</v>
      </c>
      <c r="AH31" s="151" t="s">
        <v>1718</v>
      </c>
      <c r="AI31" s="151">
        <v>902</v>
      </c>
      <c r="AJ31" s="151" t="s">
        <v>1718</v>
      </c>
      <c r="AK31" s="151">
        <v>1084</v>
      </c>
      <c r="AL31" s="151" t="s">
        <v>1718</v>
      </c>
      <c r="AN31" s="155">
        <f t="shared" si="5"/>
        <v>6.5000000000000002E-2</v>
      </c>
      <c r="AO31" s="156">
        <f t="shared" si="6"/>
        <v>0.71950000000000003</v>
      </c>
      <c r="AP31" s="275"/>
      <c r="AQ31" s="150">
        <v>65</v>
      </c>
      <c r="AR31" s="151" t="s">
        <v>162</v>
      </c>
      <c r="AS31" s="152">
        <v>105.6</v>
      </c>
      <c r="AT31" s="152">
        <v>0.22040000000000001</v>
      </c>
      <c r="AU31" s="151">
        <v>7864</v>
      </c>
      <c r="AV31" s="151" t="s">
        <v>1718</v>
      </c>
      <c r="AW31" s="151">
        <v>621</v>
      </c>
      <c r="AX31" s="151" t="s">
        <v>1718</v>
      </c>
      <c r="AY31" s="151">
        <v>820</v>
      </c>
      <c r="AZ31" s="151" t="s">
        <v>1718</v>
      </c>
      <c r="BB31" s="155">
        <f t="shared" si="7"/>
        <v>6.5000000000000002E-2</v>
      </c>
      <c r="BC31" s="156">
        <f t="shared" si="8"/>
        <v>0.78639999999999999</v>
      </c>
      <c r="BE31" s="150">
        <v>65</v>
      </c>
      <c r="BF31" s="151" t="s">
        <v>162</v>
      </c>
      <c r="BG31" s="152">
        <v>202.8</v>
      </c>
      <c r="BH31" s="152">
        <v>41.01</v>
      </c>
      <c r="BI31" s="151">
        <v>2812</v>
      </c>
      <c r="BJ31" s="151" t="s">
        <v>1718</v>
      </c>
      <c r="BK31" s="151">
        <v>479</v>
      </c>
      <c r="BL31" s="151" t="s">
        <v>1718</v>
      </c>
      <c r="BM31" s="151">
        <v>453</v>
      </c>
      <c r="BN31" s="151" t="s">
        <v>1718</v>
      </c>
      <c r="BP31" s="155">
        <f t="shared" si="9"/>
        <v>6.5000000000000002E-2</v>
      </c>
      <c r="BQ31" s="156">
        <f t="shared" si="10"/>
        <v>0.28120000000000001</v>
      </c>
      <c r="BS31" s="150">
        <v>65</v>
      </c>
      <c r="BT31" s="151" t="s">
        <v>162</v>
      </c>
      <c r="BU31" s="152">
        <v>197.2</v>
      </c>
      <c r="BV31" s="152">
        <v>99.68</v>
      </c>
      <c r="BW31" s="151">
        <v>2129</v>
      </c>
      <c r="BX31" s="151" t="s">
        <v>1718</v>
      </c>
      <c r="BY31" s="151">
        <v>409</v>
      </c>
      <c r="BZ31" s="151" t="s">
        <v>1718</v>
      </c>
      <c r="CA31" s="151">
        <v>352</v>
      </c>
      <c r="CB31" s="151" t="s">
        <v>1718</v>
      </c>
      <c r="CD31" s="155">
        <f t="shared" si="11"/>
        <v>6.5000000000000002E-2</v>
      </c>
      <c r="CE31" s="156">
        <f t="shared" si="12"/>
        <v>0.21290000000000001</v>
      </c>
      <c r="CG31" s="150">
        <v>65</v>
      </c>
      <c r="CH31" s="151" t="s">
        <v>162</v>
      </c>
      <c r="CI31" s="152">
        <v>187.6</v>
      </c>
      <c r="CJ31" s="152">
        <v>127.2</v>
      </c>
      <c r="CK31" s="151">
        <v>2044</v>
      </c>
      <c r="CL31" s="151" t="s">
        <v>1718</v>
      </c>
      <c r="CM31" s="151">
        <v>403</v>
      </c>
      <c r="CN31" s="151" t="s">
        <v>1718</v>
      </c>
      <c r="CO31" s="151">
        <v>337</v>
      </c>
      <c r="CP31" s="151" t="s">
        <v>1718</v>
      </c>
      <c r="CR31" s="155">
        <f t="shared" si="0"/>
        <v>6.5000000000000002E-2</v>
      </c>
      <c r="CS31" s="156">
        <f t="shared" si="13"/>
        <v>0.2044</v>
      </c>
      <c r="CU31" s="151">
        <v>65</v>
      </c>
      <c r="CV31" s="152" t="s">
        <v>162</v>
      </c>
      <c r="CW31" s="152">
        <v>244.9</v>
      </c>
      <c r="CX31" s="152">
        <v>379.7</v>
      </c>
      <c r="CY31" s="151">
        <v>1077</v>
      </c>
      <c r="CZ31" s="151" t="s">
        <v>1718</v>
      </c>
      <c r="DA31" s="151">
        <v>204</v>
      </c>
      <c r="DB31" s="151" t="s">
        <v>1718</v>
      </c>
      <c r="DC31" s="151">
        <v>168</v>
      </c>
      <c r="DD31" t="s">
        <v>1718</v>
      </c>
      <c r="DF31" s="155">
        <f t="shared" si="14"/>
        <v>6.5000000000000002E-2</v>
      </c>
      <c r="DG31" s="156">
        <f t="shared" si="17"/>
        <v>0.1077</v>
      </c>
      <c r="DI31" s="151">
        <v>65</v>
      </c>
      <c r="DJ31" s="152" t="s">
        <v>162</v>
      </c>
      <c r="DK31" s="152">
        <v>262.10000000000002</v>
      </c>
      <c r="DL31" s="152">
        <v>367.3</v>
      </c>
      <c r="DM31" s="151">
        <v>1092</v>
      </c>
      <c r="DN31" s="151" t="s">
        <v>1718</v>
      </c>
      <c r="DO31" s="151">
        <v>196</v>
      </c>
      <c r="DP31" s="151" t="s">
        <v>1718</v>
      </c>
      <c r="DQ31" s="151">
        <v>165</v>
      </c>
      <c r="DR31" t="s">
        <v>1718</v>
      </c>
      <c r="DT31" s="155">
        <f t="shared" si="15"/>
        <v>6.5000000000000002E-2</v>
      </c>
      <c r="DU31" s="156">
        <f t="shared" si="18"/>
        <v>0.10920000000000001</v>
      </c>
      <c r="DW31" s="401">
        <v>65</v>
      </c>
      <c r="DX31" s="401" t="s">
        <v>162</v>
      </c>
      <c r="DY31" s="402">
        <v>151.5</v>
      </c>
      <c r="DZ31" s="402">
        <v>14.22</v>
      </c>
      <c r="EA31" s="401">
        <v>4627</v>
      </c>
      <c r="EB31" s="401" t="s">
        <v>1718</v>
      </c>
      <c r="EC31" s="401">
        <v>764</v>
      </c>
      <c r="ED31" s="401" t="s">
        <v>1718</v>
      </c>
      <c r="EE31" s="401">
        <v>803</v>
      </c>
      <c r="EF31" s="403" t="s">
        <v>1718</v>
      </c>
      <c r="EH31" s="155">
        <f t="shared" si="16"/>
        <v>6.5000000000000002E-2</v>
      </c>
      <c r="EI31" s="156">
        <f t="shared" si="19"/>
        <v>0.4627</v>
      </c>
    </row>
    <row r="32" spans="1:139" x14ac:dyDescent="0.2">
      <c r="A32" s="150">
        <v>70</v>
      </c>
      <c r="B32" s="151" t="s">
        <v>162</v>
      </c>
      <c r="C32" s="152">
        <v>164.6</v>
      </c>
      <c r="D32" s="152">
        <v>140.4</v>
      </c>
      <c r="E32" s="151">
        <v>2098</v>
      </c>
      <c r="F32" s="151" t="s">
        <v>1718</v>
      </c>
      <c r="G32" s="151">
        <v>422</v>
      </c>
      <c r="H32" s="151" t="s">
        <v>1718</v>
      </c>
      <c r="I32" s="151">
        <v>346</v>
      </c>
      <c r="J32" s="151" t="s">
        <v>1718</v>
      </c>
      <c r="L32" s="155">
        <f t="shared" si="1"/>
        <v>7.0000000000000007E-2</v>
      </c>
      <c r="M32" s="156">
        <f t="shared" si="2"/>
        <v>0.20980000000000001</v>
      </c>
      <c r="N32" s="275"/>
      <c r="O32" s="150">
        <v>70</v>
      </c>
      <c r="P32" s="151" t="s">
        <v>162</v>
      </c>
      <c r="Q32" s="152">
        <v>204.8</v>
      </c>
      <c r="R32" s="152">
        <v>111.8</v>
      </c>
      <c r="S32" s="151">
        <v>2181</v>
      </c>
      <c r="T32" s="151" t="s">
        <v>1718</v>
      </c>
      <c r="U32" s="151">
        <v>433</v>
      </c>
      <c r="V32" s="151" t="s">
        <v>1718</v>
      </c>
      <c r="W32" s="151">
        <v>369</v>
      </c>
      <c r="X32" s="151" t="s">
        <v>1718</v>
      </c>
      <c r="Z32" s="155">
        <f t="shared" si="3"/>
        <v>7.0000000000000007E-2</v>
      </c>
      <c r="AA32" s="156">
        <f t="shared" si="4"/>
        <v>0.21810000000000002</v>
      </c>
      <c r="AB32" s="275"/>
      <c r="AC32" s="150">
        <v>70</v>
      </c>
      <c r="AD32" s="151" t="s">
        <v>162</v>
      </c>
      <c r="AE32" s="152">
        <v>125.4</v>
      </c>
      <c r="AF32" s="152">
        <v>2.54</v>
      </c>
      <c r="AG32" s="151">
        <v>7582</v>
      </c>
      <c r="AH32" s="151" t="s">
        <v>1718</v>
      </c>
      <c r="AI32" s="151">
        <v>917</v>
      </c>
      <c r="AJ32" s="151" t="s">
        <v>1718</v>
      </c>
      <c r="AK32" s="151">
        <v>1112</v>
      </c>
      <c r="AL32" s="151" t="s">
        <v>1718</v>
      </c>
      <c r="AN32" s="155">
        <f t="shared" si="5"/>
        <v>7.0000000000000007E-2</v>
      </c>
      <c r="AO32" s="156">
        <f t="shared" si="6"/>
        <v>0.75819999999999999</v>
      </c>
      <c r="AP32" s="275"/>
      <c r="AQ32" s="150">
        <v>70</v>
      </c>
      <c r="AR32" s="151" t="s">
        <v>162</v>
      </c>
      <c r="AS32" s="152">
        <v>105.5</v>
      </c>
      <c r="AT32" s="152">
        <v>0.20749999999999999</v>
      </c>
      <c r="AU32" s="151">
        <v>8333</v>
      </c>
      <c r="AV32" s="151" t="s">
        <v>1718</v>
      </c>
      <c r="AW32" s="151">
        <v>631</v>
      </c>
      <c r="AX32" s="151" t="s">
        <v>1718</v>
      </c>
      <c r="AY32" s="151">
        <v>838</v>
      </c>
      <c r="AZ32" s="151" t="s">
        <v>1718</v>
      </c>
      <c r="BB32" s="155">
        <f t="shared" si="7"/>
        <v>7.0000000000000007E-2</v>
      </c>
      <c r="BC32" s="156">
        <f t="shared" si="8"/>
        <v>0.83330000000000004</v>
      </c>
      <c r="BE32" s="150">
        <v>70</v>
      </c>
      <c r="BF32" s="151" t="s">
        <v>162</v>
      </c>
      <c r="BG32" s="152">
        <v>208.4</v>
      </c>
      <c r="BH32" s="152">
        <v>39.200000000000003</v>
      </c>
      <c r="BI32" s="151">
        <v>3006</v>
      </c>
      <c r="BJ32" s="151" t="s">
        <v>1718</v>
      </c>
      <c r="BK32" s="151">
        <v>497</v>
      </c>
      <c r="BL32" s="151" t="s">
        <v>1718</v>
      </c>
      <c r="BM32" s="151">
        <v>476</v>
      </c>
      <c r="BN32" s="151" t="s">
        <v>1718</v>
      </c>
      <c r="BP32" s="155">
        <f t="shared" si="9"/>
        <v>7.0000000000000007E-2</v>
      </c>
      <c r="BQ32" s="156">
        <f t="shared" si="10"/>
        <v>0.30060000000000003</v>
      </c>
      <c r="BS32" s="150">
        <v>70</v>
      </c>
      <c r="BT32" s="151" t="s">
        <v>162</v>
      </c>
      <c r="BU32" s="152">
        <v>199.3</v>
      </c>
      <c r="BV32" s="152">
        <v>95.98</v>
      </c>
      <c r="BW32" s="151">
        <v>2288</v>
      </c>
      <c r="BX32" s="151" t="s">
        <v>1718</v>
      </c>
      <c r="BY32" s="151">
        <v>429</v>
      </c>
      <c r="BZ32" s="151" t="s">
        <v>1718</v>
      </c>
      <c r="CA32" s="151">
        <v>373</v>
      </c>
      <c r="CB32" s="151" t="s">
        <v>1718</v>
      </c>
      <c r="CD32" s="155">
        <f t="shared" si="11"/>
        <v>7.0000000000000007E-2</v>
      </c>
      <c r="CE32" s="156">
        <f t="shared" si="12"/>
        <v>0.2288</v>
      </c>
      <c r="CG32" s="150">
        <v>70</v>
      </c>
      <c r="CH32" s="151" t="s">
        <v>162</v>
      </c>
      <c r="CI32" s="152">
        <v>193.6</v>
      </c>
      <c r="CJ32" s="152">
        <v>122.9</v>
      </c>
      <c r="CK32" s="151">
        <v>2192</v>
      </c>
      <c r="CL32" s="151" t="s">
        <v>1718</v>
      </c>
      <c r="CM32" s="151">
        <v>422</v>
      </c>
      <c r="CN32" s="151" t="s">
        <v>1718</v>
      </c>
      <c r="CO32" s="151">
        <v>358</v>
      </c>
      <c r="CP32" s="151" t="s">
        <v>1718</v>
      </c>
      <c r="CR32" s="155">
        <f t="shared" si="0"/>
        <v>7.0000000000000007E-2</v>
      </c>
      <c r="CS32" s="156">
        <f t="shared" si="13"/>
        <v>0.21920000000000001</v>
      </c>
      <c r="CU32" s="151">
        <v>70</v>
      </c>
      <c r="CV32" s="152" t="s">
        <v>162</v>
      </c>
      <c r="CW32" s="152">
        <v>254.1</v>
      </c>
      <c r="CX32" s="152">
        <v>372.7</v>
      </c>
      <c r="CY32" s="151">
        <v>1152</v>
      </c>
      <c r="CZ32" s="151" t="s">
        <v>1718</v>
      </c>
      <c r="DA32" s="151">
        <v>215</v>
      </c>
      <c r="DB32" s="151" t="s">
        <v>1718</v>
      </c>
      <c r="DC32" s="151">
        <v>178</v>
      </c>
      <c r="DD32" t="s">
        <v>1718</v>
      </c>
      <c r="DF32" s="155">
        <f t="shared" si="14"/>
        <v>7.0000000000000007E-2</v>
      </c>
      <c r="DG32" s="156">
        <f t="shared" si="17"/>
        <v>0.11520000000000001</v>
      </c>
      <c r="DI32" s="151">
        <v>70</v>
      </c>
      <c r="DJ32" s="152" t="s">
        <v>162</v>
      </c>
      <c r="DK32" s="152">
        <v>271.89999999999998</v>
      </c>
      <c r="DL32" s="152">
        <v>360.5</v>
      </c>
      <c r="DM32" s="151">
        <v>1166</v>
      </c>
      <c r="DN32" s="151" t="s">
        <v>1718</v>
      </c>
      <c r="DO32" s="151">
        <v>207</v>
      </c>
      <c r="DP32" s="151" t="s">
        <v>1718</v>
      </c>
      <c r="DQ32" s="151">
        <v>174</v>
      </c>
      <c r="DR32" t="s">
        <v>1718</v>
      </c>
      <c r="DT32" s="155">
        <f t="shared" si="15"/>
        <v>7.0000000000000007E-2</v>
      </c>
      <c r="DU32" s="156">
        <f t="shared" si="18"/>
        <v>0.11660000000000001</v>
      </c>
      <c r="DW32" s="401">
        <v>70</v>
      </c>
      <c r="DX32" s="401" t="s">
        <v>162</v>
      </c>
      <c r="DY32" s="402">
        <v>156.9</v>
      </c>
      <c r="DZ32" s="402">
        <v>13.51</v>
      </c>
      <c r="EA32" s="401">
        <v>4910</v>
      </c>
      <c r="EB32" s="401" t="s">
        <v>1718</v>
      </c>
      <c r="EC32" s="401">
        <v>786</v>
      </c>
      <c r="ED32" s="401" t="s">
        <v>1718</v>
      </c>
      <c r="EE32" s="401">
        <v>836</v>
      </c>
      <c r="EF32" s="403" t="s">
        <v>1718</v>
      </c>
      <c r="EH32" s="155">
        <f t="shared" si="16"/>
        <v>7.0000000000000007E-2</v>
      </c>
      <c r="EI32" s="156">
        <f t="shared" si="19"/>
        <v>0.49100000000000005</v>
      </c>
    </row>
    <row r="33" spans="1:139" x14ac:dyDescent="0.2">
      <c r="A33" s="150">
        <v>80</v>
      </c>
      <c r="B33" s="151" t="s">
        <v>162</v>
      </c>
      <c r="C33" s="152">
        <v>172.2</v>
      </c>
      <c r="D33" s="152">
        <v>131.80000000000001</v>
      </c>
      <c r="E33" s="151">
        <v>2404</v>
      </c>
      <c r="F33" s="151" t="s">
        <v>1718</v>
      </c>
      <c r="G33" s="151">
        <v>466</v>
      </c>
      <c r="H33" s="151" t="s">
        <v>1718</v>
      </c>
      <c r="I33" s="151">
        <v>388</v>
      </c>
      <c r="J33" s="151" t="s">
        <v>1718</v>
      </c>
      <c r="L33" s="155">
        <f t="shared" si="1"/>
        <v>0.08</v>
      </c>
      <c r="M33" s="156">
        <f t="shared" si="2"/>
        <v>0.2404</v>
      </c>
      <c r="N33" s="275"/>
      <c r="O33" s="150">
        <v>80</v>
      </c>
      <c r="P33" s="151" t="s">
        <v>162</v>
      </c>
      <c r="Q33" s="152">
        <v>213.6</v>
      </c>
      <c r="R33" s="152">
        <v>104.4</v>
      </c>
      <c r="S33" s="151">
        <v>2476</v>
      </c>
      <c r="T33" s="151" t="s">
        <v>1718</v>
      </c>
      <c r="U33" s="151">
        <v>471</v>
      </c>
      <c r="V33" s="151" t="s">
        <v>1718</v>
      </c>
      <c r="W33" s="151">
        <v>409</v>
      </c>
      <c r="X33" s="151" t="s">
        <v>1718</v>
      </c>
      <c r="Z33" s="155">
        <f t="shared" si="3"/>
        <v>0.08</v>
      </c>
      <c r="AA33" s="156">
        <f t="shared" si="4"/>
        <v>0.24760000000000001</v>
      </c>
      <c r="AB33" s="275"/>
      <c r="AC33" s="150">
        <v>80</v>
      </c>
      <c r="AD33" s="151" t="s">
        <v>162</v>
      </c>
      <c r="AE33" s="152">
        <v>133</v>
      </c>
      <c r="AF33" s="152">
        <v>2.2930000000000001</v>
      </c>
      <c r="AG33" s="151">
        <v>8324</v>
      </c>
      <c r="AH33" s="151" t="s">
        <v>1718</v>
      </c>
      <c r="AI33" s="151">
        <v>946</v>
      </c>
      <c r="AJ33" s="151" t="s">
        <v>1718</v>
      </c>
      <c r="AK33" s="151">
        <v>1162</v>
      </c>
      <c r="AL33" s="151" t="s">
        <v>1718</v>
      </c>
      <c r="AN33" s="155">
        <f t="shared" si="5"/>
        <v>0.08</v>
      </c>
      <c r="AO33" s="156">
        <f t="shared" si="6"/>
        <v>0.83240000000000003</v>
      </c>
      <c r="AP33" s="275"/>
      <c r="AQ33" s="150">
        <v>80</v>
      </c>
      <c r="AR33" s="151" t="s">
        <v>162</v>
      </c>
      <c r="AS33" s="152">
        <v>104.6</v>
      </c>
      <c r="AT33" s="152">
        <v>0.186</v>
      </c>
      <c r="AU33" s="151">
        <v>9276</v>
      </c>
      <c r="AV33" s="151" t="s">
        <v>1718</v>
      </c>
      <c r="AW33" s="151">
        <v>656</v>
      </c>
      <c r="AX33" s="151" t="s">
        <v>1718</v>
      </c>
      <c r="AY33" s="151">
        <v>872</v>
      </c>
      <c r="AZ33" s="151" t="s">
        <v>1718</v>
      </c>
      <c r="BB33" s="155">
        <f t="shared" si="7"/>
        <v>0.08</v>
      </c>
      <c r="BC33" s="156">
        <f t="shared" si="8"/>
        <v>0.92760000000000009</v>
      </c>
      <c r="BE33" s="150">
        <v>80</v>
      </c>
      <c r="BF33" s="151" t="s">
        <v>162</v>
      </c>
      <c r="BG33" s="152">
        <v>219</v>
      </c>
      <c r="BH33" s="152">
        <v>36.07</v>
      </c>
      <c r="BI33" s="151">
        <v>3385</v>
      </c>
      <c r="BJ33" s="151" t="s">
        <v>1718</v>
      </c>
      <c r="BK33" s="151">
        <v>532</v>
      </c>
      <c r="BL33" s="151" t="s">
        <v>1718</v>
      </c>
      <c r="BM33" s="151">
        <v>519</v>
      </c>
      <c r="BN33" s="151" t="s">
        <v>1718</v>
      </c>
      <c r="BP33" s="155">
        <f t="shared" si="9"/>
        <v>0.08</v>
      </c>
      <c r="BQ33" s="156">
        <f t="shared" si="10"/>
        <v>0.33850000000000002</v>
      </c>
      <c r="BS33" s="150">
        <v>80</v>
      </c>
      <c r="BT33" s="151" t="s">
        <v>162</v>
      </c>
      <c r="BU33" s="152">
        <v>204.2</v>
      </c>
      <c r="BV33" s="152">
        <v>89.47</v>
      </c>
      <c r="BW33" s="151">
        <v>2608</v>
      </c>
      <c r="BX33" s="151" t="s">
        <v>1718</v>
      </c>
      <c r="BY33" s="151">
        <v>469</v>
      </c>
      <c r="BZ33" s="151" t="s">
        <v>1718</v>
      </c>
      <c r="CA33" s="151">
        <v>413</v>
      </c>
      <c r="CB33" s="151" t="s">
        <v>1718</v>
      </c>
      <c r="CD33" s="155">
        <f t="shared" si="11"/>
        <v>0.08</v>
      </c>
      <c r="CE33" s="156">
        <f t="shared" si="12"/>
        <v>0.26080000000000003</v>
      </c>
      <c r="CG33" s="150">
        <v>80</v>
      </c>
      <c r="CH33" s="151" t="s">
        <v>162</v>
      </c>
      <c r="CI33" s="152">
        <v>203.4</v>
      </c>
      <c r="CJ33" s="152">
        <v>115.1</v>
      </c>
      <c r="CK33" s="151">
        <v>2488</v>
      </c>
      <c r="CL33" s="151" t="s">
        <v>1718</v>
      </c>
      <c r="CM33" s="151">
        <v>461</v>
      </c>
      <c r="CN33" s="151" t="s">
        <v>1718</v>
      </c>
      <c r="CO33" s="151">
        <v>398</v>
      </c>
      <c r="CP33" s="151" t="s">
        <v>1718</v>
      </c>
      <c r="CR33" s="155">
        <f t="shared" si="0"/>
        <v>0.08</v>
      </c>
      <c r="CS33" s="156">
        <f t="shared" si="13"/>
        <v>0.24880000000000002</v>
      </c>
      <c r="CU33" s="151">
        <v>80</v>
      </c>
      <c r="CV33" s="152" t="s">
        <v>162</v>
      </c>
      <c r="CW33" s="152">
        <v>272.10000000000002</v>
      </c>
      <c r="CX33" s="152">
        <v>359.3</v>
      </c>
      <c r="CY33" s="151">
        <v>1301</v>
      </c>
      <c r="CZ33" s="151" t="s">
        <v>1718</v>
      </c>
      <c r="DA33" s="151">
        <v>236</v>
      </c>
      <c r="DB33" s="151" t="s">
        <v>1718</v>
      </c>
      <c r="DC33" s="151">
        <v>197</v>
      </c>
      <c r="DD33" t="s">
        <v>1718</v>
      </c>
      <c r="DF33" s="155">
        <f t="shared" si="14"/>
        <v>0.08</v>
      </c>
      <c r="DG33" s="156">
        <f t="shared" si="17"/>
        <v>0.13009999999999999</v>
      </c>
      <c r="DI33" s="151">
        <v>80</v>
      </c>
      <c r="DJ33" s="152" t="s">
        <v>162</v>
      </c>
      <c r="DK33" s="152">
        <v>290.7</v>
      </c>
      <c r="DL33" s="152">
        <v>347.6</v>
      </c>
      <c r="DM33" s="151">
        <v>1315</v>
      </c>
      <c r="DN33" s="151" t="s">
        <v>1718</v>
      </c>
      <c r="DO33" s="151">
        <v>227</v>
      </c>
      <c r="DP33" s="151" t="s">
        <v>1718</v>
      </c>
      <c r="DQ33" s="151">
        <v>192</v>
      </c>
      <c r="DR33" t="s">
        <v>1718</v>
      </c>
      <c r="DT33" s="155">
        <f t="shared" si="15"/>
        <v>0.08</v>
      </c>
      <c r="DU33" s="156">
        <f t="shared" si="18"/>
        <v>0.13150000000000001</v>
      </c>
      <c r="DW33" s="401">
        <v>80</v>
      </c>
      <c r="DX33" s="401" t="s">
        <v>162</v>
      </c>
      <c r="DY33" s="402">
        <v>166.4</v>
      </c>
      <c r="DZ33" s="402">
        <v>12.31</v>
      </c>
      <c r="EA33" s="401">
        <v>5457</v>
      </c>
      <c r="EB33" s="401" t="s">
        <v>1718</v>
      </c>
      <c r="EC33" s="401">
        <v>826</v>
      </c>
      <c r="ED33" s="401" t="s">
        <v>1718</v>
      </c>
      <c r="EE33" s="401">
        <v>895</v>
      </c>
      <c r="EF33" s="403" t="s">
        <v>1718</v>
      </c>
      <c r="EH33" s="155">
        <f t="shared" si="16"/>
        <v>0.08</v>
      </c>
      <c r="EI33" s="156">
        <f t="shared" si="19"/>
        <v>0.54570000000000007</v>
      </c>
    </row>
    <row r="34" spans="1:139" x14ac:dyDescent="0.2">
      <c r="A34" s="150">
        <v>90</v>
      </c>
      <c r="B34" s="151" t="s">
        <v>162</v>
      </c>
      <c r="C34" s="152">
        <v>179.6</v>
      </c>
      <c r="D34" s="152">
        <v>124.4</v>
      </c>
      <c r="E34" s="151">
        <v>2712</v>
      </c>
      <c r="F34" s="151" t="s">
        <v>1718</v>
      </c>
      <c r="G34" s="151">
        <v>509</v>
      </c>
      <c r="H34" s="151" t="s">
        <v>1718</v>
      </c>
      <c r="I34" s="151">
        <v>429</v>
      </c>
      <c r="J34" s="151" t="s">
        <v>1718</v>
      </c>
      <c r="L34" s="155">
        <f t="shared" si="1"/>
        <v>0.09</v>
      </c>
      <c r="M34" s="156">
        <f t="shared" si="2"/>
        <v>0.2712</v>
      </c>
      <c r="N34" s="275"/>
      <c r="O34" s="150">
        <v>90</v>
      </c>
      <c r="P34" s="151" t="s">
        <v>162</v>
      </c>
      <c r="Q34" s="152">
        <v>221.2</v>
      </c>
      <c r="R34" s="152">
        <v>98.14</v>
      </c>
      <c r="S34" s="151">
        <v>2771</v>
      </c>
      <c r="T34" s="151" t="s">
        <v>1718</v>
      </c>
      <c r="U34" s="151">
        <v>508</v>
      </c>
      <c r="V34" s="151" t="s">
        <v>1718</v>
      </c>
      <c r="W34" s="151">
        <v>448</v>
      </c>
      <c r="X34" s="151" t="s">
        <v>1718</v>
      </c>
      <c r="Z34" s="155">
        <f t="shared" si="3"/>
        <v>0.09</v>
      </c>
      <c r="AA34" s="156">
        <f t="shared" si="4"/>
        <v>0.27710000000000001</v>
      </c>
      <c r="AB34" s="275"/>
      <c r="AC34" s="150">
        <v>90</v>
      </c>
      <c r="AD34" s="151" t="s">
        <v>162</v>
      </c>
      <c r="AE34" s="152">
        <v>140.19999999999999</v>
      </c>
      <c r="AF34" s="152">
        <v>2.093</v>
      </c>
      <c r="AG34" s="151">
        <v>9030</v>
      </c>
      <c r="AH34" s="151" t="s">
        <v>1718</v>
      </c>
      <c r="AI34" s="151">
        <v>972</v>
      </c>
      <c r="AJ34" s="151" t="s">
        <v>1718</v>
      </c>
      <c r="AK34" s="151">
        <v>1206</v>
      </c>
      <c r="AL34" s="151" t="s">
        <v>1718</v>
      </c>
      <c r="AN34" s="155">
        <f t="shared" si="5"/>
        <v>0.09</v>
      </c>
      <c r="AO34" s="156">
        <f t="shared" si="6"/>
        <v>0.90300000000000002</v>
      </c>
      <c r="AP34" s="275"/>
      <c r="AQ34" s="150">
        <v>90</v>
      </c>
      <c r="AR34" s="151" t="s">
        <v>162</v>
      </c>
      <c r="AS34" s="152">
        <v>103</v>
      </c>
      <c r="AT34" s="152">
        <v>0.16880000000000001</v>
      </c>
      <c r="AU34" s="151">
        <v>1.02</v>
      </c>
      <c r="AV34" s="151" t="s">
        <v>1675</v>
      </c>
      <c r="AW34" s="151">
        <v>681</v>
      </c>
      <c r="AX34" s="151" t="s">
        <v>1718</v>
      </c>
      <c r="AY34" s="151">
        <v>904</v>
      </c>
      <c r="AZ34" s="151" t="s">
        <v>1718</v>
      </c>
      <c r="BB34" s="155">
        <f t="shared" si="7"/>
        <v>0.09</v>
      </c>
      <c r="BC34" s="156">
        <f t="shared" si="8"/>
        <v>1.02</v>
      </c>
      <c r="BE34" s="150">
        <v>90</v>
      </c>
      <c r="BF34" s="151" t="s">
        <v>162</v>
      </c>
      <c r="BG34" s="152">
        <v>228.7</v>
      </c>
      <c r="BH34" s="152">
        <v>33.47</v>
      </c>
      <c r="BI34" s="151">
        <v>3755</v>
      </c>
      <c r="BJ34" s="151" t="s">
        <v>1718</v>
      </c>
      <c r="BK34" s="151">
        <v>563</v>
      </c>
      <c r="BL34" s="151" t="s">
        <v>1718</v>
      </c>
      <c r="BM34" s="151">
        <v>559</v>
      </c>
      <c r="BN34" s="151" t="s">
        <v>1718</v>
      </c>
      <c r="BP34" s="155">
        <f t="shared" si="9"/>
        <v>0.09</v>
      </c>
      <c r="BQ34" s="156">
        <f t="shared" si="10"/>
        <v>0.3755</v>
      </c>
      <c r="BS34" s="150">
        <v>90</v>
      </c>
      <c r="BT34" s="151" t="s">
        <v>162</v>
      </c>
      <c r="BU34" s="152">
        <v>210.5</v>
      </c>
      <c r="BV34" s="152">
        <v>83.91</v>
      </c>
      <c r="BW34" s="151">
        <v>2929</v>
      </c>
      <c r="BX34" s="151" t="s">
        <v>1718</v>
      </c>
      <c r="BY34" s="151">
        <v>506</v>
      </c>
      <c r="BZ34" s="151" t="s">
        <v>1718</v>
      </c>
      <c r="CA34" s="151">
        <v>452</v>
      </c>
      <c r="CB34" s="151" t="s">
        <v>1718</v>
      </c>
      <c r="CD34" s="155">
        <f t="shared" si="11"/>
        <v>0.09</v>
      </c>
      <c r="CE34" s="156">
        <f t="shared" si="12"/>
        <v>0.29289999999999999</v>
      </c>
      <c r="CG34" s="150">
        <v>90</v>
      </c>
      <c r="CH34" s="151" t="s">
        <v>162</v>
      </c>
      <c r="CI34" s="152">
        <v>211.2</v>
      </c>
      <c r="CJ34" s="152">
        <v>108.4</v>
      </c>
      <c r="CK34" s="151">
        <v>2783</v>
      </c>
      <c r="CL34" s="151" t="s">
        <v>1718</v>
      </c>
      <c r="CM34" s="151">
        <v>497</v>
      </c>
      <c r="CN34" s="151" t="s">
        <v>1718</v>
      </c>
      <c r="CO34" s="151">
        <v>436</v>
      </c>
      <c r="CP34" s="151" t="s">
        <v>1718</v>
      </c>
      <c r="CR34" s="155">
        <f t="shared" si="0"/>
        <v>0.09</v>
      </c>
      <c r="CS34" s="156">
        <f t="shared" si="13"/>
        <v>0.27829999999999999</v>
      </c>
      <c r="CU34" s="151">
        <v>90</v>
      </c>
      <c r="CV34" s="152" t="s">
        <v>162</v>
      </c>
      <c r="CW34" s="152">
        <v>287.3</v>
      </c>
      <c r="CX34" s="152">
        <v>346.9</v>
      </c>
      <c r="CY34" s="151">
        <v>1450</v>
      </c>
      <c r="CZ34" s="151" t="s">
        <v>1718</v>
      </c>
      <c r="DA34" s="151">
        <v>257</v>
      </c>
      <c r="DB34" s="151" t="s">
        <v>1718</v>
      </c>
      <c r="DC34" s="151">
        <v>215</v>
      </c>
      <c r="DD34" t="s">
        <v>1718</v>
      </c>
      <c r="DF34" s="155">
        <f t="shared" si="14"/>
        <v>0.09</v>
      </c>
      <c r="DG34" s="156">
        <f t="shared" si="17"/>
        <v>0.14500000000000002</v>
      </c>
      <c r="DI34" s="151">
        <v>90</v>
      </c>
      <c r="DJ34" s="152" t="s">
        <v>162</v>
      </c>
      <c r="DK34" s="152">
        <v>303.2</v>
      </c>
      <c r="DL34" s="152">
        <v>335.6</v>
      </c>
      <c r="DM34" s="151">
        <v>1463</v>
      </c>
      <c r="DN34" s="151" t="s">
        <v>1718</v>
      </c>
      <c r="DO34" s="151">
        <v>246</v>
      </c>
      <c r="DP34" s="151" t="s">
        <v>1718</v>
      </c>
      <c r="DQ34" s="151">
        <v>209</v>
      </c>
      <c r="DR34" t="s">
        <v>1718</v>
      </c>
      <c r="DT34" s="155">
        <f t="shared" si="15"/>
        <v>0.09</v>
      </c>
      <c r="DU34" s="156">
        <f t="shared" si="18"/>
        <v>0.14630000000000001</v>
      </c>
      <c r="DW34" s="401">
        <v>90</v>
      </c>
      <c r="DX34" s="401" t="s">
        <v>162</v>
      </c>
      <c r="DY34" s="402">
        <v>174.6</v>
      </c>
      <c r="DZ34" s="402">
        <v>11.32</v>
      </c>
      <c r="EA34" s="401">
        <v>5984</v>
      </c>
      <c r="EB34" s="401" t="s">
        <v>1718</v>
      </c>
      <c r="EC34" s="401">
        <v>860</v>
      </c>
      <c r="ED34" s="401" t="s">
        <v>1718</v>
      </c>
      <c r="EE34" s="401">
        <v>949</v>
      </c>
      <c r="EF34" s="403" t="s">
        <v>1718</v>
      </c>
      <c r="EH34" s="155">
        <f t="shared" si="16"/>
        <v>0.09</v>
      </c>
      <c r="EI34" s="156">
        <f t="shared" si="19"/>
        <v>0.59840000000000004</v>
      </c>
    </row>
    <row r="35" spans="1:139" x14ac:dyDescent="0.2">
      <c r="A35" s="150">
        <v>100</v>
      </c>
      <c r="B35" s="151" t="s">
        <v>162</v>
      </c>
      <c r="C35" s="152">
        <v>187</v>
      </c>
      <c r="D35" s="152">
        <v>117.9</v>
      </c>
      <c r="E35" s="151">
        <v>3021</v>
      </c>
      <c r="F35" s="151" t="s">
        <v>1718</v>
      </c>
      <c r="G35" s="151">
        <v>549</v>
      </c>
      <c r="H35" s="151" t="s">
        <v>1718</v>
      </c>
      <c r="I35" s="151">
        <v>470</v>
      </c>
      <c r="J35" s="151" t="s">
        <v>1718</v>
      </c>
      <c r="L35" s="155">
        <f t="shared" si="1"/>
        <v>0.1</v>
      </c>
      <c r="M35" s="156">
        <f t="shared" si="2"/>
        <v>0.30210000000000004</v>
      </c>
      <c r="N35" s="275"/>
      <c r="O35" s="150">
        <v>100</v>
      </c>
      <c r="P35" s="151" t="s">
        <v>162</v>
      </c>
      <c r="Q35" s="152">
        <v>228.3</v>
      </c>
      <c r="R35" s="152">
        <v>92.68</v>
      </c>
      <c r="S35" s="151">
        <v>3066</v>
      </c>
      <c r="T35" s="151" t="s">
        <v>1718</v>
      </c>
      <c r="U35" s="151">
        <v>542</v>
      </c>
      <c r="V35" s="151" t="s">
        <v>1718</v>
      </c>
      <c r="W35" s="151">
        <v>485</v>
      </c>
      <c r="X35" s="151" t="s">
        <v>1718</v>
      </c>
      <c r="Z35" s="155">
        <f t="shared" si="3"/>
        <v>0.1</v>
      </c>
      <c r="AA35" s="156">
        <f t="shared" si="4"/>
        <v>0.30660000000000004</v>
      </c>
      <c r="AB35" s="275"/>
      <c r="AC35" s="150">
        <v>100</v>
      </c>
      <c r="AD35" s="151" t="s">
        <v>162</v>
      </c>
      <c r="AE35" s="152">
        <v>147.1</v>
      </c>
      <c r="AF35" s="152">
        <v>1.929</v>
      </c>
      <c r="AG35" s="151">
        <v>9704</v>
      </c>
      <c r="AH35" s="151" t="s">
        <v>1718</v>
      </c>
      <c r="AI35" s="151">
        <v>994</v>
      </c>
      <c r="AJ35" s="151" t="s">
        <v>1718</v>
      </c>
      <c r="AK35" s="151">
        <v>1245</v>
      </c>
      <c r="AL35" s="151" t="s">
        <v>1718</v>
      </c>
      <c r="AN35" s="155">
        <f t="shared" si="5"/>
        <v>0.1</v>
      </c>
      <c r="AO35" s="156">
        <f t="shared" si="6"/>
        <v>0.97040000000000004</v>
      </c>
      <c r="AP35" s="275"/>
      <c r="AQ35" s="150">
        <v>100</v>
      </c>
      <c r="AR35" s="151" t="s">
        <v>162</v>
      </c>
      <c r="AS35" s="152">
        <v>100.8</v>
      </c>
      <c r="AT35" s="152">
        <v>0.1547</v>
      </c>
      <c r="AU35" s="151">
        <v>1.1200000000000001</v>
      </c>
      <c r="AV35" s="151" t="s">
        <v>1675</v>
      </c>
      <c r="AW35" s="151">
        <v>706</v>
      </c>
      <c r="AX35" s="151" t="s">
        <v>1718</v>
      </c>
      <c r="AY35" s="151">
        <v>936</v>
      </c>
      <c r="AZ35" s="151" t="s">
        <v>1718</v>
      </c>
      <c r="BB35" s="155">
        <f t="shared" si="7"/>
        <v>0.1</v>
      </c>
      <c r="BC35" s="156">
        <f t="shared" si="8"/>
        <v>1.1200000000000001</v>
      </c>
      <c r="BE35" s="150">
        <v>100</v>
      </c>
      <c r="BF35" s="151" t="s">
        <v>162</v>
      </c>
      <c r="BG35" s="152">
        <v>237.8</v>
      </c>
      <c r="BH35" s="152">
        <v>31.26</v>
      </c>
      <c r="BI35" s="151">
        <v>4117</v>
      </c>
      <c r="BJ35" s="151" t="s">
        <v>1718</v>
      </c>
      <c r="BK35" s="151">
        <v>591</v>
      </c>
      <c r="BL35" s="151" t="s">
        <v>1718</v>
      </c>
      <c r="BM35" s="151">
        <v>596</v>
      </c>
      <c r="BN35" s="151" t="s">
        <v>1718</v>
      </c>
      <c r="BP35" s="155">
        <f t="shared" si="9"/>
        <v>0.1</v>
      </c>
      <c r="BQ35" s="156">
        <f t="shared" si="10"/>
        <v>0.41170000000000001</v>
      </c>
      <c r="BS35" s="150">
        <v>100</v>
      </c>
      <c r="BT35" s="151" t="s">
        <v>162</v>
      </c>
      <c r="BU35" s="152">
        <v>218.3</v>
      </c>
      <c r="BV35" s="152">
        <v>79.11</v>
      </c>
      <c r="BW35" s="151">
        <v>3250</v>
      </c>
      <c r="BX35" s="151" t="s">
        <v>1718</v>
      </c>
      <c r="BY35" s="151">
        <v>542</v>
      </c>
      <c r="BZ35" s="151" t="s">
        <v>1718</v>
      </c>
      <c r="CA35" s="151">
        <v>491</v>
      </c>
      <c r="CB35" s="151" t="s">
        <v>1718</v>
      </c>
      <c r="CD35" s="155">
        <f t="shared" si="11"/>
        <v>0.1</v>
      </c>
      <c r="CE35" s="156">
        <f t="shared" si="12"/>
        <v>0.32500000000000001</v>
      </c>
      <c r="CG35" s="150">
        <v>100</v>
      </c>
      <c r="CH35" s="151" t="s">
        <v>162</v>
      </c>
      <c r="CI35" s="152">
        <v>218.1</v>
      </c>
      <c r="CJ35" s="152">
        <v>102.5</v>
      </c>
      <c r="CK35" s="151">
        <v>3078</v>
      </c>
      <c r="CL35" s="151" t="s">
        <v>1718</v>
      </c>
      <c r="CM35" s="151">
        <v>531</v>
      </c>
      <c r="CN35" s="151" t="s">
        <v>1718</v>
      </c>
      <c r="CO35" s="151">
        <v>473</v>
      </c>
      <c r="CP35" s="151" t="s">
        <v>1718</v>
      </c>
      <c r="CR35" s="155">
        <f t="shared" si="0"/>
        <v>0.1</v>
      </c>
      <c r="CS35" s="156">
        <f t="shared" si="13"/>
        <v>0.30780000000000002</v>
      </c>
      <c r="CU35" s="151">
        <v>100</v>
      </c>
      <c r="CV35" s="152" t="s">
        <v>162</v>
      </c>
      <c r="CW35" s="152">
        <v>300.2</v>
      </c>
      <c r="CX35" s="152">
        <v>335.4</v>
      </c>
      <c r="CY35" s="151">
        <v>1599</v>
      </c>
      <c r="CZ35" s="151" t="s">
        <v>1718</v>
      </c>
      <c r="DA35" s="151">
        <v>277</v>
      </c>
      <c r="DB35" s="151" t="s">
        <v>1718</v>
      </c>
      <c r="DC35" s="151">
        <v>234</v>
      </c>
      <c r="DD35" t="s">
        <v>1718</v>
      </c>
      <c r="DF35" s="155">
        <f t="shared" si="14"/>
        <v>0.1</v>
      </c>
      <c r="DG35" s="156">
        <f t="shared" si="17"/>
        <v>0.15990000000000001</v>
      </c>
      <c r="DI35" s="151">
        <v>100</v>
      </c>
      <c r="DJ35" s="152" t="s">
        <v>162</v>
      </c>
      <c r="DK35" s="152">
        <v>315.10000000000002</v>
      </c>
      <c r="DL35" s="152">
        <v>324.5</v>
      </c>
      <c r="DM35" s="151">
        <v>1612</v>
      </c>
      <c r="DN35" s="151" t="s">
        <v>1718</v>
      </c>
      <c r="DO35" s="151">
        <v>265</v>
      </c>
      <c r="DP35" s="151" t="s">
        <v>1718</v>
      </c>
      <c r="DQ35" s="151">
        <v>227</v>
      </c>
      <c r="DR35" t="s">
        <v>1718</v>
      </c>
      <c r="DT35" s="155">
        <f t="shared" si="15"/>
        <v>0.1</v>
      </c>
      <c r="DU35" s="156">
        <f t="shared" si="18"/>
        <v>0.16120000000000001</v>
      </c>
      <c r="DW35" s="401">
        <v>100</v>
      </c>
      <c r="DX35" s="401" t="s">
        <v>162</v>
      </c>
      <c r="DY35" s="402">
        <v>181.8</v>
      </c>
      <c r="DZ35" s="402">
        <v>10.5</v>
      </c>
      <c r="EA35" s="401">
        <v>6493</v>
      </c>
      <c r="EB35" s="401" t="s">
        <v>1718</v>
      </c>
      <c r="EC35" s="401">
        <v>891</v>
      </c>
      <c r="ED35" s="401" t="s">
        <v>1718</v>
      </c>
      <c r="EE35" s="401">
        <v>998</v>
      </c>
      <c r="EF35" s="403" t="s">
        <v>1718</v>
      </c>
      <c r="EH35" s="155">
        <f t="shared" si="16"/>
        <v>0.1</v>
      </c>
      <c r="EI35" s="156">
        <f t="shared" si="19"/>
        <v>0.64929999999999999</v>
      </c>
    </row>
    <row r="36" spans="1:139" x14ac:dyDescent="0.2">
      <c r="A36" s="150">
        <v>110</v>
      </c>
      <c r="B36" s="151" t="s">
        <v>162</v>
      </c>
      <c r="C36" s="152">
        <v>194.5</v>
      </c>
      <c r="D36" s="152">
        <v>112.1</v>
      </c>
      <c r="E36" s="151">
        <v>3329</v>
      </c>
      <c r="F36" s="151" t="s">
        <v>1718</v>
      </c>
      <c r="G36" s="151">
        <v>588</v>
      </c>
      <c r="H36" s="151" t="s">
        <v>1718</v>
      </c>
      <c r="I36" s="151">
        <v>510</v>
      </c>
      <c r="J36" s="151" t="s">
        <v>1718</v>
      </c>
      <c r="L36" s="155">
        <f t="shared" si="1"/>
        <v>0.11</v>
      </c>
      <c r="M36" s="156">
        <f t="shared" si="2"/>
        <v>0.33290000000000003</v>
      </c>
      <c r="N36" s="275"/>
      <c r="O36" s="150">
        <v>110</v>
      </c>
      <c r="P36" s="151" t="s">
        <v>162</v>
      </c>
      <c r="Q36" s="152">
        <v>235.2</v>
      </c>
      <c r="R36" s="152">
        <v>87.89</v>
      </c>
      <c r="S36" s="151">
        <v>3359</v>
      </c>
      <c r="T36" s="151" t="s">
        <v>1718</v>
      </c>
      <c r="U36" s="151">
        <v>575</v>
      </c>
      <c r="V36" s="151" t="s">
        <v>1718</v>
      </c>
      <c r="W36" s="151">
        <v>521</v>
      </c>
      <c r="X36" s="151" t="s">
        <v>1718</v>
      </c>
      <c r="Z36" s="155">
        <f t="shared" si="3"/>
        <v>0.11</v>
      </c>
      <c r="AA36" s="156">
        <f t="shared" si="4"/>
        <v>0.33590000000000003</v>
      </c>
      <c r="AB36" s="275"/>
      <c r="AC36" s="150">
        <v>110</v>
      </c>
      <c r="AD36" s="151" t="s">
        <v>162</v>
      </c>
      <c r="AE36" s="152">
        <v>153.69999999999999</v>
      </c>
      <c r="AF36" s="152">
        <v>1.79</v>
      </c>
      <c r="AG36" s="151">
        <v>1.04</v>
      </c>
      <c r="AH36" s="151" t="s">
        <v>1675</v>
      </c>
      <c r="AI36" s="151">
        <v>1013</v>
      </c>
      <c r="AJ36" s="151" t="s">
        <v>1718</v>
      </c>
      <c r="AK36" s="151">
        <v>1280</v>
      </c>
      <c r="AL36" s="151" t="s">
        <v>1718</v>
      </c>
      <c r="AN36" s="155">
        <f t="shared" si="5"/>
        <v>0.11</v>
      </c>
      <c r="AO36" s="156">
        <f t="shared" si="6"/>
        <v>1.04</v>
      </c>
      <c r="AP36" s="275"/>
      <c r="AQ36" s="150">
        <v>110</v>
      </c>
      <c r="AR36" s="151" t="s">
        <v>162</v>
      </c>
      <c r="AS36" s="152">
        <v>98.39</v>
      </c>
      <c r="AT36" s="152">
        <v>0.14299999999999999</v>
      </c>
      <c r="AU36" s="151">
        <v>1.22</v>
      </c>
      <c r="AV36" s="151" t="s">
        <v>1675</v>
      </c>
      <c r="AW36" s="151">
        <v>730</v>
      </c>
      <c r="AX36" s="151" t="s">
        <v>1718</v>
      </c>
      <c r="AY36" s="151">
        <v>967</v>
      </c>
      <c r="AZ36" s="151" t="s">
        <v>1718</v>
      </c>
      <c r="BB36" s="155">
        <f t="shared" si="7"/>
        <v>0.11</v>
      </c>
      <c r="BC36" s="156">
        <f t="shared" si="8"/>
        <v>1.22</v>
      </c>
      <c r="BE36" s="150">
        <v>110</v>
      </c>
      <c r="BF36" s="151" t="s">
        <v>162</v>
      </c>
      <c r="BG36" s="152">
        <v>246.2</v>
      </c>
      <c r="BH36" s="152">
        <v>29.36</v>
      </c>
      <c r="BI36" s="151">
        <v>4471</v>
      </c>
      <c r="BJ36" s="151" t="s">
        <v>1718</v>
      </c>
      <c r="BK36" s="151">
        <v>617</v>
      </c>
      <c r="BL36" s="151" t="s">
        <v>1718</v>
      </c>
      <c r="BM36" s="151">
        <v>632</v>
      </c>
      <c r="BN36" s="151" t="s">
        <v>1718</v>
      </c>
      <c r="BP36" s="155">
        <f t="shared" si="9"/>
        <v>0.11</v>
      </c>
      <c r="BQ36" s="156">
        <f t="shared" si="10"/>
        <v>0.4471</v>
      </c>
      <c r="BS36" s="150">
        <v>110</v>
      </c>
      <c r="BT36" s="151" t="s">
        <v>162</v>
      </c>
      <c r="BU36" s="152">
        <v>227.2</v>
      </c>
      <c r="BV36" s="152">
        <v>74.900000000000006</v>
      </c>
      <c r="BW36" s="151">
        <v>3567</v>
      </c>
      <c r="BX36" s="151" t="s">
        <v>1718</v>
      </c>
      <c r="BY36" s="151">
        <v>575</v>
      </c>
      <c r="BZ36" s="151" t="s">
        <v>1718</v>
      </c>
      <c r="CA36" s="151">
        <v>528</v>
      </c>
      <c r="CB36" s="151" t="s">
        <v>1718</v>
      </c>
      <c r="CD36" s="155">
        <f t="shared" si="11"/>
        <v>0.11</v>
      </c>
      <c r="CE36" s="156">
        <f t="shared" si="12"/>
        <v>0.35670000000000002</v>
      </c>
      <c r="CG36" s="150">
        <v>110</v>
      </c>
      <c r="CH36" s="151" t="s">
        <v>162</v>
      </c>
      <c r="CI36" s="152">
        <v>224.3</v>
      </c>
      <c r="CJ36" s="152">
        <v>97.36</v>
      </c>
      <c r="CK36" s="151">
        <v>3374</v>
      </c>
      <c r="CL36" s="151" t="s">
        <v>1718</v>
      </c>
      <c r="CM36" s="151">
        <v>564</v>
      </c>
      <c r="CN36" s="151" t="s">
        <v>1718</v>
      </c>
      <c r="CO36" s="151">
        <v>508</v>
      </c>
      <c r="CP36" s="151" t="s">
        <v>1718</v>
      </c>
      <c r="CR36" s="155">
        <f t="shared" si="0"/>
        <v>0.11</v>
      </c>
      <c r="CS36" s="156">
        <f t="shared" si="13"/>
        <v>0.33740000000000003</v>
      </c>
      <c r="CU36" s="151">
        <v>110</v>
      </c>
      <c r="CV36" s="152" t="s">
        <v>162</v>
      </c>
      <c r="CW36" s="152">
        <v>311.60000000000002</v>
      </c>
      <c r="CX36" s="152">
        <v>324.7</v>
      </c>
      <c r="CY36" s="151">
        <v>1748</v>
      </c>
      <c r="CZ36" s="151" t="s">
        <v>1718</v>
      </c>
      <c r="DA36" s="151">
        <v>296</v>
      </c>
      <c r="DB36" s="151" t="s">
        <v>1718</v>
      </c>
      <c r="DC36" s="151">
        <v>251</v>
      </c>
      <c r="DD36" t="s">
        <v>1718</v>
      </c>
      <c r="DF36" s="155">
        <f t="shared" si="14"/>
        <v>0.11</v>
      </c>
      <c r="DG36" s="156">
        <f t="shared" si="17"/>
        <v>0.17480000000000001</v>
      </c>
      <c r="DI36" s="151">
        <v>110</v>
      </c>
      <c r="DJ36" s="152" t="s">
        <v>162</v>
      </c>
      <c r="DK36" s="152">
        <v>326.2</v>
      </c>
      <c r="DL36" s="152">
        <v>314.2</v>
      </c>
      <c r="DM36" s="151">
        <v>1761</v>
      </c>
      <c r="DN36" s="151" t="s">
        <v>1718</v>
      </c>
      <c r="DO36" s="151">
        <v>283</v>
      </c>
      <c r="DP36" s="151" t="s">
        <v>1718</v>
      </c>
      <c r="DQ36" s="151">
        <v>244</v>
      </c>
      <c r="DR36" t="s">
        <v>1718</v>
      </c>
      <c r="DT36" s="155">
        <f t="shared" si="15"/>
        <v>0.11</v>
      </c>
      <c r="DU36" s="156">
        <f t="shared" si="18"/>
        <v>0.17610000000000001</v>
      </c>
      <c r="DW36" s="401">
        <v>110</v>
      </c>
      <c r="DX36" s="401" t="s">
        <v>162</v>
      </c>
      <c r="DY36" s="402">
        <v>188.4</v>
      </c>
      <c r="DZ36" s="402">
        <v>9.8019999999999996</v>
      </c>
      <c r="EA36" s="401">
        <v>6988</v>
      </c>
      <c r="EB36" s="401" t="s">
        <v>1718</v>
      </c>
      <c r="EC36" s="401">
        <v>919</v>
      </c>
      <c r="ED36" s="401" t="s">
        <v>1718</v>
      </c>
      <c r="EE36" s="401">
        <v>1042</v>
      </c>
      <c r="EF36" s="403" t="s">
        <v>1718</v>
      </c>
      <c r="EH36" s="155">
        <f t="shared" si="16"/>
        <v>0.11</v>
      </c>
      <c r="EI36" s="156">
        <f t="shared" si="19"/>
        <v>0.69880000000000009</v>
      </c>
    </row>
    <row r="37" spans="1:139" x14ac:dyDescent="0.2">
      <c r="A37" s="150">
        <v>120</v>
      </c>
      <c r="B37" s="151" t="s">
        <v>162</v>
      </c>
      <c r="C37" s="152">
        <v>202.1</v>
      </c>
      <c r="D37" s="152">
        <v>107</v>
      </c>
      <c r="E37" s="151">
        <v>3635</v>
      </c>
      <c r="F37" s="151" t="s">
        <v>1718</v>
      </c>
      <c r="G37" s="151">
        <v>625</v>
      </c>
      <c r="H37" s="151" t="s">
        <v>1718</v>
      </c>
      <c r="I37" s="151">
        <v>549</v>
      </c>
      <c r="J37" s="151" t="s">
        <v>1718</v>
      </c>
      <c r="L37" s="155">
        <f t="shared" si="1"/>
        <v>0.12</v>
      </c>
      <c r="M37" s="156">
        <f t="shared" si="2"/>
        <v>0.36349999999999999</v>
      </c>
      <c r="N37" s="275"/>
      <c r="O37" s="150">
        <v>120</v>
      </c>
      <c r="P37" s="151" t="s">
        <v>162</v>
      </c>
      <c r="Q37" s="152">
        <v>242</v>
      </c>
      <c r="R37" s="152">
        <v>83.64</v>
      </c>
      <c r="S37" s="151">
        <v>3652</v>
      </c>
      <c r="T37" s="151" t="s">
        <v>1718</v>
      </c>
      <c r="U37" s="151">
        <v>606</v>
      </c>
      <c r="V37" s="151" t="s">
        <v>1718</v>
      </c>
      <c r="W37" s="151">
        <v>556</v>
      </c>
      <c r="X37" s="151" t="s">
        <v>1718</v>
      </c>
      <c r="Z37" s="155">
        <f t="shared" si="3"/>
        <v>0.12</v>
      </c>
      <c r="AA37" s="156">
        <f t="shared" si="4"/>
        <v>0.36520000000000002</v>
      </c>
      <c r="AB37" s="275"/>
      <c r="AC37" s="150">
        <v>120</v>
      </c>
      <c r="AD37" s="151" t="s">
        <v>162</v>
      </c>
      <c r="AE37" s="152">
        <v>160</v>
      </c>
      <c r="AF37" s="152">
        <v>1.671</v>
      </c>
      <c r="AG37" s="151">
        <v>1.1000000000000001</v>
      </c>
      <c r="AH37" s="151" t="s">
        <v>1675</v>
      </c>
      <c r="AI37" s="151">
        <v>1030</v>
      </c>
      <c r="AJ37" s="151" t="s">
        <v>1718</v>
      </c>
      <c r="AK37" s="151">
        <v>1312</v>
      </c>
      <c r="AL37" s="151" t="s">
        <v>1718</v>
      </c>
      <c r="AN37" s="155">
        <f t="shared" si="5"/>
        <v>0.12</v>
      </c>
      <c r="AO37" s="156">
        <f t="shared" si="6"/>
        <v>1.1000000000000001</v>
      </c>
      <c r="AP37" s="275"/>
      <c r="AQ37" s="150">
        <v>120</v>
      </c>
      <c r="AR37" s="151" t="s">
        <v>162</v>
      </c>
      <c r="AS37" s="152">
        <v>95.76</v>
      </c>
      <c r="AT37" s="152">
        <v>0.13300000000000001</v>
      </c>
      <c r="AU37" s="151">
        <v>1.32</v>
      </c>
      <c r="AV37" s="151" t="s">
        <v>1675</v>
      </c>
      <c r="AW37" s="151">
        <v>754</v>
      </c>
      <c r="AX37" s="151" t="s">
        <v>1718</v>
      </c>
      <c r="AY37" s="151">
        <v>998</v>
      </c>
      <c r="AZ37" s="151" t="s">
        <v>1718</v>
      </c>
      <c r="BB37" s="155">
        <f t="shared" si="7"/>
        <v>0.12</v>
      </c>
      <c r="BC37" s="156">
        <f t="shared" si="8"/>
        <v>1.32</v>
      </c>
      <c r="BE37" s="150">
        <v>120</v>
      </c>
      <c r="BF37" s="151" t="s">
        <v>162</v>
      </c>
      <c r="BG37" s="152">
        <v>254</v>
      </c>
      <c r="BH37" s="152">
        <v>27.71</v>
      </c>
      <c r="BI37" s="151">
        <v>4817</v>
      </c>
      <c r="BJ37" s="151" t="s">
        <v>1718</v>
      </c>
      <c r="BK37" s="151">
        <v>641</v>
      </c>
      <c r="BL37" s="151" t="s">
        <v>1718</v>
      </c>
      <c r="BM37" s="151">
        <v>665</v>
      </c>
      <c r="BN37" s="151" t="s">
        <v>1718</v>
      </c>
      <c r="BP37" s="155">
        <f t="shared" si="9"/>
        <v>0.12</v>
      </c>
      <c r="BQ37" s="156">
        <f t="shared" si="10"/>
        <v>0.48170000000000002</v>
      </c>
      <c r="BS37" s="150">
        <v>120</v>
      </c>
      <c r="BT37" s="151" t="s">
        <v>162</v>
      </c>
      <c r="BU37" s="152">
        <v>237</v>
      </c>
      <c r="BV37" s="152">
        <v>71.180000000000007</v>
      </c>
      <c r="BW37" s="151">
        <v>3880</v>
      </c>
      <c r="BX37" s="151" t="s">
        <v>1718</v>
      </c>
      <c r="BY37" s="151">
        <v>606</v>
      </c>
      <c r="BZ37" s="151" t="s">
        <v>1718</v>
      </c>
      <c r="CA37" s="151">
        <v>564</v>
      </c>
      <c r="CB37" s="151" t="s">
        <v>1718</v>
      </c>
      <c r="CD37" s="155">
        <f t="shared" si="11"/>
        <v>0.12</v>
      </c>
      <c r="CE37" s="156">
        <f t="shared" si="12"/>
        <v>0.38800000000000001</v>
      </c>
      <c r="CG37" s="150">
        <v>120</v>
      </c>
      <c r="CH37" s="151" t="s">
        <v>162</v>
      </c>
      <c r="CI37" s="152">
        <v>230.3</v>
      </c>
      <c r="CJ37" s="152">
        <v>92.78</v>
      </c>
      <c r="CK37" s="151">
        <v>3668</v>
      </c>
      <c r="CL37" s="151" t="s">
        <v>1718</v>
      </c>
      <c r="CM37" s="151">
        <v>595</v>
      </c>
      <c r="CN37" s="151" t="s">
        <v>1718</v>
      </c>
      <c r="CO37" s="151">
        <v>543</v>
      </c>
      <c r="CP37" s="151" t="s">
        <v>1718</v>
      </c>
      <c r="CR37" s="155">
        <f t="shared" si="0"/>
        <v>0.12</v>
      </c>
      <c r="CS37" s="156">
        <f t="shared" si="13"/>
        <v>0.36680000000000001</v>
      </c>
      <c r="CU37" s="151">
        <v>120</v>
      </c>
      <c r="CV37" s="152" t="s">
        <v>162</v>
      </c>
      <c r="CW37" s="152">
        <v>322</v>
      </c>
      <c r="CX37" s="152">
        <v>314.7</v>
      </c>
      <c r="CY37" s="151">
        <v>1897</v>
      </c>
      <c r="CZ37" s="151" t="s">
        <v>1718</v>
      </c>
      <c r="DA37" s="151">
        <v>315</v>
      </c>
      <c r="DB37" s="151" t="s">
        <v>1718</v>
      </c>
      <c r="DC37" s="151">
        <v>269</v>
      </c>
      <c r="DD37" t="s">
        <v>1718</v>
      </c>
      <c r="DF37" s="155">
        <f t="shared" si="14"/>
        <v>0.12</v>
      </c>
      <c r="DG37" s="156">
        <f t="shared" si="17"/>
        <v>0.18970000000000001</v>
      </c>
      <c r="DI37" s="151">
        <v>120</v>
      </c>
      <c r="DJ37" s="152" t="s">
        <v>162</v>
      </c>
      <c r="DK37" s="152">
        <v>336.4</v>
      </c>
      <c r="DL37" s="152">
        <v>304.5</v>
      </c>
      <c r="DM37" s="151">
        <v>1910</v>
      </c>
      <c r="DN37" s="151" t="s">
        <v>1718</v>
      </c>
      <c r="DO37" s="151">
        <v>301</v>
      </c>
      <c r="DP37" s="151" t="s">
        <v>1718</v>
      </c>
      <c r="DQ37" s="151">
        <v>260</v>
      </c>
      <c r="DR37" t="s">
        <v>1718</v>
      </c>
      <c r="DT37" s="155">
        <f t="shared" si="15"/>
        <v>0.12</v>
      </c>
      <c r="DU37" s="156">
        <f t="shared" si="18"/>
        <v>0.191</v>
      </c>
      <c r="DW37" s="401">
        <v>120</v>
      </c>
      <c r="DX37" s="401" t="s">
        <v>162</v>
      </c>
      <c r="DY37" s="402">
        <v>194.5</v>
      </c>
      <c r="DZ37" s="402">
        <v>9.1999999999999993</v>
      </c>
      <c r="EA37" s="401">
        <v>7471</v>
      </c>
      <c r="EB37" s="401" t="s">
        <v>1718</v>
      </c>
      <c r="EC37" s="401">
        <v>944</v>
      </c>
      <c r="ED37" s="401" t="s">
        <v>1718</v>
      </c>
      <c r="EE37" s="401">
        <v>1083</v>
      </c>
      <c r="EF37" s="403" t="s">
        <v>1718</v>
      </c>
      <c r="EH37" s="155">
        <f t="shared" si="16"/>
        <v>0.12</v>
      </c>
      <c r="EI37" s="156">
        <f t="shared" si="19"/>
        <v>0.74709999999999999</v>
      </c>
    </row>
    <row r="38" spans="1:139" x14ac:dyDescent="0.2">
      <c r="A38" s="150">
        <v>130</v>
      </c>
      <c r="B38" s="151" t="s">
        <v>162</v>
      </c>
      <c r="C38" s="152">
        <v>209.7</v>
      </c>
      <c r="D38" s="152">
        <v>102.4</v>
      </c>
      <c r="E38" s="151">
        <v>3940</v>
      </c>
      <c r="F38" s="151" t="s">
        <v>1718</v>
      </c>
      <c r="G38" s="151">
        <v>659</v>
      </c>
      <c r="H38" s="151" t="s">
        <v>1718</v>
      </c>
      <c r="I38" s="151">
        <v>587</v>
      </c>
      <c r="J38" s="151" t="s">
        <v>1718</v>
      </c>
      <c r="L38" s="155">
        <f t="shared" si="1"/>
        <v>0.13</v>
      </c>
      <c r="M38" s="156">
        <f t="shared" si="2"/>
        <v>0.39400000000000002</v>
      </c>
      <c r="N38" s="275"/>
      <c r="O38" s="150">
        <v>130</v>
      </c>
      <c r="P38" s="151" t="s">
        <v>162</v>
      </c>
      <c r="Q38" s="152">
        <v>248.8</v>
      </c>
      <c r="R38" s="152">
        <v>79.84</v>
      </c>
      <c r="S38" s="151">
        <v>3943</v>
      </c>
      <c r="T38" s="151" t="s">
        <v>1718</v>
      </c>
      <c r="U38" s="151">
        <v>635</v>
      </c>
      <c r="V38" s="151" t="s">
        <v>1718</v>
      </c>
      <c r="W38" s="151">
        <v>590</v>
      </c>
      <c r="X38" s="151" t="s">
        <v>1718</v>
      </c>
      <c r="Z38" s="155">
        <f t="shared" si="3"/>
        <v>0.13</v>
      </c>
      <c r="AA38" s="156">
        <f t="shared" si="4"/>
        <v>0.39430000000000004</v>
      </c>
      <c r="AB38" s="275"/>
      <c r="AC38" s="150">
        <v>130</v>
      </c>
      <c r="AD38" s="151" t="s">
        <v>162</v>
      </c>
      <c r="AE38" s="152">
        <v>166</v>
      </c>
      <c r="AF38" s="152">
        <v>1.569</v>
      </c>
      <c r="AG38" s="151">
        <v>1.1599999999999999</v>
      </c>
      <c r="AH38" s="151" t="s">
        <v>1675</v>
      </c>
      <c r="AI38" s="151">
        <v>1045</v>
      </c>
      <c r="AJ38" s="151" t="s">
        <v>1718</v>
      </c>
      <c r="AK38" s="151">
        <v>1341</v>
      </c>
      <c r="AL38" s="151" t="s">
        <v>1718</v>
      </c>
      <c r="AN38" s="155">
        <f t="shared" si="5"/>
        <v>0.13</v>
      </c>
      <c r="AO38" s="156">
        <f t="shared" si="6"/>
        <v>1.1599999999999999</v>
      </c>
      <c r="AP38" s="275"/>
      <c r="AQ38" s="150">
        <v>130</v>
      </c>
      <c r="AR38" s="151" t="s">
        <v>162</v>
      </c>
      <c r="AS38" s="152">
        <v>93.06</v>
      </c>
      <c r="AT38" s="152">
        <v>0.1244</v>
      </c>
      <c r="AU38" s="151">
        <v>1.43</v>
      </c>
      <c r="AV38" s="151" t="s">
        <v>1675</v>
      </c>
      <c r="AW38" s="151">
        <v>778</v>
      </c>
      <c r="AX38" s="151" t="s">
        <v>1718</v>
      </c>
      <c r="AY38" s="151">
        <v>1029</v>
      </c>
      <c r="AZ38" s="151" t="s">
        <v>1718</v>
      </c>
      <c r="BB38" s="155">
        <f t="shared" si="7"/>
        <v>0.13</v>
      </c>
      <c r="BC38" s="156">
        <f t="shared" si="8"/>
        <v>1.43</v>
      </c>
      <c r="BE38" s="150">
        <v>130</v>
      </c>
      <c r="BF38" s="151" t="s">
        <v>162</v>
      </c>
      <c r="BG38" s="152">
        <v>261.39999999999998</v>
      </c>
      <c r="BH38" s="152">
        <v>26.26</v>
      </c>
      <c r="BI38" s="151">
        <v>5157</v>
      </c>
      <c r="BJ38" s="151" t="s">
        <v>1718</v>
      </c>
      <c r="BK38" s="151">
        <v>663</v>
      </c>
      <c r="BL38" s="151" t="s">
        <v>1718</v>
      </c>
      <c r="BM38" s="151">
        <v>696</v>
      </c>
      <c r="BN38" s="151" t="s">
        <v>1718</v>
      </c>
      <c r="BP38" s="155">
        <f t="shared" si="9"/>
        <v>0.13</v>
      </c>
      <c r="BQ38" s="156">
        <f t="shared" si="10"/>
        <v>0.51570000000000005</v>
      </c>
      <c r="BS38" s="150">
        <v>130</v>
      </c>
      <c r="BT38" s="151" t="s">
        <v>162</v>
      </c>
      <c r="BU38" s="152">
        <v>247.3</v>
      </c>
      <c r="BV38" s="152">
        <v>67.87</v>
      </c>
      <c r="BW38" s="151">
        <v>4186</v>
      </c>
      <c r="BX38" s="151" t="s">
        <v>1718</v>
      </c>
      <c r="BY38" s="151">
        <v>635</v>
      </c>
      <c r="BZ38" s="151" t="s">
        <v>1718</v>
      </c>
      <c r="CA38" s="151">
        <v>598</v>
      </c>
      <c r="CB38" s="151" t="s">
        <v>1718</v>
      </c>
      <c r="CD38" s="155">
        <f t="shared" si="11"/>
        <v>0.13</v>
      </c>
      <c r="CE38" s="156">
        <f t="shared" si="12"/>
        <v>0.41860000000000003</v>
      </c>
      <c r="CG38" s="150">
        <v>130</v>
      </c>
      <c r="CH38" s="151" t="s">
        <v>162</v>
      </c>
      <c r="CI38" s="152">
        <v>236.2</v>
      </c>
      <c r="CJ38" s="152">
        <v>88.68</v>
      </c>
      <c r="CK38" s="151">
        <v>3963</v>
      </c>
      <c r="CL38" s="151" t="s">
        <v>1718</v>
      </c>
      <c r="CM38" s="151">
        <v>625</v>
      </c>
      <c r="CN38" s="151" t="s">
        <v>1718</v>
      </c>
      <c r="CO38" s="151">
        <v>577</v>
      </c>
      <c r="CP38" s="151" t="s">
        <v>1718</v>
      </c>
      <c r="CR38" s="155">
        <f t="shared" si="0"/>
        <v>0.13</v>
      </c>
      <c r="CS38" s="156">
        <f t="shared" si="13"/>
        <v>0.39630000000000004</v>
      </c>
      <c r="CU38" s="151">
        <v>130</v>
      </c>
      <c r="CV38" s="152" t="s">
        <v>162</v>
      </c>
      <c r="CW38" s="152">
        <v>331.7</v>
      </c>
      <c r="CX38" s="152">
        <v>305.5</v>
      </c>
      <c r="CY38" s="151">
        <v>2046</v>
      </c>
      <c r="CZ38" s="151" t="s">
        <v>1718</v>
      </c>
      <c r="DA38" s="151">
        <v>333</v>
      </c>
      <c r="DB38" s="151" t="s">
        <v>1718</v>
      </c>
      <c r="DC38" s="151">
        <v>286</v>
      </c>
      <c r="DD38" t="s">
        <v>1718</v>
      </c>
      <c r="DF38" s="155">
        <f t="shared" si="14"/>
        <v>0.13</v>
      </c>
      <c r="DG38" s="156">
        <f t="shared" si="17"/>
        <v>0.2046</v>
      </c>
      <c r="DI38" s="151">
        <v>130</v>
      </c>
      <c r="DJ38" s="152" t="s">
        <v>162</v>
      </c>
      <c r="DK38" s="152">
        <v>345.9</v>
      </c>
      <c r="DL38" s="152">
        <v>295.60000000000002</v>
      </c>
      <c r="DM38" s="151">
        <v>2059</v>
      </c>
      <c r="DN38" s="151" t="s">
        <v>1718</v>
      </c>
      <c r="DO38" s="151">
        <v>318</v>
      </c>
      <c r="DP38" s="151" t="s">
        <v>1718</v>
      </c>
      <c r="DQ38" s="151">
        <v>276</v>
      </c>
      <c r="DR38" t="s">
        <v>1718</v>
      </c>
      <c r="DT38" s="155">
        <f t="shared" si="15"/>
        <v>0.13</v>
      </c>
      <c r="DU38" s="156">
        <f t="shared" si="18"/>
        <v>0.2059</v>
      </c>
      <c r="DW38" s="401">
        <v>130</v>
      </c>
      <c r="DX38" s="401" t="s">
        <v>162</v>
      </c>
      <c r="DY38" s="402">
        <v>200.2</v>
      </c>
      <c r="DZ38" s="402">
        <v>8.6750000000000007</v>
      </c>
      <c r="EA38" s="401">
        <v>7942</v>
      </c>
      <c r="EB38" s="401" t="s">
        <v>1718</v>
      </c>
      <c r="EC38" s="401">
        <v>967</v>
      </c>
      <c r="ED38" s="401" t="s">
        <v>1718</v>
      </c>
      <c r="EE38" s="401">
        <v>1122</v>
      </c>
      <c r="EF38" s="403" t="s">
        <v>1718</v>
      </c>
      <c r="EH38" s="155">
        <f t="shared" si="16"/>
        <v>0.13</v>
      </c>
      <c r="EI38" s="156">
        <f t="shared" si="19"/>
        <v>0.79420000000000002</v>
      </c>
    </row>
    <row r="39" spans="1:139" x14ac:dyDescent="0.2">
      <c r="A39" s="150">
        <v>140</v>
      </c>
      <c r="B39" s="151" t="s">
        <v>162</v>
      </c>
      <c r="C39" s="152">
        <v>217.2</v>
      </c>
      <c r="D39" s="152">
        <v>98.21</v>
      </c>
      <c r="E39" s="151">
        <v>4243</v>
      </c>
      <c r="F39" s="151" t="s">
        <v>1718</v>
      </c>
      <c r="G39" s="151">
        <v>693</v>
      </c>
      <c r="H39" s="151" t="s">
        <v>1718</v>
      </c>
      <c r="I39" s="151">
        <v>625</v>
      </c>
      <c r="J39" s="151" t="s">
        <v>1718</v>
      </c>
      <c r="L39" s="155">
        <f t="shared" si="1"/>
        <v>0.14000000000000001</v>
      </c>
      <c r="M39" s="156">
        <f t="shared" si="2"/>
        <v>0.42430000000000001</v>
      </c>
      <c r="N39" s="275"/>
      <c r="O39" s="150">
        <v>140</v>
      </c>
      <c r="P39" s="151" t="s">
        <v>162</v>
      </c>
      <c r="Q39" s="152">
        <v>255.8</v>
      </c>
      <c r="R39" s="152">
        <v>76.42</v>
      </c>
      <c r="S39" s="151">
        <v>4231</v>
      </c>
      <c r="T39" s="151" t="s">
        <v>1718</v>
      </c>
      <c r="U39" s="151">
        <v>663</v>
      </c>
      <c r="V39" s="151" t="s">
        <v>1718</v>
      </c>
      <c r="W39" s="151">
        <v>623</v>
      </c>
      <c r="X39" s="151" t="s">
        <v>1718</v>
      </c>
      <c r="Z39" s="155">
        <f t="shared" si="3"/>
        <v>0.14000000000000001</v>
      </c>
      <c r="AA39" s="156">
        <f t="shared" si="4"/>
        <v>0.42310000000000003</v>
      </c>
      <c r="AB39" s="275"/>
      <c r="AC39" s="150">
        <v>140</v>
      </c>
      <c r="AD39" s="151" t="s">
        <v>162</v>
      </c>
      <c r="AE39" s="152">
        <v>171.7</v>
      </c>
      <c r="AF39" s="152">
        <v>1.4790000000000001</v>
      </c>
      <c r="AG39" s="151">
        <v>1.22</v>
      </c>
      <c r="AH39" s="151" t="s">
        <v>1675</v>
      </c>
      <c r="AI39" s="151">
        <v>1059</v>
      </c>
      <c r="AJ39" s="151" t="s">
        <v>1718</v>
      </c>
      <c r="AK39" s="151">
        <v>1368</v>
      </c>
      <c r="AL39" s="151" t="s">
        <v>1718</v>
      </c>
      <c r="AN39" s="155">
        <f t="shared" si="5"/>
        <v>0.14000000000000001</v>
      </c>
      <c r="AO39" s="156">
        <f t="shared" si="6"/>
        <v>1.22</v>
      </c>
      <c r="AP39" s="275"/>
      <c r="AQ39" s="150">
        <v>140</v>
      </c>
      <c r="AR39" s="151" t="s">
        <v>162</v>
      </c>
      <c r="AS39" s="152">
        <v>90.37</v>
      </c>
      <c r="AT39" s="152">
        <v>0.1169</v>
      </c>
      <c r="AU39" s="151">
        <v>1.54</v>
      </c>
      <c r="AV39" s="151" t="s">
        <v>1675</v>
      </c>
      <c r="AW39" s="151">
        <v>803</v>
      </c>
      <c r="AX39" s="151" t="s">
        <v>1718</v>
      </c>
      <c r="AY39" s="151">
        <v>1060</v>
      </c>
      <c r="AZ39" s="151" t="s">
        <v>1718</v>
      </c>
      <c r="BB39" s="155">
        <f t="shared" si="7"/>
        <v>0.14000000000000001</v>
      </c>
      <c r="BC39" s="156">
        <f t="shared" si="8"/>
        <v>1.54</v>
      </c>
      <c r="BE39" s="150">
        <v>140</v>
      </c>
      <c r="BF39" s="151" t="s">
        <v>162</v>
      </c>
      <c r="BG39" s="152">
        <v>268.3</v>
      </c>
      <c r="BH39" s="152">
        <v>24.96</v>
      </c>
      <c r="BI39" s="151">
        <v>5491</v>
      </c>
      <c r="BJ39" s="151" t="s">
        <v>1718</v>
      </c>
      <c r="BK39" s="151">
        <v>684</v>
      </c>
      <c r="BL39" s="151" t="s">
        <v>1718</v>
      </c>
      <c r="BM39" s="151">
        <v>726</v>
      </c>
      <c r="BN39" s="151" t="s">
        <v>1718</v>
      </c>
      <c r="BP39" s="155">
        <f t="shared" si="9"/>
        <v>0.14000000000000001</v>
      </c>
      <c r="BQ39" s="156">
        <f t="shared" si="10"/>
        <v>0.54910000000000003</v>
      </c>
      <c r="BS39" s="150">
        <v>140</v>
      </c>
      <c r="BT39" s="151" t="s">
        <v>162</v>
      </c>
      <c r="BU39" s="152">
        <v>257.8</v>
      </c>
      <c r="BV39" s="152">
        <v>64.900000000000006</v>
      </c>
      <c r="BW39" s="151">
        <v>4487</v>
      </c>
      <c r="BX39" s="151" t="s">
        <v>1718</v>
      </c>
      <c r="BY39" s="151">
        <v>662</v>
      </c>
      <c r="BZ39" s="151" t="s">
        <v>1718</v>
      </c>
      <c r="CA39" s="151">
        <v>631</v>
      </c>
      <c r="CB39" s="151" t="s">
        <v>1718</v>
      </c>
      <c r="CD39" s="155">
        <f t="shared" si="11"/>
        <v>0.14000000000000001</v>
      </c>
      <c r="CE39" s="156">
        <f t="shared" si="12"/>
        <v>0.44870000000000004</v>
      </c>
      <c r="CG39" s="150">
        <v>140</v>
      </c>
      <c r="CH39" s="151" t="s">
        <v>162</v>
      </c>
      <c r="CI39" s="152">
        <v>242</v>
      </c>
      <c r="CJ39" s="152">
        <v>84.97</v>
      </c>
      <c r="CK39" s="151">
        <v>4256</v>
      </c>
      <c r="CL39" s="151" t="s">
        <v>1718</v>
      </c>
      <c r="CM39" s="151">
        <v>653</v>
      </c>
      <c r="CN39" s="151" t="s">
        <v>1718</v>
      </c>
      <c r="CO39" s="151">
        <v>610</v>
      </c>
      <c r="CP39" s="151" t="s">
        <v>1718</v>
      </c>
      <c r="CR39" s="155">
        <f t="shared" si="0"/>
        <v>0.14000000000000001</v>
      </c>
      <c r="CS39" s="156">
        <f t="shared" si="13"/>
        <v>0.42560000000000003</v>
      </c>
      <c r="CU39" s="151">
        <v>140</v>
      </c>
      <c r="CV39" s="152" t="s">
        <v>162</v>
      </c>
      <c r="CW39" s="152">
        <v>340.9</v>
      </c>
      <c r="CX39" s="152">
        <v>296.8</v>
      </c>
      <c r="CY39" s="151">
        <v>2196</v>
      </c>
      <c r="CZ39" s="151" t="s">
        <v>1718</v>
      </c>
      <c r="DA39" s="151">
        <v>351</v>
      </c>
      <c r="DB39" s="151" t="s">
        <v>1718</v>
      </c>
      <c r="DC39" s="151">
        <v>303</v>
      </c>
      <c r="DD39" t="s">
        <v>1718</v>
      </c>
      <c r="DF39" s="155">
        <f t="shared" si="14"/>
        <v>0.14000000000000001</v>
      </c>
      <c r="DG39" s="156">
        <f t="shared" si="17"/>
        <v>0.21960000000000002</v>
      </c>
      <c r="DI39" s="151">
        <v>140</v>
      </c>
      <c r="DJ39" s="152" t="s">
        <v>162</v>
      </c>
      <c r="DK39" s="152">
        <v>354.6</v>
      </c>
      <c r="DL39" s="152">
        <v>287.2</v>
      </c>
      <c r="DM39" s="151">
        <v>2208</v>
      </c>
      <c r="DN39" s="151" t="s">
        <v>1718</v>
      </c>
      <c r="DO39" s="151">
        <v>334</v>
      </c>
      <c r="DP39" s="151" t="s">
        <v>1718</v>
      </c>
      <c r="DQ39" s="151">
        <v>292</v>
      </c>
      <c r="DR39" t="s">
        <v>1718</v>
      </c>
      <c r="DT39" s="155">
        <f t="shared" si="15"/>
        <v>0.14000000000000001</v>
      </c>
      <c r="DU39" s="156">
        <f t="shared" si="18"/>
        <v>0.22080000000000002</v>
      </c>
      <c r="DW39" s="401">
        <v>140</v>
      </c>
      <c r="DX39" s="401" t="s">
        <v>162</v>
      </c>
      <c r="DY39" s="402">
        <v>205.8</v>
      </c>
      <c r="DZ39" s="402">
        <v>8.2119999999999997</v>
      </c>
      <c r="EA39" s="401">
        <v>8403</v>
      </c>
      <c r="EB39" s="401" t="s">
        <v>1718</v>
      </c>
      <c r="EC39" s="401">
        <v>988</v>
      </c>
      <c r="ED39" s="401" t="s">
        <v>1718</v>
      </c>
      <c r="EE39" s="401">
        <v>1158</v>
      </c>
      <c r="EF39" s="403" t="s">
        <v>1718</v>
      </c>
      <c r="EH39" s="155">
        <f t="shared" si="16"/>
        <v>0.14000000000000001</v>
      </c>
      <c r="EI39" s="156">
        <f t="shared" si="19"/>
        <v>0.84030000000000005</v>
      </c>
    </row>
    <row r="40" spans="1:139" x14ac:dyDescent="0.2">
      <c r="A40" s="150">
        <v>150</v>
      </c>
      <c r="B40" s="151" t="s">
        <v>162</v>
      </c>
      <c r="C40" s="152">
        <v>224.8</v>
      </c>
      <c r="D40" s="152">
        <v>94.42</v>
      </c>
      <c r="E40" s="151">
        <v>4542</v>
      </c>
      <c r="F40" s="151" t="s">
        <v>1718</v>
      </c>
      <c r="G40" s="151">
        <v>724</v>
      </c>
      <c r="H40" s="151" t="s">
        <v>1718</v>
      </c>
      <c r="I40" s="151">
        <v>661</v>
      </c>
      <c r="J40" s="151" t="s">
        <v>1718</v>
      </c>
      <c r="L40" s="155">
        <f t="shared" si="1"/>
        <v>0.15</v>
      </c>
      <c r="M40" s="156">
        <f t="shared" si="2"/>
        <v>0.45420000000000005</v>
      </c>
      <c r="N40" s="275"/>
      <c r="O40" s="150">
        <v>150</v>
      </c>
      <c r="P40" s="151" t="s">
        <v>162</v>
      </c>
      <c r="Q40" s="152">
        <v>262.7</v>
      </c>
      <c r="R40" s="152">
        <v>73.33</v>
      </c>
      <c r="S40" s="151">
        <v>4517</v>
      </c>
      <c r="T40" s="151" t="s">
        <v>1718</v>
      </c>
      <c r="U40" s="151">
        <v>690</v>
      </c>
      <c r="V40" s="151" t="s">
        <v>1718</v>
      </c>
      <c r="W40" s="151">
        <v>655</v>
      </c>
      <c r="X40" s="151" t="s">
        <v>1718</v>
      </c>
      <c r="Z40" s="155">
        <f t="shared" si="3"/>
        <v>0.15</v>
      </c>
      <c r="AA40" s="156">
        <f t="shared" si="4"/>
        <v>0.45170000000000005</v>
      </c>
      <c r="AB40" s="275"/>
      <c r="AC40" s="150">
        <v>150</v>
      </c>
      <c r="AD40" s="151" t="s">
        <v>162</v>
      </c>
      <c r="AE40" s="152">
        <v>177.1</v>
      </c>
      <c r="AF40" s="152">
        <v>1.4</v>
      </c>
      <c r="AG40" s="151">
        <v>1.27</v>
      </c>
      <c r="AH40" s="151" t="s">
        <v>1675</v>
      </c>
      <c r="AI40" s="151">
        <v>1072</v>
      </c>
      <c r="AJ40" s="151" t="s">
        <v>1718</v>
      </c>
      <c r="AK40" s="151">
        <v>1392</v>
      </c>
      <c r="AL40" s="151" t="s">
        <v>1718</v>
      </c>
      <c r="AN40" s="155">
        <f t="shared" si="5"/>
        <v>0.15</v>
      </c>
      <c r="AO40" s="156">
        <f t="shared" si="6"/>
        <v>1.27</v>
      </c>
      <c r="AP40" s="275"/>
      <c r="AQ40" s="150">
        <v>150</v>
      </c>
      <c r="AR40" s="151" t="s">
        <v>162</v>
      </c>
      <c r="AS40" s="152">
        <v>87.72</v>
      </c>
      <c r="AT40" s="152">
        <v>0.1103</v>
      </c>
      <c r="AU40" s="151">
        <v>1.65</v>
      </c>
      <c r="AV40" s="151" t="s">
        <v>1675</v>
      </c>
      <c r="AW40" s="151">
        <v>828</v>
      </c>
      <c r="AX40" s="151" t="s">
        <v>1718</v>
      </c>
      <c r="AY40" s="151">
        <v>1092</v>
      </c>
      <c r="AZ40" s="151" t="s">
        <v>1718</v>
      </c>
      <c r="BB40" s="155">
        <f t="shared" si="7"/>
        <v>0.15</v>
      </c>
      <c r="BC40" s="156">
        <f t="shared" si="8"/>
        <v>1.65</v>
      </c>
      <c r="BE40" s="150">
        <v>150</v>
      </c>
      <c r="BF40" s="151" t="s">
        <v>162</v>
      </c>
      <c r="BG40" s="152">
        <v>274.89999999999998</v>
      </c>
      <c r="BH40" s="152">
        <v>23.81</v>
      </c>
      <c r="BI40" s="151">
        <v>5819</v>
      </c>
      <c r="BJ40" s="151" t="s">
        <v>1718</v>
      </c>
      <c r="BK40" s="151">
        <v>703</v>
      </c>
      <c r="BL40" s="151" t="s">
        <v>1718</v>
      </c>
      <c r="BM40" s="151">
        <v>754</v>
      </c>
      <c r="BN40" s="151" t="s">
        <v>1718</v>
      </c>
      <c r="BP40" s="155">
        <f t="shared" si="9"/>
        <v>0.15</v>
      </c>
      <c r="BQ40" s="156">
        <f t="shared" si="10"/>
        <v>0.58189999999999997</v>
      </c>
      <c r="BS40" s="150">
        <v>150</v>
      </c>
      <c r="BT40" s="151" t="s">
        <v>162</v>
      </c>
      <c r="BU40" s="152">
        <v>268.5</v>
      </c>
      <c r="BV40" s="152">
        <v>62.21</v>
      </c>
      <c r="BW40" s="151">
        <v>4780</v>
      </c>
      <c r="BX40" s="151" t="s">
        <v>1718</v>
      </c>
      <c r="BY40" s="151">
        <v>686</v>
      </c>
      <c r="BZ40" s="151" t="s">
        <v>1718</v>
      </c>
      <c r="CA40" s="151">
        <v>663</v>
      </c>
      <c r="CB40" s="151" t="s">
        <v>1718</v>
      </c>
      <c r="CD40" s="155">
        <f t="shared" si="11"/>
        <v>0.15</v>
      </c>
      <c r="CE40" s="156">
        <f t="shared" si="12"/>
        <v>0.47800000000000004</v>
      </c>
      <c r="CG40" s="150">
        <v>150</v>
      </c>
      <c r="CH40" s="151" t="s">
        <v>162</v>
      </c>
      <c r="CI40" s="152">
        <v>247.9</v>
      </c>
      <c r="CJ40" s="152">
        <v>81.61</v>
      </c>
      <c r="CK40" s="151">
        <v>4547</v>
      </c>
      <c r="CL40" s="151" t="s">
        <v>1718</v>
      </c>
      <c r="CM40" s="151">
        <v>680</v>
      </c>
      <c r="CN40" s="151" t="s">
        <v>1718</v>
      </c>
      <c r="CO40" s="151">
        <v>642</v>
      </c>
      <c r="CP40" s="151" t="s">
        <v>1718</v>
      </c>
      <c r="CR40" s="155">
        <f t="shared" si="0"/>
        <v>0.15</v>
      </c>
      <c r="CS40" s="156">
        <f t="shared" si="13"/>
        <v>0.45470000000000005</v>
      </c>
      <c r="CU40" s="151">
        <v>150</v>
      </c>
      <c r="CV40" s="152" t="s">
        <v>162</v>
      </c>
      <c r="CW40" s="152">
        <v>349.6</v>
      </c>
      <c r="CX40" s="152">
        <v>288.7</v>
      </c>
      <c r="CY40" s="151">
        <v>2345</v>
      </c>
      <c r="CZ40" s="151" t="s">
        <v>1718</v>
      </c>
      <c r="DA40" s="151">
        <v>368</v>
      </c>
      <c r="DB40" s="151" t="s">
        <v>1718</v>
      </c>
      <c r="DC40" s="151">
        <v>320</v>
      </c>
      <c r="DD40" t="s">
        <v>1718</v>
      </c>
      <c r="DF40" s="155">
        <f t="shared" si="14"/>
        <v>0.15</v>
      </c>
      <c r="DG40" s="156">
        <f t="shared" si="17"/>
        <v>0.23450000000000001</v>
      </c>
      <c r="DI40" s="151">
        <v>150</v>
      </c>
      <c r="DJ40" s="152" t="s">
        <v>162</v>
      </c>
      <c r="DK40" s="152">
        <v>362.8</v>
      </c>
      <c r="DL40" s="152">
        <v>279.39999999999998</v>
      </c>
      <c r="DM40" s="151">
        <v>2357</v>
      </c>
      <c r="DN40" s="151" t="s">
        <v>1718</v>
      </c>
      <c r="DO40" s="151">
        <v>350</v>
      </c>
      <c r="DP40" s="151" t="s">
        <v>1718</v>
      </c>
      <c r="DQ40" s="151">
        <v>308</v>
      </c>
      <c r="DR40" t="s">
        <v>1718</v>
      </c>
      <c r="DT40" s="155">
        <f t="shared" si="15"/>
        <v>0.15</v>
      </c>
      <c r="DU40" s="156">
        <f t="shared" si="18"/>
        <v>0.23570000000000002</v>
      </c>
      <c r="DW40" s="401">
        <v>150</v>
      </c>
      <c r="DX40" s="401" t="s">
        <v>162</v>
      </c>
      <c r="DY40" s="402">
        <v>211.1</v>
      </c>
      <c r="DZ40" s="402">
        <v>7.8010000000000002</v>
      </c>
      <c r="EA40" s="401">
        <v>8853</v>
      </c>
      <c r="EB40" s="401" t="s">
        <v>1718</v>
      </c>
      <c r="EC40" s="401">
        <v>1008</v>
      </c>
      <c r="ED40" s="401" t="s">
        <v>1718</v>
      </c>
      <c r="EE40" s="401">
        <v>1191</v>
      </c>
      <c r="EF40" s="403" t="s">
        <v>1718</v>
      </c>
      <c r="EH40" s="155">
        <f t="shared" si="16"/>
        <v>0.15</v>
      </c>
      <c r="EI40" s="156">
        <f t="shared" si="19"/>
        <v>0.88530000000000009</v>
      </c>
    </row>
    <row r="41" spans="1:139" x14ac:dyDescent="0.2">
      <c r="A41" s="150">
        <v>160</v>
      </c>
      <c r="B41" s="151" t="s">
        <v>162</v>
      </c>
      <c r="C41" s="152">
        <v>232.3</v>
      </c>
      <c r="D41" s="152">
        <v>90.95</v>
      </c>
      <c r="E41" s="151">
        <v>4839</v>
      </c>
      <c r="F41" s="151" t="s">
        <v>1718</v>
      </c>
      <c r="G41" s="151">
        <v>754</v>
      </c>
      <c r="H41" s="151" t="s">
        <v>1718</v>
      </c>
      <c r="I41" s="151">
        <v>696</v>
      </c>
      <c r="J41" s="151" t="s">
        <v>1718</v>
      </c>
      <c r="L41" s="155">
        <f t="shared" si="1"/>
        <v>0.16</v>
      </c>
      <c r="M41" s="156">
        <f t="shared" si="2"/>
        <v>0.4839</v>
      </c>
      <c r="N41" s="275"/>
      <c r="O41" s="150">
        <v>160</v>
      </c>
      <c r="P41" s="151" t="s">
        <v>162</v>
      </c>
      <c r="Q41" s="152">
        <v>269.7</v>
      </c>
      <c r="R41" s="152">
        <v>70.510000000000005</v>
      </c>
      <c r="S41" s="151">
        <v>4800</v>
      </c>
      <c r="T41" s="151" t="s">
        <v>1718</v>
      </c>
      <c r="U41" s="151">
        <v>715</v>
      </c>
      <c r="V41" s="151" t="s">
        <v>1718</v>
      </c>
      <c r="W41" s="151">
        <v>687</v>
      </c>
      <c r="X41" s="151" t="s">
        <v>1718</v>
      </c>
      <c r="Z41" s="155">
        <f t="shared" si="3"/>
        <v>0.16</v>
      </c>
      <c r="AA41" s="156">
        <f t="shared" si="4"/>
        <v>0.48000000000000004</v>
      </c>
      <c r="AB41" s="275"/>
      <c r="AC41" s="150">
        <v>160</v>
      </c>
      <c r="AD41" s="151" t="s">
        <v>162</v>
      </c>
      <c r="AE41" s="152">
        <v>182.2</v>
      </c>
      <c r="AF41" s="152">
        <v>1.329</v>
      </c>
      <c r="AG41" s="151">
        <v>1.33</v>
      </c>
      <c r="AH41" s="151" t="s">
        <v>1675</v>
      </c>
      <c r="AI41" s="151">
        <v>1083</v>
      </c>
      <c r="AJ41" s="151" t="s">
        <v>1718</v>
      </c>
      <c r="AK41" s="151">
        <v>1415</v>
      </c>
      <c r="AL41" s="151" t="s">
        <v>1718</v>
      </c>
      <c r="AN41" s="155">
        <f t="shared" si="5"/>
        <v>0.16</v>
      </c>
      <c r="AO41" s="156">
        <f t="shared" si="6"/>
        <v>1.33</v>
      </c>
      <c r="AP41" s="275"/>
      <c r="AQ41" s="150">
        <v>160</v>
      </c>
      <c r="AR41" s="151" t="s">
        <v>162</v>
      </c>
      <c r="AS41" s="152">
        <v>85.14</v>
      </c>
      <c r="AT41" s="152">
        <v>0.1045</v>
      </c>
      <c r="AU41" s="151">
        <v>1.76</v>
      </c>
      <c r="AV41" s="151" t="s">
        <v>1675</v>
      </c>
      <c r="AW41" s="151">
        <v>854</v>
      </c>
      <c r="AX41" s="151" t="s">
        <v>1718</v>
      </c>
      <c r="AY41" s="151">
        <v>1124</v>
      </c>
      <c r="AZ41" s="151" t="s">
        <v>1718</v>
      </c>
      <c r="BB41" s="155">
        <f t="shared" si="7"/>
        <v>0.16</v>
      </c>
      <c r="BC41" s="156">
        <f t="shared" si="8"/>
        <v>1.76</v>
      </c>
      <c r="BE41" s="150">
        <v>160</v>
      </c>
      <c r="BF41" s="151" t="s">
        <v>162</v>
      </c>
      <c r="BG41" s="152">
        <v>281.2</v>
      </c>
      <c r="BH41" s="152">
        <v>22.77</v>
      </c>
      <c r="BI41" s="151">
        <v>6142</v>
      </c>
      <c r="BJ41" s="151" t="s">
        <v>1718</v>
      </c>
      <c r="BK41" s="151">
        <v>721</v>
      </c>
      <c r="BL41" s="151" t="s">
        <v>1718</v>
      </c>
      <c r="BM41" s="151">
        <v>781</v>
      </c>
      <c r="BN41" s="151" t="s">
        <v>1718</v>
      </c>
      <c r="BP41" s="155">
        <f t="shared" si="9"/>
        <v>0.16</v>
      </c>
      <c r="BQ41" s="156">
        <f t="shared" si="10"/>
        <v>0.61420000000000008</v>
      </c>
      <c r="BS41" s="150">
        <v>160</v>
      </c>
      <c r="BT41" s="151" t="s">
        <v>162</v>
      </c>
      <c r="BU41" s="152">
        <v>279.10000000000002</v>
      </c>
      <c r="BV41" s="152">
        <v>59.77</v>
      </c>
      <c r="BW41" s="151">
        <v>5068</v>
      </c>
      <c r="BX41" s="151" t="s">
        <v>1718</v>
      </c>
      <c r="BY41" s="151">
        <v>710</v>
      </c>
      <c r="BZ41" s="151" t="s">
        <v>1718</v>
      </c>
      <c r="CA41" s="151">
        <v>694</v>
      </c>
      <c r="CB41" s="151" t="s">
        <v>1718</v>
      </c>
      <c r="CD41" s="155">
        <f t="shared" si="11"/>
        <v>0.16</v>
      </c>
      <c r="CE41" s="156">
        <f t="shared" si="12"/>
        <v>0.50680000000000003</v>
      </c>
      <c r="CG41" s="150">
        <v>160</v>
      </c>
      <c r="CH41" s="151" t="s">
        <v>162</v>
      </c>
      <c r="CI41" s="152">
        <v>253.8</v>
      </c>
      <c r="CJ41" s="152">
        <v>78.55</v>
      </c>
      <c r="CK41" s="151">
        <v>4837</v>
      </c>
      <c r="CL41" s="151" t="s">
        <v>1718</v>
      </c>
      <c r="CM41" s="151">
        <v>706</v>
      </c>
      <c r="CN41" s="151" t="s">
        <v>1718</v>
      </c>
      <c r="CO41" s="151">
        <v>673</v>
      </c>
      <c r="CP41" s="151" t="s">
        <v>1718</v>
      </c>
      <c r="CR41" s="155">
        <f t="shared" ref="CR41:CR72" si="20">IF((CH41="GeV"),CG41*1000,IF((CH41="keV"),CG41*0.001,CG41))</f>
        <v>0.16</v>
      </c>
      <c r="CS41" s="156">
        <f t="shared" si="13"/>
        <v>0.48370000000000002</v>
      </c>
      <c r="CU41" s="151">
        <v>160</v>
      </c>
      <c r="CV41" s="152" t="s">
        <v>162</v>
      </c>
      <c r="CW41" s="152">
        <v>358</v>
      </c>
      <c r="CX41" s="152">
        <v>281.10000000000002</v>
      </c>
      <c r="CY41" s="151">
        <v>2495</v>
      </c>
      <c r="CZ41" s="151" t="s">
        <v>1718</v>
      </c>
      <c r="DA41" s="151">
        <v>384</v>
      </c>
      <c r="DB41" s="151" t="s">
        <v>1718</v>
      </c>
      <c r="DC41" s="151">
        <v>336</v>
      </c>
      <c r="DD41" t="s">
        <v>1718</v>
      </c>
      <c r="DF41" s="155">
        <f t="shared" si="14"/>
        <v>0.16</v>
      </c>
      <c r="DG41" s="156">
        <f t="shared" si="17"/>
        <v>0.2495</v>
      </c>
      <c r="DI41" s="151">
        <v>160</v>
      </c>
      <c r="DJ41" s="152" t="s">
        <v>162</v>
      </c>
      <c r="DK41" s="152">
        <v>370.4</v>
      </c>
      <c r="DL41" s="152">
        <v>272</v>
      </c>
      <c r="DM41" s="151">
        <v>2506</v>
      </c>
      <c r="DN41" s="151" t="s">
        <v>1718</v>
      </c>
      <c r="DO41" s="151">
        <v>366</v>
      </c>
      <c r="DP41" s="151" t="s">
        <v>1718</v>
      </c>
      <c r="DQ41" s="151">
        <v>324</v>
      </c>
      <c r="DR41" t="s">
        <v>1718</v>
      </c>
      <c r="DT41" s="155">
        <f t="shared" si="15"/>
        <v>0.16</v>
      </c>
      <c r="DU41" s="156">
        <f t="shared" si="18"/>
        <v>0.25059999999999999</v>
      </c>
      <c r="DW41" s="401">
        <v>160</v>
      </c>
      <c r="DX41" s="401" t="s">
        <v>162</v>
      </c>
      <c r="DY41" s="402">
        <v>216.3</v>
      </c>
      <c r="DZ41" s="402">
        <v>7.4340000000000002</v>
      </c>
      <c r="EA41" s="401">
        <v>9295</v>
      </c>
      <c r="EB41" s="401" t="s">
        <v>1718</v>
      </c>
      <c r="EC41" s="401">
        <v>1026</v>
      </c>
      <c r="ED41" s="401" t="s">
        <v>1718</v>
      </c>
      <c r="EE41" s="401">
        <v>1223</v>
      </c>
      <c r="EF41" s="403" t="s">
        <v>1718</v>
      </c>
      <c r="EH41" s="155">
        <f t="shared" si="16"/>
        <v>0.16</v>
      </c>
      <c r="EI41" s="156">
        <f t="shared" si="19"/>
        <v>0.92949999999999999</v>
      </c>
    </row>
    <row r="42" spans="1:139" x14ac:dyDescent="0.2">
      <c r="A42" s="150">
        <v>170</v>
      </c>
      <c r="B42" s="151" t="s">
        <v>162</v>
      </c>
      <c r="C42" s="152">
        <v>239.7</v>
      </c>
      <c r="D42" s="152">
        <v>87.77</v>
      </c>
      <c r="E42" s="151">
        <v>5132</v>
      </c>
      <c r="F42" s="151" t="s">
        <v>1718</v>
      </c>
      <c r="G42" s="151">
        <v>783</v>
      </c>
      <c r="H42" s="151" t="s">
        <v>1718</v>
      </c>
      <c r="I42" s="151">
        <v>731</v>
      </c>
      <c r="J42" s="151" t="s">
        <v>1718</v>
      </c>
      <c r="L42" s="155">
        <f t="shared" si="1"/>
        <v>0.17</v>
      </c>
      <c r="M42" s="156">
        <f t="shared" si="2"/>
        <v>0.51319999999999999</v>
      </c>
      <c r="N42" s="275"/>
      <c r="O42" s="150">
        <v>170</v>
      </c>
      <c r="P42" s="151" t="s">
        <v>162</v>
      </c>
      <c r="Q42" s="152">
        <v>276.7</v>
      </c>
      <c r="R42" s="152">
        <v>67.94</v>
      </c>
      <c r="S42" s="151">
        <v>5080</v>
      </c>
      <c r="T42" s="151" t="s">
        <v>1718</v>
      </c>
      <c r="U42" s="151">
        <v>739</v>
      </c>
      <c r="V42" s="151" t="s">
        <v>1718</v>
      </c>
      <c r="W42" s="151">
        <v>717</v>
      </c>
      <c r="X42" s="151" t="s">
        <v>1718</v>
      </c>
      <c r="Z42" s="155">
        <f t="shared" si="3"/>
        <v>0.17</v>
      </c>
      <c r="AA42" s="156">
        <f t="shared" si="4"/>
        <v>0.50800000000000001</v>
      </c>
      <c r="AB42" s="275"/>
      <c r="AC42" s="150">
        <v>170</v>
      </c>
      <c r="AD42" s="151" t="s">
        <v>162</v>
      </c>
      <c r="AE42" s="152">
        <v>187.1</v>
      </c>
      <c r="AF42" s="152">
        <v>1.266</v>
      </c>
      <c r="AG42" s="151">
        <v>1.38</v>
      </c>
      <c r="AH42" s="151" t="s">
        <v>1675</v>
      </c>
      <c r="AI42" s="151">
        <v>1094</v>
      </c>
      <c r="AJ42" s="151" t="s">
        <v>1718</v>
      </c>
      <c r="AK42" s="151">
        <v>1436</v>
      </c>
      <c r="AL42" s="151" t="s">
        <v>1718</v>
      </c>
      <c r="AN42" s="155">
        <f t="shared" si="5"/>
        <v>0.17</v>
      </c>
      <c r="AO42" s="156">
        <f t="shared" si="6"/>
        <v>1.38</v>
      </c>
      <c r="AP42" s="275"/>
      <c r="AQ42" s="150">
        <v>170</v>
      </c>
      <c r="AR42" s="151" t="s">
        <v>162</v>
      </c>
      <c r="AS42" s="152">
        <v>82.67</v>
      </c>
      <c r="AT42" s="152">
        <v>9.9320000000000006E-2</v>
      </c>
      <c r="AU42" s="151">
        <v>1.88</v>
      </c>
      <c r="AV42" s="151" t="s">
        <v>1675</v>
      </c>
      <c r="AW42" s="151">
        <v>880</v>
      </c>
      <c r="AX42" s="151" t="s">
        <v>1718</v>
      </c>
      <c r="AY42" s="151">
        <v>1157</v>
      </c>
      <c r="AZ42" s="151" t="s">
        <v>1718</v>
      </c>
      <c r="BB42" s="155">
        <f t="shared" si="7"/>
        <v>0.17</v>
      </c>
      <c r="BC42" s="156">
        <f t="shared" si="8"/>
        <v>1.88</v>
      </c>
      <c r="BE42" s="150">
        <v>170</v>
      </c>
      <c r="BF42" s="151" t="s">
        <v>162</v>
      </c>
      <c r="BG42" s="152">
        <v>287.3</v>
      </c>
      <c r="BH42" s="152">
        <v>21.83</v>
      </c>
      <c r="BI42" s="151">
        <v>6460</v>
      </c>
      <c r="BJ42" s="151" t="s">
        <v>1718</v>
      </c>
      <c r="BK42" s="151">
        <v>738</v>
      </c>
      <c r="BL42" s="151" t="s">
        <v>1718</v>
      </c>
      <c r="BM42" s="151">
        <v>807</v>
      </c>
      <c r="BN42" s="151" t="s">
        <v>1718</v>
      </c>
      <c r="BP42" s="155">
        <f t="shared" si="9"/>
        <v>0.17</v>
      </c>
      <c r="BQ42" s="156">
        <f t="shared" si="10"/>
        <v>0.64600000000000002</v>
      </c>
      <c r="BS42" s="150">
        <v>170</v>
      </c>
      <c r="BT42" s="151" t="s">
        <v>162</v>
      </c>
      <c r="BU42" s="152">
        <v>289.39999999999998</v>
      </c>
      <c r="BV42" s="152">
        <v>57.54</v>
      </c>
      <c r="BW42" s="151">
        <v>5348</v>
      </c>
      <c r="BX42" s="151" t="s">
        <v>1718</v>
      </c>
      <c r="BY42" s="151">
        <v>731</v>
      </c>
      <c r="BZ42" s="151" t="s">
        <v>1718</v>
      </c>
      <c r="CA42" s="151">
        <v>723</v>
      </c>
      <c r="CB42" s="151" t="s">
        <v>1718</v>
      </c>
      <c r="CD42" s="155">
        <f t="shared" si="11"/>
        <v>0.17</v>
      </c>
      <c r="CE42" s="156">
        <f t="shared" si="12"/>
        <v>0.53480000000000005</v>
      </c>
      <c r="CG42" s="150">
        <v>170</v>
      </c>
      <c r="CH42" s="151" t="s">
        <v>162</v>
      </c>
      <c r="CI42" s="152">
        <v>259.8</v>
      </c>
      <c r="CJ42" s="152">
        <v>75.739999999999995</v>
      </c>
      <c r="CK42" s="151">
        <v>5124</v>
      </c>
      <c r="CL42" s="151" t="s">
        <v>1718</v>
      </c>
      <c r="CM42" s="151">
        <v>731</v>
      </c>
      <c r="CN42" s="151" t="s">
        <v>1718</v>
      </c>
      <c r="CO42" s="151">
        <v>704</v>
      </c>
      <c r="CP42" s="151" t="s">
        <v>1718</v>
      </c>
      <c r="CR42" s="155">
        <f t="shared" si="20"/>
        <v>0.17</v>
      </c>
      <c r="CS42" s="156">
        <f t="shared" si="13"/>
        <v>0.51240000000000008</v>
      </c>
      <c r="CU42" s="151">
        <v>170</v>
      </c>
      <c r="CV42" s="152" t="s">
        <v>162</v>
      </c>
      <c r="CW42" s="152">
        <v>366.2</v>
      </c>
      <c r="CX42" s="152">
        <v>273.89999999999998</v>
      </c>
      <c r="CY42" s="151">
        <v>2645</v>
      </c>
      <c r="CZ42" s="151" t="s">
        <v>1718</v>
      </c>
      <c r="DA42" s="151">
        <v>401</v>
      </c>
      <c r="DB42" s="151" t="s">
        <v>1718</v>
      </c>
      <c r="DC42" s="151">
        <v>352</v>
      </c>
      <c r="DD42" t="s">
        <v>1718</v>
      </c>
      <c r="DF42" s="155">
        <f t="shared" si="14"/>
        <v>0.17</v>
      </c>
      <c r="DG42" s="156">
        <f t="shared" si="17"/>
        <v>0.26450000000000001</v>
      </c>
      <c r="DI42" s="151">
        <v>170</v>
      </c>
      <c r="DJ42" s="152" t="s">
        <v>162</v>
      </c>
      <c r="DK42" s="152">
        <v>377.7</v>
      </c>
      <c r="DL42" s="152">
        <v>265.10000000000002</v>
      </c>
      <c r="DM42" s="151">
        <v>2656</v>
      </c>
      <c r="DN42" s="151" t="s">
        <v>1718</v>
      </c>
      <c r="DO42" s="151">
        <v>381</v>
      </c>
      <c r="DP42" s="151" t="s">
        <v>1718</v>
      </c>
      <c r="DQ42" s="151">
        <v>339</v>
      </c>
      <c r="DR42" t="s">
        <v>1718</v>
      </c>
      <c r="DT42" s="155">
        <f t="shared" si="15"/>
        <v>0.17</v>
      </c>
      <c r="DU42" s="156">
        <f t="shared" si="18"/>
        <v>0.2656</v>
      </c>
      <c r="DW42" s="401">
        <v>170</v>
      </c>
      <c r="DX42" s="401" t="s">
        <v>162</v>
      </c>
      <c r="DY42" s="402">
        <v>221.4</v>
      </c>
      <c r="DZ42" s="402">
        <v>7.1029999999999998</v>
      </c>
      <c r="EA42" s="401">
        <v>9727</v>
      </c>
      <c r="EB42" s="401" t="s">
        <v>1718</v>
      </c>
      <c r="EC42" s="401">
        <v>1043</v>
      </c>
      <c r="ED42" s="401" t="s">
        <v>1718</v>
      </c>
      <c r="EE42" s="401">
        <v>1253</v>
      </c>
      <c r="EF42" s="403" t="s">
        <v>1718</v>
      </c>
      <c r="EH42" s="155">
        <f t="shared" si="16"/>
        <v>0.17</v>
      </c>
      <c r="EI42" s="156">
        <f t="shared" si="19"/>
        <v>0.97270000000000001</v>
      </c>
    </row>
    <row r="43" spans="1:139" x14ac:dyDescent="0.2">
      <c r="A43" s="150">
        <v>180</v>
      </c>
      <c r="B43" s="151" t="s">
        <v>162</v>
      </c>
      <c r="C43" s="152">
        <v>246.9</v>
      </c>
      <c r="D43" s="152">
        <v>84.84</v>
      </c>
      <c r="E43" s="151">
        <v>5422</v>
      </c>
      <c r="F43" s="151" t="s">
        <v>1718</v>
      </c>
      <c r="G43" s="151">
        <v>810</v>
      </c>
      <c r="H43" s="151" t="s">
        <v>1718</v>
      </c>
      <c r="I43" s="151">
        <v>764</v>
      </c>
      <c r="J43" s="151" t="s">
        <v>1718</v>
      </c>
      <c r="L43" s="155">
        <f t="shared" si="1"/>
        <v>0.18</v>
      </c>
      <c r="M43" s="156">
        <f t="shared" si="2"/>
        <v>0.54220000000000002</v>
      </c>
      <c r="N43" s="275"/>
      <c r="O43" s="150">
        <v>180</v>
      </c>
      <c r="P43" s="151" t="s">
        <v>162</v>
      </c>
      <c r="Q43" s="152">
        <v>283.8</v>
      </c>
      <c r="R43" s="152">
        <v>65.569999999999993</v>
      </c>
      <c r="S43" s="151">
        <v>5357</v>
      </c>
      <c r="T43" s="151" t="s">
        <v>1718</v>
      </c>
      <c r="U43" s="151">
        <v>762</v>
      </c>
      <c r="V43" s="151" t="s">
        <v>1718</v>
      </c>
      <c r="W43" s="151">
        <v>746</v>
      </c>
      <c r="X43" s="151" t="s">
        <v>1718</v>
      </c>
      <c r="Z43" s="155">
        <f t="shared" si="3"/>
        <v>0.18</v>
      </c>
      <c r="AA43" s="156">
        <f t="shared" si="4"/>
        <v>0.53570000000000007</v>
      </c>
      <c r="AB43" s="275"/>
      <c r="AC43" s="150">
        <v>180</v>
      </c>
      <c r="AD43" s="151" t="s">
        <v>162</v>
      </c>
      <c r="AE43" s="152">
        <v>191.8</v>
      </c>
      <c r="AF43" s="152">
        <v>1.2090000000000001</v>
      </c>
      <c r="AG43" s="151">
        <v>1.43</v>
      </c>
      <c r="AH43" s="151" t="s">
        <v>1675</v>
      </c>
      <c r="AI43" s="151">
        <v>1104</v>
      </c>
      <c r="AJ43" s="151" t="s">
        <v>1718</v>
      </c>
      <c r="AK43" s="151">
        <v>1456</v>
      </c>
      <c r="AL43" s="151" t="s">
        <v>1718</v>
      </c>
      <c r="AN43" s="155">
        <f t="shared" si="5"/>
        <v>0.18</v>
      </c>
      <c r="AO43" s="156">
        <f t="shared" si="6"/>
        <v>1.43</v>
      </c>
      <c r="AP43" s="275"/>
      <c r="AQ43" s="150">
        <v>180</v>
      </c>
      <c r="AR43" s="151" t="s">
        <v>162</v>
      </c>
      <c r="AS43" s="152">
        <v>80.3</v>
      </c>
      <c r="AT43" s="152">
        <v>9.4649999999999998E-2</v>
      </c>
      <c r="AU43" s="151">
        <v>2</v>
      </c>
      <c r="AV43" s="151" t="s">
        <v>1675</v>
      </c>
      <c r="AW43" s="151">
        <v>907</v>
      </c>
      <c r="AX43" s="151" t="s">
        <v>1718</v>
      </c>
      <c r="AY43" s="151">
        <v>1190</v>
      </c>
      <c r="AZ43" s="151" t="s">
        <v>1718</v>
      </c>
      <c r="BB43" s="155">
        <f t="shared" si="7"/>
        <v>0.18</v>
      </c>
      <c r="BC43" s="156">
        <f t="shared" si="8"/>
        <v>2</v>
      </c>
      <c r="BE43" s="150">
        <v>180</v>
      </c>
      <c r="BF43" s="151" t="s">
        <v>162</v>
      </c>
      <c r="BG43" s="152">
        <v>293.2</v>
      </c>
      <c r="BH43" s="152">
        <v>20.97</v>
      </c>
      <c r="BI43" s="151">
        <v>6773</v>
      </c>
      <c r="BJ43" s="151" t="s">
        <v>1718</v>
      </c>
      <c r="BK43" s="151">
        <v>754</v>
      </c>
      <c r="BL43" s="151" t="s">
        <v>1718</v>
      </c>
      <c r="BM43" s="151">
        <v>832</v>
      </c>
      <c r="BN43" s="151" t="s">
        <v>1718</v>
      </c>
      <c r="BP43" s="155">
        <f t="shared" si="9"/>
        <v>0.18</v>
      </c>
      <c r="BQ43" s="156">
        <f t="shared" si="10"/>
        <v>0.67730000000000001</v>
      </c>
      <c r="BS43" s="150">
        <v>180</v>
      </c>
      <c r="BT43" s="151" t="s">
        <v>162</v>
      </c>
      <c r="BU43" s="152">
        <v>299.60000000000002</v>
      </c>
      <c r="BV43" s="152">
        <v>55.49</v>
      </c>
      <c r="BW43" s="151">
        <v>5623</v>
      </c>
      <c r="BX43" s="151" t="s">
        <v>1718</v>
      </c>
      <c r="BY43" s="151">
        <v>751</v>
      </c>
      <c r="BZ43" s="151" t="s">
        <v>1718</v>
      </c>
      <c r="CA43" s="151">
        <v>751</v>
      </c>
      <c r="CB43" s="151" t="s">
        <v>1718</v>
      </c>
      <c r="CD43" s="155">
        <f t="shared" si="11"/>
        <v>0.18</v>
      </c>
      <c r="CE43" s="156">
        <f t="shared" si="12"/>
        <v>0.56230000000000002</v>
      </c>
      <c r="CG43" s="150">
        <v>180</v>
      </c>
      <c r="CH43" s="151" t="s">
        <v>162</v>
      </c>
      <c r="CI43" s="152">
        <v>265.8</v>
      </c>
      <c r="CJ43" s="152">
        <v>73.150000000000006</v>
      </c>
      <c r="CK43" s="151">
        <v>5410</v>
      </c>
      <c r="CL43" s="151" t="s">
        <v>1718</v>
      </c>
      <c r="CM43" s="151">
        <v>755</v>
      </c>
      <c r="CN43" s="151" t="s">
        <v>1718</v>
      </c>
      <c r="CO43" s="151">
        <v>734</v>
      </c>
      <c r="CP43" s="151" t="s">
        <v>1718</v>
      </c>
      <c r="CR43" s="155">
        <f t="shared" si="20"/>
        <v>0.18</v>
      </c>
      <c r="CS43" s="156">
        <f t="shared" si="13"/>
        <v>0.54100000000000004</v>
      </c>
      <c r="CU43" s="151">
        <v>180</v>
      </c>
      <c r="CV43" s="152" t="s">
        <v>162</v>
      </c>
      <c r="CW43" s="152">
        <v>374.1</v>
      </c>
      <c r="CX43" s="152">
        <v>267.2</v>
      </c>
      <c r="CY43" s="151">
        <v>2794</v>
      </c>
      <c r="CZ43" s="151" t="s">
        <v>1718</v>
      </c>
      <c r="DA43" s="151">
        <v>416</v>
      </c>
      <c r="DB43" s="151" t="s">
        <v>1718</v>
      </c>
      <c r="DC43" s="151">
        <v>369</v>
      </c>
      <c r="DD43" t="s">
        <v>1718</v>
      </c>
      <c r="DF43" s="155">
        <f t="shared" si="14"/>
        <v>0.18</v>
      </c>
      <c r="DG43" s="156">
        <f t="shared" si="17"/>
        <v>0.27940000000000004</v>
      </c>
      <c r="DI43" s="151">
        <v>180</v>
      </c>
      <c r="DJ43" s="152" t="s">
        <v>162</v>
      </c>
      <c r="DK43" s="152">
        <v>384.6</v>
      </c>
      <c r="DL43" s="152">
        <v>258.60000000000002</v>
      </c>
      <c r="DM43" s="151">
        <v>2806</v>
      </c>
      <c r="DN43" s="151" t="s">
        <v>1718</v>
      </c>
      <c r="DO43" s="151">
        <v>396</v>
      </c>
      <c r="DP43" s="151" t="s">
        <v>1718</v>
      </c>
      <c r="DQ43" s="151">
        <v>355</v>
      </c>
      <c r="DR43" t="s">
        <v>1718</v>
      </c>
      <c r="DT43" s="155">
        <f t="shared" si="15"/>
        <v>0.18</v>
      </c>
      <c r="DU43" s="156">
        <f t="shared" si="18"/>
        <v>0.28060000000000002</v>
      </c>
      <c r="DW43" s="401">
        <v>180</v>
      </c>
      <c r="DX43" s="401" t="s">
        <v>162</v>
      </c>
      <c r="DY43" s="402">
        <v>226.3</v>
      </c>
      <c r="DZ43" s="402">
        <v>6.8029999999999999</v>
      </c>
      <c r="EA43" s="401">
        <v>1.02</v>
      </c>
      <c r="EB43" s="401" t="s">
        <v>1675</v>
      </c>
      <c r="EC43" s="401">
        <v>1059</v>
      </c>
      <c r="ED43" s="401" t="s">
        <v>1718</v>
      </c>
      <c r="EE43" s="401">
        <v>1281</v>
      </c>
      <c r="EF43" s="403" t="s">
        <v>1718</v>
      </c>
      <c r="EH43" s="155">
        <f t="shared" si="16"/>
        <v>0.18</v>
      </c>
      <c r="EI43" s="156">
        <f t="shared" si="19"/>
        <v>1.02</v>
      </c>
    </row>
    <row r="44" spans="1:139" x14ac:dyDescent="0.2">
      <c r="A44" s="150">
        <v>200</v>
      </c>
      <c r="B44" s="151" t="s">
        <v>162</v>
      </c>
      <c r="C44" s="152">
        <v>261.10000000000002</v>
      </c>
      <c r="D44" s="152">
        <v>79.599999999999994</v>
      </c>
      <c r="E44" s="151">
        <v>5992</v>
      </c>
      <c r="F44" s="151" t="s">
        <v>1718</v>
      </c>
      <c r="G44" s="151">
        <v>862</v>
      </c>
      <c r="H44" s="151" t="s">
        <v>1718</v>
      </c>
      <c r="I44" s="151">
        <v>828</v>
      </c>
      <c r="J44" s="151" t="s">
        <v>1718</v>
      </c>
      <c r="L44" s="155">
        <f t="shared" si="1"/>
        <v>0.2</v>
      </c>
      <c r="M44" s="156">
        <f t="shared" si="2"/>
        <v>0.59920000000000007</v>
      </c>
      <c r="N44" s="275"/>
      <c r="O44" s="150">
        <v>200</v>
      </c>
      <c r="P44" s="151" t="s">
        <v>162</v>
      </c>
      <c r="Q44" s="152">
        <v>297.8</v>
      </c>
      <c r="R44" s="152">
        <v>61.36</v>
      </c>
      <c r="S44" s="151">
        <v>5901</v>
      </c>
      <c r="T44" s="151" t="s">
        <v>1718</v>
      </c>
      <c r="U44" s="151">
        <v>806</v>
      </c>
      <c r="V44" s="151" t="s">
        <v>1718</v>
      </c>
      <c r="W44" s="151">
        <v>802</v>
      </c>
      <c r="X44" s="151" t="s">
        <v>1718</v>
      </c>
      <c r="Z44" s="155">
        <f t="shared" si="3"/>
        <v>0.2</v>
      </c>
      <c r="AA44" s="156">
        <f t="shared" si="4"/>
        <v>0.59010000000000007</v>
      </c>
      <c r="AB44" s="275"/>
      <c r="AC44" s="150">
        <v>200</v>
      </c>
      <c r="AD44" s="151" t="s">
        <v>162</v>
      </c>
      <c r="AE44" s="152">
        <v>200.4</v>
      </c>
      <c r="AF44" s="152">
        <v>1.111</v>
      </c>
      <c r="AG44" s="151">
        <v>1.53</v>
      </c>
      <c r="AH44" s="151" t="s">
        <v>1675</v>
      </c>
      <c r="AI44" s="151">
        <v>1126</v>
      </c>
      <c r="AJ44" s="151" t="s">
        <v>1718</v>
      </c>
      <c r="AK44" s="151">
        <v>1492</v>
      </c>
      <c r="AL44" s="151" t="s">
        <v>1718</v>
      </c>
      <c r="AN44" s="155">
        <f t="shared" si="5"/>
        <v>0.2</v>
      </c>
      <c r="AO44" s="156">
        <f t="shared" si="6"/>
        <v>1.53</v>
      </c>
      <c r="AP44" s="275"/>
      <c r="AQ44" s="150">
        <v>200</v>
      </c>
      <c r="AR44" s="151" t="s">
        <v>162</v>
      </c>
      <c r="AS44" s="152">
        <v>75.89</v>
      </c>
      <c r="AT44" s="152">
        <v>8.6580000000000004E-2</v>
      </c>
      <c r="AU44" s="151">
        <v>2.2599999999999998</v>
      </c>
      <c r="AV44" s="151" t="s">
        <v>1675</v>
      </c>
      <c r="AW44" s="151">
        <v>996</v>
      </c>
      <c r="AX44" s="151" t="s">
        <v>1718</v>
      </c>
      <c r="AY44" s="151">
        <v>1260</v>
      </c>
      <c r="AZ44" s="151" t="s">
        <v>1718</v>
      </c>
      <c r="BB44" s="155">
        <f t="shared" si="7"/>
        <v>0.2</v>
      </c>
      <c r="BC44" s="156">
        <f t="shared" si="8"/>
        <v>2.2599999999999998</v>
      </c>
      <c r="BE44" s="150">
        <v>200</v>
      </c>
      <c r="BF44" s="151" t="s">
        <v>162</v>
      </c>
      <c r="BG44" s="152">
        <v>304.60000000000002</v>
      </c>
      <c r="BH44" s="152">
        <v>19.46</v>
      </c>
      <c r="BI44" s="151">
        <v>7386</v>
      </c>
      <c r="BJ44" s="151" t="s">
        <v>1718</v>
      </c>
      <c r="BK44" s="151">
        <v>785</v>
      </c>
      <c r="BL44" s="151" t="s">
        <v>1718</v>
      </c>
      <c r="BM44" s="151">
        <v>878</v>
      </c>
      <c r="BN44" s="151" t="s">
        <v>1718</v>
      </c>
      <c r="BP44" s="155">
        <f t="shared" si="9"/>
        <v>0.2</v>
      </c>
      <c r="BQ44" s="156">
        <f t="shared" si="10"/>
        <v>0.73860000000000003</v>
      </c>
      <c r="BS44" s="150">
        <v>200</v>
      </c>
      <c r="BT44" s="151" t="s">
        <v>162</v>
      </c>
      <c r="BU44" s="152">
        <v>318.89999999999998</v>
      </c>
      <c r="BV44" s="152">
        <v>51.86</v>
      </c>
      <c r="BW44" s="151">
        <v>6156</v>
      </c>
      <c r="BX44" s="151" t="s">
        <v>1718</v>
      </c>
      <c r="BY44" s="151">
        <v>790</v>
      </c>
      <c r="BZ44" s="151" t="s">
        <v>1718</v>
      </c>
      <c r="CA44" s="151">
        <v>803</v>
      </c>
      <c r="CB44" s="151" t="s">
        <v>1718</v>
      </c>
      <c r="CD44" s="155">
        <f t="shared" si="11"/>
        <v>0.2</v>
      </c>
      <c r="CE44" s="156">
        <f t="shared" si="12"/>
        <v>0.61560000000000004</v>
      </c>
      <c r="CG44" s="150">
        <v>200</v>
      </c>
      <c r="CH44" s="151" t="s">
        <v>162</v>
      </c>
      <c r="CI44" s="152">
        <v>277.8</v>
      </c>
      <c r="CJ44" s="152">
        <v>68.55</v>
      </c>
      <c r="CK44" s="151">
        <v>5972</v>
      </c>
      <c r="CL44" s="151" t="s">
        <v>1718</v>
      </c>
      <c r="CM44" s="151">
        <v>802</v>
      </c>
      <c r="CN44" s="151" t="s">
        <v>1718</v>
      </c>
      <c r="CO44" s="151">
        <v>791</v>
      </c>
      <c r="CP44" s="151" t="s">
        <v>1718</v>
      </c>
      <c r="CR44" s="155">
        <f t="shared" si="20"/>
        <v>0.2</v>
      </c>
      <c r="CS44" s="156">
        <f t="shared" si="13"/>
        <v>0.59720000000000006</v>
      </c>
      <c r="CU44" s="151">
        <v>200</v>
      </c>
      <c r="CV44" s="152" t="s">
        <v>162</v>
      </c>
      <c r="CW44" s="152">
        <v>389.3</v>
      </c>
      <c r="CX44" s="152">
        <v>254.9</v>
      </c>
      <c r="CY44" s="151">
        <v>3093</v>
      </c>
      <c r="CZ44" s="151" t="s">
        <v>1718</v>
      </c>
      <c r="DA44" s="151">
        <v>448</v>
      </c>
      <c r="DB44" s="151" t="s">
        <v>1718</v>
      </c>
      <c r="DC44" s="151">
        <v>400</v>
      </c>
      <c r="DD44" t="s">
        <v>1718</v>
      </c>
      <c r="DF44" s="155">
        <f t="shared" si="14"/>
        <v>0.2</v>
      </c>
      <c r="DG44" s="156">
        <f t="shared" si="17"/>
        <v>0.30930000000000002</v>
      </c>
      <c r="DI44" s="151">
        <v>200</v>
      </c>
      <c r="DJ44" s="152" t="s">
        <v>162</v>
      </c>
      <c r="DK44" s="152">
        <v>397.6</v>
      </c>
      <c r="DL44" s="152">
        <v>246.7</v>
      </c>
      <c r="DM44" s="151">
        <v>3105</v>
      </c>
      <c r="DN44" s="151" t="s">
        <v>1718</v>
      </c>
      <c r="DO44" s="151">
        <v>426</v>
      </c>
      <c r="DP44" s="151" t="s">
        <v>1718</v>
      </c>
      <c r="DQ44" s="151">
        <v>385</v>
      </c>
      <c r="DR44" t="s">
        <v>1718</v>
      </c>
      <c r="DT44" s="155">
        <f t="shared" si="15"/>
        <v>0.2</v>
      </c>
      <c r="DU44" s="156">
        <f t="shared" si="18"/>
        <v>0.3105</v>
      </c>
      <c r="DW44" s="401">
        <v>200</v>
      </c>
      <c r="DX44" s="401" t="s">
        <v>162</v>
      </c>
      <c r="DY44" s="402">
        <v>235.9</v>
      </c>
      <c r="DZ44" s="402">
        <v>6.2789999999999999</v>
      </c>
      <c r="EA44" s="401">
        <v>1.1000000000000001</v>
      </c>
      <c r="EB44" s="401" t="s">
        <v>1675</v>
      </c>
      <c r="EC44" s="401">
        <v>1091</v>
      </c>
      <c r="ED44" s="401" t="s">
        <v>1718</v>
      </c>
      <c r="EE44" s="401">
        <v>1334</v>
      </c>
      <c r="EF44" s="403" t="s">
        <v>1718</v>
      </c>
      <c r="EH44" s="155">
        <f t="shared" si="16"/>
        <v>0.2</v>
      </c>
      <c r="EI44" s="156">
        <f t="shared" si="19"/>
        <v>1.1000000000000001</v>
      </c>
    </row>
    <row r="45" spans="1:139" x14ac:dyDescent="0.2">
      <c r="A45" s="150">
        <v>225</v>
      </c>
      <c r="B45" s="151" t="s">
        <v>162</v>
      </c>
      <c r="C45" s="152">
        <v>278</v>
      </c>
      <c r="D45" s="152">
        <v>74.02</v>
      </c>
      <c r="E45" s="151">
        <v>6685</v>
      </c>
      <c r="F45" s="151" t="s">
        <v>1718</v>
      </c>
      <c r="G45" s="151">
        <v>922</v>
      </c>
      <c r="H45" s="151" t="s">
        <v>1718</v>
      </c>
      <c r="I45" s="151">
        <v>904</v>
      </c>
      <c r="J45" s="151" t="s">
        <v>1718</v>
      </c>
      <c r="L45" s="155">
        <f t="shared" si="1"/>
        <v>0.22500000000000001</v>
      </c>
      <c r="M45" s="156">
        <f t="shared" si="2"/>
        <v>0.66849999999999998</v>
      </c>
      <c r="N45" s="275"/>
      <c r="O45" s="150">
        <v>225</v>
      </c>
      <c r="P45" s="151" t="s">
        <v>162</v>
      </c>
      <c r="Q45" s="152">
        <v>315.10000000000002</v>
      </c>
      <c r="R45" s="152">
        <v>56.89</v>
      </c>
      <c r="S45" s="151">
        <v>6561</v>
      </c>
      <c r="T45" s="151" t="s">
        <v>1718</v>
      </c>
      <c r="U45" s="151">
        <v>857</v>
      </c>
      <c r="V45" s="151" t="s">
        <v>1718</v>
      </c>
      <c r="W45" s="151">
        <v>868</v>
      </c>
      <c r="X45" s="151" t="s">
        <v>1718</v>
      </c>
      <c r="Z45" s="155">
        <f t="shared" si="3"/>
        <v>0.22500000000000001</v>
      </c>
      <c r="AA45" s="156">
        <f t="shared" si="4"/>
        <v>0.65610000000000002</v>
      </c>
      <c r="AB45" s="275"/>
      <c r="AC45" s="150">
        <v>225</v>
      </c>
      <c r="AD45" s="151" t="s">
        <v>162</v>
      </c>
      <c r="AE45" s="152">
        <v>209.9</v>
      </c>
      <c r="AF45" s="152">
        <v>1.0089999999999999</v>
      </c>
      <c r="AG45" s="151">
        <v>1.65</v>
      </c>
      <c r="AH45" s="151" t="s">
        <v>1675</v>
      </c>
      <c r="AI45" s="151">
        <v>1153</v>
      </c>
      <c r="AJ45" s="151" t="s">
        <v>1718</v>
      </c>
      <c r="AK45" s="151">
        <v>1533</v>
      </c>
      <c r="AL45" s="151" t="s">
        <v>1718</v>
      </c>
      <c r="AN45" s="155">
        <f t="shared" si="5"/>
        <v>0.22500000000000001</v>
      </c>
      <c r="AO45" s="156">
        <f t="shared" si="6"/>
        <v>1.65</v>
      </c>
      <c r="AP45" s="275"/>
      <c r="AQ45" s="150">
        <v>225</v>
      </c>
      <c r="AR45" s="151" t="s">
        <v>162</v>
      </c>
      <c r="AS45" s="152">
        <v>70.989999999999995</v>
      </c>
      <c r="AT45" s="152">
        <v>7.8350000000000003E-2</v>
      </c>
      <c r="AU45" s="151">
        <v>2.6</v>
      </c>
      <c r="AV45" s="151" t="s">
        <v>1675</v>
      </c>
      <c r="AW45" s="151">
        <v>1130</v>
      </c>
      <c r="AX45" s="151" t="s">
        <v>1718</v>
      </c>
      <c r="AY45" s="151">
        <v>1352</v>
      </c>
      <c r="AZ45" s="151" t="s">
        <v>1718</v>
      </c>
      <c r="BB45" s="155">
        <f t="shared" si="7"/>
        <v>0.22500000000000001</v>
      </c>
      <c r="BC45" s="156">
        <f t="shared" si="8"/>
        <v>2.6</v>
      </c>
      <c r="BE45" s="150">
        <v>225</v>
      </c>
      <c r="BF45" s="151" t="s">
        <v>162</v>
      </c>
      <c r="BG45" s="152">
        <v>318.3</v>
      </c>
      <c r="BH45" s="152">
        <v>17.88</v>
      </c>
      <c r="BI45" s="151">
        <v>8127</v>
      </c>
      <c r="BJ45" s="151" t="s">
        <v>1718</v>
      </c>
      <c r="BK45" s="151">
        <v>822</v>
      </c>
      <c r="BL45" s="151" t="s">
        <v>1718</v>
      </c>
      <c r="BM45" s="151">
        <v>932</v>
      </c>
      <c r="BN45" s="151" t="s">
        <v>1718</v>
      </c>
      <c r="BP45" s="155">
        <f t="shared" si="9"/>
        <v>0.22500000000000001</v>
      </c>
      <c r="BQ45" s="156">
        <f t="shared" si="10"/>
        <v>0.81270000000000009</v>
      </c>
      <c r="BS45" s="150">
        <v>225</v>
      </c>
      <c r="BT45" s="151" t="s">
        <v>162</v>
      </c>
      <c r="BU45" s="152">
        <v>341.1</v>
      </c>
      <c r="BV45" s="152">
        <v>48.02</v>
      </c>
      <c r="BW45" s="151">
        <v>6793</v>
      </c>
      <c r="BX45" s="151" t="s">
        <v>1718</v>
      </c>
      <c r="BY45" s="151">
        <v>833</v>
      </c>
      <c r="BZ45" s="151" t="s">
        <v>1718</v>
      </c>
      <c r="CA45" s="151">
        <v>863</v>
      </c>
      <c r="CB45" s="151" t="s">
        <v>1718</v>
      </c>
      <c r="CD45" s="155">
        <f t="shared" si="11"/>
        <v>0.22500000000000001</v>
      </c>
      <c r="CE45" s="156">
        <f t="shared" si="12"/>
        <v>0.67930000000000001</v>
      </c>
      <c r="CG45" s="150">
        <v>225</v>
      </c>
      <c r="CH45" s="151" t="s">
        <v>162</v>
      </c>
      <c r="CI45" s="152">
        <v>292.89999999999998</v>
      </c>
      <c r="CJ45" s="152">
        <v>63.65</v>
      </c>
      <c r="CK45" s="151">
        <v>6659</v>
      </c>
      <c r="CL45" s="151" t="s">
        <v>1718</v>
      </c>
      <c r="CM45" s="151">
        <v>856</v>
      </c>
      <c r="CN45" s="151" t="s">
        <v>1718</v>
      </c>
      <c r="CO45" s="151">
        <v>859</v>
      </c>
      <c r="CP45" s="151" t="s">
        <v>1718</v>
      </c>
      <c r="CR45" s="155">
        <f t="shared" si="20"/>
        <v>0.22500000000000001</v>
      </c>
      <c r="CS45" s="156">
        <f t="shared" si="13"/>
        <v>0.66590000000000005</v>
      </c>
      <c r="CU45" s="151">
        <v>225</v>
      </c>
      <c r="CV45" s="152" t="s">
        <v>162</v>
      </c>
      <c r="CW45" s="152">
        <v>407.4</v>
      </c>
      <c r="CX45" s="152">
        <v>241.2</v>
      </c>
      <c r="CY45" s="151">
        <v>3465</v>
      </c>
      <c r="CZ45" s="151" t="s">
        <v>1718</v>
      </c>
      <c r="DA45" s="151">
        <v>485</v>
      </c>
      <c r="DB45" s="151" t="s">
        <v>1718</v>
      </c>
      <c r="DC45" s="151">
        <v>439</v>
      </c>
      <c r="DD45" t="s">
        <v>1718</v>
      </c>
      <c r="DF45" s="155">
        <f t="shared" si="14"/>
        <v>0.22500000000000001</v>
      </c>
      <c r="DG45" s="156">
        <f t="shared" si="17"/>
        <v>0.34650000000000003</v>
      </c>
      <c r="DI45" s="151">
        <v>225</v>
      </c>
      <c r="DJ45" s="152" t="s">
        <v>162</v>
      </c>
      <c r="DK45" s="152">
        <v>412.7</v>
      </c>
      <c r="DL45" s="152">
        <v>233.5</v>
      </c>
      <c r="DM45" s="151">
        <v>3479</v>
      </c>
      <c r="DN45" s="151" t="s">
        <v>1718</v>
      </c>
      <c r="DO45" s="151">
        <v>461</v>
      </c>
      <c r="DP45" s="151" t="s">
        <v>1718</v>
      </c>
      <c r="DQ45" s="151">
        <v>422</v>
      </c>
      <c r="DR45" t="s">
        <v>1718</v>
      </c>
      <c r="DT45" s="155">
        <f t="shared" si="15"/>
        <v>0.22500000000000001</v>
      </c>
      <c r="DU45" s="156">
        <f t="shared" si="18"/>
        <v>0.34790000000000004</v>
      </c>
      <c r="DW45" s="401">
        <v>225</v>
      </c>
      <c r="DX45" s="401" t="s">
        <v>162</v>
      </c>
      <c r="DY45" s="402">
        <v>247.4</v>
      </c>
      <c r="DZ45" s="402">
        <v>5.7380000000000004</v>
      </c>
      <c r="EA45" s="401">
        <v>1.2</v>
      </c>
      <c r="EB45" s="401" t="s">
        <v>1675</v>
      </c>
      <c r="EC45" s="401">
        <v>1128</v>
      </c>
      <c r="ED45" s="401" t="s">
        <v>1718</v>
      </c>
      <c r="EE45" s="401">
        <v>1393</v>
      </c>
      <c r="EF45" s="403" t="s">
        <v>1718</v>
      </c>
      <c r="EH45" s="155">
        <f t="shared" si="16"/>
        <v>0.22500000000000001</v>
      </c>
      <c r="EI45" s="156">
        <f t="shared" si="19"/>
        <v>1.2</v>
      </c>
    </row>
    <row r="46" spans="1:139" x14ac:dyDescent="0.2">
      <c r="A46" s="150">
        <v>250</v>
      </c>
      <c r="B46" s="151" t="s">
        <v>162</v>
      </c>
      <c r="C46" s="152">
        <v>294</v>
      </c>
      <c r="D46" s="152">
        <v>69.27</v>
      </c>
      <c r="E46" s="151">
        <v>7359</v>
      </c>
      <c r="F46" s="151" t="s">
        <v>1718</v>
      </c>
      <c r="G46" s="151">
        <v>976</v>
      </c>
      <c r="H46" s="151" t="s">
        <v>1718</v>
      </c>
      <c r="I46" s="151">
        <v>974</v>
      </c>
      <c r="J46" s="151" t="s">
        <v>1718</v>
      </c>
      <c r="L46" s="155">
        <f t="shared" si="1"/>
        <v>0.25</v>
      </c>
      <c r="M46" s="156">
        <f t="shared" si="2"/>
        <v>0.7359</v>
      </c>
      <c r="N46" s="275"/>
      <c r="O46" s="150">
        <v>250</v>
      </c>
      <c r="P46" s="151" t="s">
        <v>162</v>
      </c>
      <c r="Q46" s="152">
        <v>332.1</v>
      </c>
      <c r="R46" s="152">
        <v>53.11</v>
      </c>
      <c r="S46" s="151">
        <v>7200</v>
      </c>
      <c r="T46" s="151" t="s">
        <v>1718</v>
      </c>
      <c r="U46" s="151">
        <v>902</v>
      </c>
      <c r="V46" s="151" t="s">
        <v>1718</v>
      </c>
      <c r="W46" s="151">
        <v>929</v>
      </c>
      <c r="X46" s="151" t="s">
        <v>1718</v>
      </c>
      <c r="Z46" s="155">
        <f t="shared" si="3"/>
        <v>0.25</v>
      </c>
      <c r="AA46" s="156">
        <f t="shared" si="4"/>
        <v>0.72000000000000008</v>
      </c>
      <c r="AB46" s="275"/>
      <c r="AC46" s="150">
        <v>250</v>
      </c>
      <c r="AD46" s="151" t="s">
        <v>162</v>
      </c>
      <c r="AE46" s="152">
        <v>218.3</v>
      </c>
      <c r="AF46" s="152">
        <v>0.92630000000000001</v>
      </c>
      <c r="AG46" s="151">
        <v>1.77</v>
      </c>
      <c r="AH46" s="151" t="s">
        <v>1675</v>
      </c>
      <c r="AI46" s="151">
        <v>1177</v>
      </c>
      <c r="AJ46" s="151" t="s">
        <v>1718</v>
      </c>
      <c r="AK46" s="151">
        <v>1568</v>
      </c>
      <c r="AL46" s="151" t="s">
        <v>1718</v>
      </c>
      <c r="AN46" s="155">
        <f t="shared" si="5"/>
        <v>0.25</v>
      </c>
      <c r="AO46" s="156">
        <f t="shared" si="6"/>
        <v>1.77</v>
      </c>
      <c r="AP46" s="275"/>
      <c r="AQ46" s="150">
        <v>250</v>
      </c>
      <c r="AR46" s="151" t="s">
        <v>162</v>
      </c>
      <c r="AS46" s="152">
        <v>66.69</v>
      </c>
      <c r="AT46" s="152">
        <v>7.1629999999999999E-2</v>
      </c>
      <c r="AU46" s="151">
        <v>2.96</v>
      </c>
      <c r="AV46" s="151" t="s">
        <v>1675</v>
      </c>
      <c r="AW46" s="151">
        <v>1265</v>
      </c>
      <c r="AX46" s="151" t="s">
        <v>1718</v>
      </c>
      <c r="AY46" s="151">
        <v>1449</v>
      </c>
      <c r="AZ46" s="151" t="s">
        <v>1718</v>
      </c>
      <c r="BB46" s="155">
        <f t="shared" si="7"/>
        <v>0.25</v>
      </c>
      <c r="BC46" s="156">
        <f t="shared" si="8"/>
        <v>2.96</v>
      </c>
      <c r="BE46" s="150">
        <v>250</v>
      </c>
      <c r="BF46" s="151" t="s">
        <v>162</v>
      </c>
      <c r="BG46" s="152">
        <v>331.7</v>
      </c>
      <c r="BH46" s="152">
        <v>16.57</v>
      </c>
      <c r="BI46" s="151">
        <v>8844</v>
      </c>
      <c r="BJ46" s="151" t="s">
        <v>1718</v>
      </c>
      <c r="BK46" s="151">
        <v>854</v>
      </c>
      <c r="BL46" s="151" t="s">
        <v>1718</v>
      </c>
      <c r="BM46" s="151">
        <v>980</v>
      </c>
      <c r="BN46" s="151" t="s">
        <v>1718</v>
      </c>
      <c r="BP46" s="155">
        <f t="shared" si="9"/>
        <v>0.25</v>
      </c>
      <c r="BQ46" s="156">
        <f t="shared" si="10"/>
        <v>0.88440000000000007</v>
      </c>
      <c r="BS46" s="150">
        <v>250</v>
      </c>
      <c r="BT46" s="151" t="s">
        <v>162</v>
      </c>
      <c r="BU46" s="152">
        <v>361.2</v>
      </c>
      <c r="BV46" s="152">
        <v>44.77</v>
      </c>
      <c r="BW46" s="151">
        <v>7405</v>
      </c>
      <c r="BX46" s="151" t="s">
        <v>1718</v>
      </c>
      <c r="BY46" s="151">
        <v>871</v>
      </c>
      <c r="BZ46" s="151" t="s">
        <v>1718</v>
      </c>
      <c r="CA46" s="151">
        <v>918</v>
      </c>
      <c r="CB46" s="151" t="s">
        <v>1718</v>
      </c>
      <c r="CD46" s="155">
        <f t="shared" si="11"/>
        <v>0.25</v>
      </c>
      <c r="CE46" s="156">
        <f t="shared" si="12"/>
        <v>0.74050000000000005</v>
      </c>
      <c r="CG46" s="150">
        <v>250</v>
      </c>
      <c r="CH46" s="151" t="s">
        <v>162</v>
      </c>
      <c r="CI46" s="152">
        <v>307.8</v>
      </c>
      <c r="CJ46" s="152">
        <v>59.49</v>
      </c>
      <c r="CK46" s="151">
        <v>7328</v>
      </c>
      <c r="CL46" s="151" t="s">
        <v>1718</v>
      </c>
      <c r="CM46" s="151">
        <v>904</v>
      </c>
      <c r="CN46" s="151" t="s">
        <v>1718</v>
      </c>
      <c r="CO46" s="151">
        <v>922</v>
      </c>
      <c r="CP46" s="151" t="s">
        <v>1718</v>
      </c>
      <c r="CR46" s="155">
        <f t="shared" si="20"/>
        <v>0.25</v>
      </c>
      <c r="CS46" s="156">
        <f t="shared" si="13"/>
        <v>0.73280000000000001</v>
      </c>
      <c r="CU46" s="151">
        <v>250</v>
      </c>
      <c r="CV46" s="152" t="s">
        <v>162</v>
      </c>
      <c r="CW46" s="152">
        <v>424.6</v>
      </c>
      <c r="CX46" s="152">
        <v>229.2</v>
      </c>
      <c r="CY46" s="151">
        <v>3835</v>
      </c>
      <c r="CZ46" s="151" t="s">
        <v>1718</v>
      </c>
      <c r="DA46" s="151">
        <v>521</v>
      </c>
      <c r="DB46" s="151" t="s">
        <v>1718</v>
      </c>
      <c r="DC46" s="151">
        <v>476</v>
      </c>
      <c r="DD46" t="s">
        <v>1718</v>
      </c>
      <c r="DF46" s="155">
        <f t="shared" si="14"/>
        <v>0.25</v>
      </c>
      <c r="DG46" s="156">
        <f t="shared" si="17"/>
        <v>0.38350000000000001</v>
      </c>
      <c r="DI46" s="151">
        <v>250</v>
      </c>
      <c r="DJ46" s="152" t="s">
        <v>162</v>
      </c>
      <c r="DK46" s="152">
        <v>427</v>
      </c>
      <c r="DL46" s="152">
        <v>221.8</v>
      </c>
      <c r="DM46" s="151">
        <v>3853</v>
      </c>
      <c r="DN46" s="151" t="s">
        <v>1718</v>
      </c>
      <c r="DO46" s="151">
        <v>495</v>
      </c>
      <c r="DP46" s="151" t="s">
        <v>1718</v>
      </c>
      <c r="DQ46" s="151">
        <v>457</v>
      </c>
      <c r="DR46" t="s">
        <v>1718</v>
      </c>
      <c r="DT46" s="155">
        <f t="shared" si="15"/>
        <v>0.25</v>
      </c>
      <c r="DU46" s="156">
        <f t="shared" si="18"/>
        <v>0.38530000000000003</v>
      </c>
      <c r="DW46" s="401">
        <v>250</v>
      </c>
      <c r="DX46" s="401" t="s">
        <v>162</v>
      </c>
      <c r="DY46" s="402">
        <v>258.5</v>
      </c>
      <c r="DZ46" s="402">
        <v>5.29</v>
      </c>
      <c r="EA46" s="401">
        <v>1.29</v>
      </c>
      <c r="EB46" s="401" t="s">
        <v>1675</v>
      </c>
      <c r="EC46" s="401">
        <v>1160</v>
      </c>
      <c r="ED46" s="401" t="s">
        <v>1718</v>
      </c>
      <c r="EE46" s="401">
        <v>1447</v>
      </c>
      <c r="EF46" s="403" t="s">
        <v>1718</v>
      </c>
      <c r="EH46" s="155">
        <f t="shared" si="16"/>
        <v>0.25</v>
      </c>
      <c r="EI46" s="156">
        <f t="shared" si="19"/>
        <v>1.29</v>
      </c>
    </row>
    <row r="47" spans="1:139" x14ac:dyDescent="0.2">
      <c r="A47" s="150">
        <v>275</v>
      </c>
      <c r="B47" s="151" t="s">
        <v>162</v>
      </c>
      <c r="C47" s="152">
        <v>309.2</v>
      </c>
      <c r="D47" s="152">
        <v>65.16</v>
      </c>
      <c r="E47" s="151">
        <v>8013</v>
      </c>
      <c r="F47" s="151" t="s">
        <v>1718</v>
      </c>
      <c r="G47" s="151">
        <v>1025</v>
      </c>
      <c r="H47" s="151" t="s">
        <v>1718</v>
      </c>
      <c r="I47" s="151">
        <v>1040</v>
      </c>
      <c r="J47" s="151" t="s">
        <v>1718</v>
      </c>
      <c r="L47" s="155">
        <f t="shared" si="1"/>
        <v>0.27500000000000002</v>
      </c>
      <c r="M47" s="156">
        <f t="shared" si="2"/>
        <v>0.80130000000000001</v>
      </c>
      <c r="N47" s="275"/>
      <c r="O47" s="150">
        <v>275</v>
      </c>
      <c r="P47" s="151" t="s">
        <v>162</v>
      </c>
      <c r="Q47" s="152">
        <v>348.8</v>
      </c>
      <c r="R47" s="152">
        <v>49.86</v>
      </c>
      <c r="S47" s="151">
        <v>7819</v>
      </c>
      <c r="T47" s="151" t="s">
        <v>1718</v>
      </c>
      <c r="U47" s="151">
        <v>942</v>
      </c>
      <c r="V47" s="151" t="s">
        <v>1718</v>
      </c>
      <c r="W47" s="151">
        <v>985</v>
      </c>
      <c r="X47" s="151" t="s">
        <v>1718</v>
      </c>
      <c r="Z47" s="155">
        <f t="shared" si="3"/>
        <v>0.27500000000000002</v>
      </c>
      <c r="AA47" s="156">
        <f t="shared" si="4"/>
        <v>0.78190000000000004</v>
      </c>
      <c r="AB47" s="275"/>
      <c r="AC47" s="150">
        <v>275</v>
      </c>
      <c r="AD47" s="151" t="s">
        <v>162</v>
      </c>
      <c r="AE47" s="152">
        <v>225.6</v>
      </c>
      <c r="AF47" s="152">
        <v>0.85680000000000001</v>
      </c>
      <c r="AG47" s="151">
        <v>1.88</v>
      </c>
      <c r="AH47" s="151" t="s">
        <v>1675</v>
      </c>
      <c r="AI47" s="151">
        <v>1198</v>
      </c>
      <c r="AJ47" s="151" t="s">
        <v>1718</v>
      </c>
      <c r="AK47" s="151">
        <v>1600</v>
      </c>
      <c r="AL47" s="151" t="s">
        <v>1718</v>
      </c>
      <c r="AN47" s="155">
        <f t="shared" si="5"/>
        <v>0.27500000000000002</v>
      </c>
      <c r="AO47" s="156">
        <f t="shared" si="6"/>
        <v>1.88</v>
      </c>
      <c r="AP47" s="275"/>
      <c r="AQ47" s="150">
        <v>275</v>
      </c>
      <c r="AR47" s="151" t="s">
        <v>162</v>
      </c>
      <c r="AS47" s="152">
        <v>62.93</v>
      </c>
      <c r="AT47" s="152">
        <v>6.6040000000000001E-2</v>
      </c>
      <c r="AU47" s="151">
        <v>3.34</v>
      </c>
      <c r="AV47" s="151" t="s">
        <v>1675</v>
      </c>
      <c r="AW47" s="151">
        <v>1402</v>
      </c>
      <c r="AX47" s="151" t="s">
        <v>1718</v>
      </c>
      <c r="AY47" s="151">
        <v>1552</v>
      </c>
      <c r="AZ47" s="151" t="s">
        <v>1718</v>
      </c>
      <c r="BB47" s="155">
        <f t="shared" si="7"/>
        <v>0.27500000000000002</v>
      </c>
      <c r="BC47" s="156">
        <f t="shared" si="8"/>
        <v>3.34</v>
      </c>
      <c r="BE47" s="150">
        <v>275</v>
      </c>
      <c r="BF47" s="151" t="s">
        <v>162</v>
      </c>
      <c r="BG47" s="152">
        <v>344.8</v>
      </c>
      <c r="BH47" s="152">
        <v>15.45</v>
      </c>
      <c r="BI47" s="151">
        <v>9538</v>
      </c>
      <c r="BJ47" s="151" t="s">
        <v>1718</v>
      </c>
      <c r="BK47" s="151">
        <v>883</v>
      </c>
      <c r="BL47" s="151" t="s">
        <v>1718</v>
      </c>
      <c r="BM47" s="151">
        <v>1025</v>
      </c>
      <c r="BN47" s="151" t="s">
        <v>1718</v>
      </c>
      <c r="BP47" s="155">
        <f t="shared" si="9"/>
        <v>0.27500000000000002</v>
      </c>
      <c r="BQ47" s="156">
        <f t="shared" si="10"/>
        <v>0.95380000000000009</v>
      </c>
      <c r="BS47" s="150">
        <v>275</v>
      </c>
      <c r="BT47" s="151" t="s">
        <v>162</v>
      </c>
      <c r="BU47" s="152">
        <v>379.5</v>
      </c>
      <c r="BV47" s="152">
        <v>41.99</v>
      </c>
      <c r="BW47" s="151">
        <v>7993</v>
      </c>
      <c r="BX47" s="151" t="s">
        <v>1718</v>
      </c>
      <c r="BY47" s="151">
        <v>904</v>
      </c>
      <c r="BZ47" s="151" t="s">
        <v>1718</v>
      </c>
      <c r="CA47" s="151">
        <v>968</v>
      </c>
      <c r="CB47" s="151" t="s">
        <v>1718</v>
      </c>
      <c r="CD47" s="155">
        <f t="shared" si="11"/>
        <v>0.27500000000000002</v>
      </c>
      <c r="CE47" s="156">
        <f t="shared" si="12"/>
        <v>0.79930000000000001</v>
      </c>
      <c r="CG47" s="150">
        <v>275</v>
      </c>
      <c r="CH47" s="151" t="s">
        <v>162</v>
      </c>
      <c r="CI47" s="152">
        <v>322.5</v>
      </c>
      <c r="CJ47" s="152">
        <v>55.91</v>
      </c>
      <c r="CK47" s="151">
        <v>7979</v>
      </c>
      <c r="CL47" s="151" t="s">
        <v>1718</v>
      </c>
      <c r="CM47" s="151">
        <v>948</v>
      </c>
      <c r="CN47" s="151" t="s">
        <v>1718</v>
      </c>
      <c r="CO47" s="151">
        <v>982</v>
      </c>
      <c r="CP47" s="151" t="s">
        <v>1718</v>
      </c>
      <c r="CR47" s="155">
        <f t="shared" si="20"/>
        <v>0.27500000000000002</v>
      </c>
      <c r="CS47" s="156">
        <f t="shared" si="13"/>
        <v>0.79790000000000005</v>
      </c>
      <c r="CU47" s="151">
        <v>275</v>
      </c>
      <c r="CV47" s="152" t="s">
        <v>162</v>
      </c>
      <c r="CW47" s="152">
        <v>440.9</v>
      </c>
      <c r="CX47" s="152">
        <v>218.4</v>
      </c>
      <c r="CY47" s="151">
        <v>4203</v>
      </c>
      <c r="CZ47" s="151" t="s">
        <v>1718</v>
      </c>
      <c r="DA47" s="151">
        <v>554</v>
      </c>
      <c r="DB47" s="151" t="s">
        <v>1718</v>
      </c>
      <c r="DC47" s="151">
        <v>512</v>
      </c>
      <c r="DD47" t="s">
        <v>1718</v>
      </c>
      <c r="DF47" s="155">
        <f t="shared" si="14"/>
        <v>0.27500000000000002</v>
      </c>
      <c r="DG47" s="156">
        <f t="shared" si="17"/>
        <v>0.42030000000000001</v>
      </c>
      <c r="DI47" s="151">
        <v>275</v>
      </c>
      <c r="DJ47" s="152" t="s">
        <v>162</v>
      </c>
      <c r="DK47" s="152">
        <v>440.7</v>
      </c>
      <c r="DL47" s="152">
        <v>211.5</v>
      </c>
      <c r="DM47" s="151">
        <v>4225</v>
      </c>
      <c r="DN47" s="151" t="s">
        <v>1718</v>
      </c>
      <c r="DO47" s="151">
        <v>528</v>
      </c>
      <c r="DP47" s="151" t="s">
        <v>1718</v>
      </c>
      <c r="DQ47" s="151">
        <v>492</v>
      </c>
      <c r="DR47" t="s">
        <v>1718</v>
      </c>
      <c r="DT47" s="155">
        <f t="shared" si="15"/>
        <v>0.27500000000000002</v>
      </c>
      <c r="DU47" s="156">
        <f t="shared" si="18"/>
        <v>0.42250000000000004</v>
      </c>
      <c r="DW47" s="401">
        <v>275</v>
      </c>
      <c r="DX47" s="401" t="s">
        <v>162</v>
      </c>
      <c r="DY47" s="402">
        <v>269.3</v>
      </c>
      <c r="DZ47" s="402">
        <v>4.9130000000000003</v>
      </c>
      <c r="EA47" s="401">
        <v>1.38</v>
      </c>
      <c r="EB47" s="401" t="s">
        <v>1675</v>
      </c>
      <c r="EC47" s="401">
        <v>1189</v>
      </c>
      <c r="ED47" s="401" t="s">
        <v>1718</v>
      </c>
      <c r="EE47" s="401">
        <v>1495</v>
      </c>
      <c r="EF47" s="403" t="s">
        <v>1718</v>
      </c>
      <c r="EH47" s="155">
        <f t="shared" si="16"/>
        <v>0.27500000000000002</v>
      </c>
      <c r="EI47" s="156">
        <f t="shared" si="19"/>
        <v>1.38</v>
      </c>
    </row>
    <row r="48" spans="1:139" x14ac:dyDescent="0.2">
      <c r="A48" s="150">
        <v>300</v>
      </c>
      <c r="B48" s="151" t="s">
        <v>162</v>
      </c>
      <c r="C48" s="152">
        <v>323.7</v>
      </c>
      <c r="D48" s="152">
        <v>61.58</v>
      </c>
      <c r="E48" s="151">
        <v>8651</v>
      </c>
      <c r="F48" s="151" t="s">
        <v>1718</v>
      </c>
      <c r="G48" s="151">
        <v>1070</v>
      </c>
      <c r="H48" s="151" t="s">
        <v>1718</v>
      </c>
      <c r="I48" s="151">
        <v>1102</v>
      </c>
      <c r="J48" s="151" t="s">
        <v>1718</v>
      </c>
      <c r="L48" s="155">
        <f t="shared" si="1"/>
        <v>0.3</v>
      </c>
      <c r="M48" s="156">
        <f t="shared" si="2"/>
        <v>0.86510000000000009</v>
      </c>
      <c r="N48" s="275"/>
      <c r="O48" s="150">
        <v>300</v>
      </c>
      <c r="P48" s="151" t="s">
        <v>162</v>
      </c>
      <c r="Q48" s="152">
        <v>365.4</v>
      </c>
      <c r="R48" s="152">
        <v>47.03</v>
      </c>
      <c r="S48" s="151">
        <v>8418</v>
      </c>
      <c r="T48" s="151" t="s">
        <v>1718</v>
      </c>
      <c r="U48" s="151">
        <v>979</v>
      </c>
      <c r="V48" s="151" t="s">
        <v>1718</v>
      </c>
      <c r="W48" s="151">
        <v>1038</v>
      </c>
      <c r="X48" s="151" t="s">
        <v>1718</v>
      </c>
      <c r="Z48" s="155">
        <f t="shared" si="3"/>
        <v>0.3</v>
      </c>
      <c r="AA48" s="156">
        <f t="shared" si="4"/>
        <v>0.84179999999999999</v>
      </c>
      <c r="AB48" s="275"/>
      <c r="AC48" s="150">
        <v>300</v>
      </c>
      <c r="AD48" s="151" t="s">
        <v>162</v>
      </c>
      <c r="AE48" s="152">
        <v>231.9</v>
      </c>
      <c r="AF48" s="152">
        <v>0.79759999999999998</v>
      </c>
      <c r="AG48" s="151">
        <v>1.99</v>
      </c>
      <c r="AH48" s="151" t="s">
        <v>1675</v>
      </c>
      <c r="AI48" s="151">
        <v>1218</v>
      </c>
      <c r="AJ48" s="151" t="s">
        <v>1718</v>
      </c>
      <c r="AK48" s="151">
        <v>1629</v>
      </c>
      <c r="AL48" s="151" t="s">
        <v>1718</v>
      </c>
      <c r="AN48" s="155">
        <f t="shared" si="5"/>
        <v>0.3</v>
      </c>
      <c r="AO48" s="156">
        <f t="shared" si="6"/>
        <v>1.99</v>
      </c>
      <c r="AP48" s="275"/>
      <c r="AQ48" s="150">
        <v>300</v>
      </c>
      <c r="AR48" s="151" t="s">
        <v>162</v>
      </c>
      <c r="AS48" s="152">
        <v>59.61</v>
      </c>
      <c r="AT48" s="152">
        <v>6.1310000000000003E-2</v>
      </c>
      <c r="AU48" s="151">
        <v>3.75</v>
      </c>
      <c r="AV48" s="151" t="s">
        <v>1675</v>
      </c>
      <c r="AW48" s="151">
        <v>1540</v>
      </c>
      <c r="AX48" s="151" t="s">
        <v>1718</v>
      </c>
      <c r="AY48" s="151">
        <v>1662</v>
      </c>
      <c r="AZ48" s="151" t="s">
        <v>1718</v>
      </c>
      <c r="BB48" s="155">
        <f t="shared" si="7"/>
        <v>0.3</v>
      </c>
      <c r="BC48" s="156">
        <f t="shared" si="8"/>
        <v>3.75</v>
      </c>
      <c r="BE48" s="150">
        <v>300</v>
      </c>
      <c r="BF48" s="151" t="s">
        <v>162</v>
      </c>
      <c r="BG48" s="152">
        <v>357.6</v>
      </c>
      <c r="BH48" s="152">
        <v>14.49</v>
      </c>
      <c r="BI48" s="151">
        <v>1.02</v>
      </c>
      <c r="BJ48" s="151" t="s">
        <v>1675</v>
      </c>
      <c r="BK48" s="151">
        <v>909</v>
      </c>
      <c r="BL48" s="151" t="s">
        <v>1718</v>
      </c>
      <c r="BM48" s="151">
        <v>1066</v>
      </c>
      <c r="BN48" s="151" t="s">
        <v>1718</v>
      </c>
      <c r="BP48" s="155">
        <f t="shared" si="9"/>
        <v>0.3</v>
      </c>
      <c r="BQ48" s="156">
        <f t="shared" si="10"/>
        <v>1.02</v>
      </c>
      <c r="BS48" s="150">
        <v>300</v>
      </c>
      <c r="BT48" s="151" t="s">
        <v>162</v>
      </c>
      <c r="BU48" s="152">
        <v>396.3</v>
      </c>
      <c r="BV48" s="152">
        <v>39.57</v>
      </c>
      <c r="BW48" s="151">
        <v>8562</v>
      </c>
      <c r="BX48" s="151" t="s">
        <v>1718</v>
      </c>
      <c r="BY48" s="151">
        <v>934</v>
      </c>
      <c r="BZ48" s="151" t="s">
        <v>1718</v>
      </c>
      <c r="CA48" s="151">
        <v>1014</v>
      </c>
      <c r="CB48" s="151" t="s">
        <v>1718</v>
      </c>
      <c r="CD48" s="155">
        <f t="shared" si="11"/>
        <v>0.3</v>
      </c>
      <c r="CE48" s="156">
        <f t="shared" si="12"/>
        <v>0.85620000000000007</v>
      </c>
      <c r="CG48" s="150">
        <v>300</v>
      </c>
      <c r="CH48" s="151" t="s">
        <v>162</v>
      </c>
      <c r="CI48" s="152">
        <v>337</v>
      </c>
      <c r="CJ48" s="152">
        <v>52.79</v>
      </c>
      <c r="CK48" s="151">
        <v>8612</v>
      </c>
      <c r="CL48" s="151" t="s">
        <v>1718</v>
      </c>
      <c r="CM48" s="151">
        <v>988</v>
      </c>
      <c r="CN48" s="151" t="s">
        <v>1718</v>
      </c>
      <c r="CO48" s="151">
        <v>1037</v>
      </c>
      <c r="CP48" s="151" t="s">
        <v>1718</v>
      </c>
      <c r="CR48" s="155">
        <f t="shared" si="20"/>
        <v>0.3</v>
      </c>
      <c r="CS48" s="156">
        <f t="shared" si="13"/>
        <v>0.86120000000000008</v>
      </c>
      <c r="CU48" s="151">
        <v>300</v>
      </c>
      <c r="CV48" s="152" t="s">
        <v>162</v>
      </c>
      <c r="CW48" s="152">
        <v>456.5</v>
      </c>
      <c r="CX48" s="152">
        <v>208.9</v>
      </c>
      <c r="CY48" s="151">
        <v>4568</v>
      </c>
      <c r="CZ48" s="151" t="s">
        <v>1718</v>
      </c>
      <c r="DA48" s="151">
        <v>586</v>
      </c>
      <c r="DB48" s="151" t="s">
        <v>1718</v>
      </c>
      <c r="DC48" s="151">
        <v>548</v>
      </c>
      <c r="DD48" t="s">
        <v>1718</v>
      </c>
      <c r="DF48" s="155">
        <f t="shared" si="14"/>
        <v>0.3</v>
      </c>
      <c r="DG48" s="156">
        <f t="shared" si="17"/>
        <v>0.45680000000000004</v>
      </c>
      <c r="DI48" s="151">
        <v>300</v>
      </c>
      <c r="DJ48" s="152" t="s">
        <v>162</v>
      </c>
      <c r="DK48" s="152">
        <v>453.8</v>
      </c>
      <c r="DL48" s="152">
        <v>202.2</v>
      </c>
      <c r="DM48" s="151">
        <v>4596</v>
      </c>
      <c r="DN48" s="151" t="s">
        <v>1718</v>
      </c>
      <c r="DO48" s="151">
        <v>558</v>
      </c>
      <c r="DP48" s="151" t="s">
        <v>1718</v>
      </c>
      <c r="DQ48" s="151">
        <v>526</v>
      </c>
      <c r="DR48" t="s">
        <v>1718</v>
      </c>
      <c r="DT48" s="155">
        <f t="shared" si="15"/>
        <v>0.3</v>
      </c>
      <c r="DU48" s="156">
        <f t="shared" si="18"/>
        <v>0.45960000000000001</v>
      </c>
      <c r="DW48" s="401">
        <v>300</v>
      </c>
      <c r="DX48" s="401" t="s">
        <v>162</v>
      </c>
      <c r="DY48" s="402">
        <v>279.8</v>
      </c>
      <c r="DZ48" s="402">
        <v>4.59</v>
      </c>
      <c r="EA48" s="401">
        <v>1.47</v>
      </c>
      <c r="EB48" s="401" t="s">
        <v>1675</v>
      </c>
      <c r="EC48" s="401">
        <v>1214</v>
      </c>
      <c r="ED48" s="401" t="s">
        <v>1718</v>
      </c>
      <c r="EE48" s="401">
        <v>1538</v>
      </c>
      <c r="EF48" s="403" t="s">
        <v>1718</v>
      </c>
      <c r="EH48" s="155">
        <f t="shared" si="16"/>
        <v>0.3</v>
      </c>
      <c r="EI48" s="156">
        <f t="shared" si="19"/>
        <v>1.47</v>
      </c>
    </row>
    <row r="49" spans="1:139" x14ac:dyDescent="0.2">
      <c r="A49" s="150">
        <v>325</v>
      </c>
      <c r="B49" s="151" t="s">
        <v>162</v>
      </c>
      <c r="C49" s="152">
        <v>337.6</v>
      </c>
      <c r="D49" s="152">
        <v>58.42</v>
      </c>
      <c r="E49" s="151">
        <v>9271</v>
      </c>
      <c r="F49" s="151" t="s">
        <v>1718</v>
      </c>
      <c r="G49" s="151">
        <v>1110</v>
      </c>
      <c r="H49" s="151" t="s">
        <v>1718</v>
      </c>
      <c r="I49" s="151">
        <v>1160</v>
      </c>
      <c r="J49" s="151" t="s">
        <v>1718</v>
      </c>
      <c r="L49" s="155">
        <f t="shared" si="1"/>
        <v>0.32500000000000001</v>
      </c>
      <c r="M49" s="156">
        <f t="shared" si="2"/>
        <v>0.92710000000000004</v>
      </c>
      <c r="N49" s="275"/>
      <c r="O49" s="150">
        <v>325</v>
      </c>
      <c r="P49" s="151" t="s">
        <v>162</v>
      </c>
      <c r="Q49" s="152">
        <v>381.6</v>
      </c>
      <c r="R49" s="152">
        <v>44.55</v>
      </c>
      <c r="S49" s="151">
        <v>8999</v>
      </c>
      <c r="T49" s="151" t="s">
        <v>1718</v>
      </c>
      <c r="U49" s="151">
        <v>1012</v>
      </c>
      <c r="V49" s="151" t="s">
        <v>1718</v>
      </c>
      <c r="W49" s="151">
        <v>1088</v>
      </c>
      <c r="X49" s="151" t="s">
        <v>1718</v>
      </c>
      <c r="Z49" s="155">
        <f t="shared" si="3"/>
        <v>0.32500000000000001</v>
      </c>
      <c r="AA49" s="156">
        <f t="shared" si="4"/>
        <v>0.89990000000000003</v>
      </c>
      <c r="AB49" s="275"/>
      <c r="AC49" s="150">
        <v>325</v>
      </c>
      <c r="AD49" s="151" t="s">
        <v>162</v>
      </c>
      <c r="AE49" s="152">
        <v>237.3</v>
      </c>
      <c r="AF49" s="152">
        <v>0.74670000000000003</v>
      </c>
      <c r="AG49" s="151">
        <v>2.09</v>
      </c>
      <c r="AH49" s="151" t="s">
        <v>1675</v>
      </c>
      <c r="AI49" s="151">
        <v>1235</v>
      </c>
      <c r="AJ49" s="151" t="s">
        <v>1718</v>
      </c>
      <c r="AK49" s="151">
        <v>1656</v>
      </c>
      <c r="AL49" s="151" t="s">
        <v>1718</v>
      </c>
      <c r="AN49" s="155">
        <f t="shared" si="5"/>
        <v>0.32500000000000001</v>
      </c>
      <c r="AO49" s="156">
        <f t="shared" si="6"/>
        <v>2.09</v>
      </c>
      <c r="AP49" s="275"/>
      <c r="AQ49" s="150">
        <v>325</v>
      </c>
      <c r="AR49" s="151" t="s">
        <v>162</v>
      </c>
      <c r="AS49" s="152">
        <v>56.67</v>
      </c>
      <c r="AT49" s="152">
        <v>5.7239999999999999E-2</v>
      </c>
      <c r="AU49" s="151">
        <v>4.18</v>
      </c>
      <c r="AV49" s="151" t="s">
        <v>1675</v>
      </c>
      <c r="AW49" s="151">
        <v>1681</v>
      </c>
      <c r="AX49" s="151" t="s">
        <v>1718</v>
      </c>
      <c r="AY49" s="151">
        <v>1777</v>
      </c>
      <c r="AZ49" s="151" t="s">
        <v>1718</v>
      </c>
      <c r="BB49" s="155">
        <f t="shared" si="7"/>
        <v>0.32500000000000001</v>
      </c>
      <c r="BC49" s="156">
        <f t="shared" si="8"/>
        <v>4.18</v>
      </c>
      <c r="BE49" s="150">
        <v>325</v>
      </c>
      <c r="BF49" s="151" t="s">
        <v>162</v>
      </c>
      <c r="BG49" s="152">
        <v>370</v>
      </c>
      <c r="BH49" s="152">
        <v>13.66</v>
      </c>
      <c r="BI49" s="151">
        <v>1.0900000000000001</v>
      </c>
      <c r="BJ49" s="151" t="s">
        <v>1675</v>
      </c>
      <c r="BK49" s="151">
        <v>933</v>
      </c>
      <c r="BL49" s="151" t="s">
        <v>1718</v>
      </c>
      <c r="BM49" s="151">
        <v>1104</v>
      </c>
      <c r="BN49" s="151" t="s">
        <v>1718</v>
      </c>
      <c r="BP49" s="155">
        <f t="shared" si="9"/>
        <v>0.32500000000000001</v>
      </c>
      <c r="BQ49" s="156">
        <f t="shared" si="10"/>
        <v>1.0900000000000001</v>
      </c>
      <c r="BS49" s="150">
        <v>325</v>
      </c>
      <c r="BT49" s="151" t="s">
        <v>162</v>
      </c>
      <c r="BU49" s="152">
        <v>411.9</v>
      </c>
      <c r="BV49" s="152">
        <v>37.450000000000003</v>
      </c>
      <c r="BW49" s="151">
        <v>9114</v>
      </c>
      <c r="BX49" s="151" t="s">
        <v>1718</v>
      </c>
      <c r="BY49" s="151">
        <v>962</v>
      </c>
      <c r="BZ49" s="151" t="s">
        <v>1718</v>
      </c>
      <c r="CA49" s="151">
        <v>1057</v>
      </c>
      <c r="CB49" s="151" t="s">
        <v>1718</v>
      </c>
      <c r="CD49" s="155">
        <f t="shared" si="11"/>
        <v>0.32500000000000001</v>
      </c>
      <c r="CE49" s="156">
        <f t="shared" si="12"/>
        <v>0.9114000000000001</v>
      </c>
      <c r="CG49" s="150">
        <v>325</v>
      </c>
      <c r="CH49" s="151" t="s">
        <v>162</v>
      </c>
      <c r="CI49" s="152">
        <v>351.3</v>
      </c>
      <c r="CJ49" s="152">
        <v>50.04</v>
      </c>
      <c r="CK49" s="151">
        <v>9228</v>
      </c>
      <c r="CL49" s="151" t="s">
        <v>1718</v>
      </c>
      <c r="CM49" s="151">
        <v>1024</v>
      </c>
      <c r="CN49" s="151" t="s">
        <v>1718</v>
      </c>
      <c r="CO49" s="151">
        <v>1090</v>
      </c>
      <c r="CP49" s="151" t="s">
        <v>1718</v>
      </c>
      <c r="CR49" s="155">
        <f t="shared" si="20"/>
        <v>0.32500000000000001</v>
      </c>
      <c r="CS49" s="156">
        <f t="shared" si="13"/>
        <v>0.92280000000000006</v>
      </c>
      <c r="CU49" s="151">
        <v>325</v>
      </c>
      <c r="CV49" s="152" t="s">
        <v>162</v>
      </c>
      <c r="CW49" s="152">
        <v>471.3</v>
      </c>
      <c r="CX49" s="152">
        <v>200.2</v>
      </c>
      <c r="CY49" s="151">
        <v>4930</v>
      </c>
      <c r="CZ49" s="151" t="s">
        <v>1718</v>
      </c>
      <c r="DA49" s="151">
        <v>616</v>
      </c>
      <c r="DB49" s="151" t="s">
        <v>1718</v>
      </c>
      <c r="DC49" s="151">
        <v>582</v>
      </c>
      <c r="DD49" t="s">
        <v>1718</v>
      </c>
      <c r="DF49" s="155">
        <f t="shared" si="14"/>
        <v>0.32500000000000001</v>
      </c>
      <c r="DG49" s="156">
        <f t="shared" si="17"/>
        <v>0.49300000000000005</v>
      </c>
      <c r="DI49" s="151">
        <v>325</v>
      </c>
      <c r="DJ49" s="152" t="s">
        <v>162</v>
      </c>
      <c r="DK49" s="152">
        <v>466.5</v>
      </c>
      <c r="DL49" s="152">
        <v>193.8</v>
      </c>
      <c r="DM49" s="151">
        <v>4965</v>
      </c>
      <c r="DN49" s="151" t="s">
        <v>1718</v>
      </c>
      <c r="DO49" s="151">
        <v>587</v>
      </c>
      <c r="DP49" s="151" t="s">
        <v>1718</v>
      </c>
      <c r="DQ49" s="151">
        <v>559</v>
      </c>
      <c r="DR49" t="s">
        <v>1718</v>
      </c>
      <c r="DT49" s="155">
        <f t="shared" si="15"/>
        <v>0.32500000000000001</v>
      </c>
      <c r="DU49" s="156">
        <f t="shared" si="18"/>
        <v>0.4965</v>
      </c>
      <c r="DW49" s="401">
        <v>325</v>
      </c>
      <c r="DX49" s="401" t="s">
        <v>162</v>
      </c>
      <c r="DY49" s="402">
        <v>290</v>
      </c>
      <c r="DZ49" s="402">
        <v>4.3109999999999999</v>
      </c>
      <c r="EA49" s="401">
        <v>1.56</v>
      </c>
      <c r="EB49" s="401" t="s">
        <v>1675</v>
      </c>
      <c r="EC49" s="401">
        <v>1237</v>
      </c>
      <c r="ED49" s="401" t="s">
        <v>1718</v>
      </c>
      <c r="EE49" s="401">
        <v>1579</v>
      </c>
      <c r="EF49" s="403" t="s">
        <v>1718</v>
      </c>
      <c r="EH49" s="155">
        <f t="shared" si="16"/>
        <v>0.32500000000000001</v>
      </c>
      <c r="EI49" s="156">
        <f t="shared" si="19"/>
        <v>1.56</v>
      </c>
    </row>
    <row r="50" spans="1:139" x14ac:dyDescent="0.2">
      <c r="A50" s="150">
        <v>350</v>
      </c>
      <c r="B50" s="151" t="s">
        <v>162</v>
      </c>
      <c r="C50" s="152">
        <v>351.2</v>
      </c>
      <c r="D50" s="152">
        <v>55.61</v>
      </c>
      <c r="E50" s="151">
        <v>9876</v>
      </c>
      <c r="F50" s="151" t="s">
        <v>1718</v>
      </c>
      <c r="G50" s="151">
        <v>1148</v>
      </c>
      <c r="H50" s="151" t="s">
        <v>1718</v>
      </c>
      <c r="I50" s="151">
        <v>1215</v>
      </c>
      <c r="J50" s="151" t="s">
        <v>1718</v>
      </c>
      <c r="L50" s="155">
        <f t="shared" si="1"/>
        <v>0.35000000000000003</v>
      </c>
      <c r="M50" s="156">
        <f t="shared" si="2"/>
        <v>0.98760000000000003</v>
      </c>
      <c r="N50" s="275"/>
      <c r="O50" s="150">
        <v>350</v>
      </c>
      <c r="P50" s="151" t="s">
        <v>162</v>
      </c>
      <c r="Q50" s="152">
        <v>397.6</v>
      </c>
      <c r="R50" s="152">
        <v>42.34</v>
      </c>
      <c r="S50" s="151">
        <v>9562</v>
      </c>
      <c r="T50" s="151" t="s">
        <v>1718</v>
      </c>
      <c r="U50" s="151">
        <v>1042</v>
      </c>
      <c r="V50" s="151" t="s">
        <v>1718</v>
      </c>
      <c r="W50" s="151">
        <v>1134</v>
      </c>
      <c r="X50" s="151" t="s">
        <v>1718</v>
      </c>
      <c r="Z50" s="155">
        <f t="shared" si="3"/>
        <v>0.35000000000000003</v>
      </c>
      <c r="AA50" s="156">
        <f t="shared" si="4"/>
        <v>0.95620000000000005</v>
      </c>
      <c r="AB50" s="275"/>
      <c r="AC50" s="150">
        <v>350</v>
      </c>
      <c r="AD50" s="151" t="s">
        <v>162</v>
      </c>
      <c r="AE50" s="152">
        <v>241.9</v>
      </c>
      <c r="AF50" s="152">
        <v>0.70230000000000004</v>
      </c>
      <c r="AG50" s="151">
        <v>2.2000000000000002</v>
      </c>
      <c r="AH50" s="151" t="s">
        <v>1675</v>
      </c>
      <c r="AI50" s="151">
        <v>1252</v>
      </c>
      <c r="AJ50" s="151" t="s">
        <v>1718</v>
      </c>
      <c r="AK50" s="151">
        <v>1681</v>
      </c>
      <c r="AL50" s="151" t="s">
        <v>1718</v>
      </c>
      <c r="AN50" s="155">
        <f t="shared" si="5"/>
        <v>0.35000000000000003</v>
      </c>
      <c r="AO50" s="156">
        <f t="shared" si="6"/>
        <v>2.2000000000000002</v>
      </c>
      <c r="AP50" s="275"/>
      <c r="AQ50" s="150">
        <v>350</v>
      </c>
      <c r="AR50" s="151" t="s">
        <v>162</v>
      </c>
      <c r="AS50" s="152">
        <v>54.04</v>
      </c>
      <c r="AT50" s="152">
        <v>5.3710000000000001E-2</v>
      </c>
      <c r="AU50" s="151">
        <v>4.63</v>
      </c>
      <c r="AV50" s="151" t="s">
        <v>1675</v>
      </c>
      <c r="AW50" s="151">
        <v>1825</v>
      </c>
      <c r="AX50" s="151" t="s">
        <v>1718</v>
      </c>
      <c r="AY50" s="151">
        <v>1899</v>
      </c>
      <c r="AZ50" s="151" t="s">
        <v>1718</v>
      </c>
      <c r="BB50" s="155">
        <f t="shared" si="7"/>
        <v>0.35000000000000003</v>
      </c>
      <c r="BC50" s="156">
        <f t="shared" si="8"/>
        <v>4.63</v>
      </c>
      <c r="BE50" s="150">
        <v>350</v>
      </c>
      <c r="BF50" s="151" t="s">
        <v>162</v>
      </c>
      <c r="BG50" s="152">
        <v>382.1</v>
      </c>
      <c r="BH50" s="152">
        <v>12.92</v>
      </c>
      <c r="BI50" s="151">
        <v>1.1499999999999999</v>
      </c>
      <c r="BJ50" s="151" t="s">
        <v>1675</v>
      </c>
      <c r="BK50" s="151">
        <v>954</v>
      </c>
      <c r="BL50" s="151" t="s">
        <v>1718</v>
      </c>
      <c r="BM50" s="151">
        <v>1140</v>
      </c>
      <c r="BN50" s="151" t="s">
        <v>1718</v>
      </c>
      <c r="BP50" s="155">
        <f t="shared" si="9"/>
        <v>0.35000000000000003</v>
      </c>
      <c r="BQ50" s="156">
        <f t="shared" si="10"/>
        <v>1.1499999999999999</v>
      </c>
      <c r="BS50" s="150">
        <v>350</v>
      </c>
      <c r="BT50" s="151" t="s">
        <v>162</v>
      </c>
      <c r="BU50" s="152">
        <v>426.5</v>
      </c>
      <c r="BV50" s="152">
        <v>35.56</v>
      </c>
      <c r="BW50" s="151">
        <v>9651</v>
      </c>
      <c r="BX50" s="151" t="s">
        <v>1718</v>
      </c>
      <c r="BY50" s="151">
        <v>986</v>
      </c>
      <c r="BZ50" s="151" t="s">
        <v>1718</v>
      </c>
      <c r="CA50" s="151">
        <v>1096</v>
      </c>
      <c r="CB50" s="151" t="s">
        <v>1718</v>
      </c>
      <c r="CD50" s="155">
        <f t="shared" si="11"/>
        <v>0.35000000000000003</v>
      </c>
      <c r="CE50" s="156">
        <f t="shared" si="12"/>
        <v>0.96510000000000007</v>
      </c>
      <c r="CG50" s="150">
        <v>350</v>
      </c>
      <c r="CH50" s="151" t="s">
        <v>162</v>
      </c>
      <c r="CI50" s="152">
        <v>365.5</v>
      </c>
      <c r="CJ50" s="152">
        <v>47.6</v>
      </c>
      <c r="CK50" s="151">
        <v>9827</v>
      </c>
      <c r="CL50" s="151" t="s">
        <v>1718</v>
      </c>
      <c r="CM50" s="151">
        <v>1058</v>
      </c>
      <c r="CN50" s="151" t="s">
        <v>1718</v>
      </c>
      <c r="CO50" s="151">
        <v>1139</v>
      </c>
      <c r="CP50" s="151" t="s">
        <v>1718</v>
      </c>
      <c r="CR50" s="155">
        <f t="shared" si="20"/>
        <v>0.35000000000000003</v>
      </c>
      <c r="CS50" s="156">
        <f t="shared" si="13"/>
        <v>0.98270000000000002</v>
      </c>
      <c r="CU50" s="151">
        <v>350</v>
      </c>
      <c r="CV50" s="152" t="s">
        <v>162</v>
      </c>
      <c r="CW50" s="152">
        <v>485.4</v>
      </c>
      <c r="CX50" s="152">
        <v>192.4</v>
      </c>
      <c r="CY50" s="151">
        <v>5289</v>
      </c>
      <c r="CZ50" s="151" t="s">
        <v>1718</v>
      </c>
      <c r="DA50" s="151">
        <v>644</v>
      </c>
      <c r="DB50" s="151" t="s">
        <v>1718</v>
      </c>
      <c r="DC50" s="151">
        <v>615</v>
      </c>
      <c r="DD50" t="s">
        <v>1718</v>
      </c>
      <c r="DF50" s="155">
        <f t="shared" si="14"/>
        <v>0.35000000000000003</v>
      </c>
      <c r="DG50" s="156">
        <f t="shared" si="17"/>
        <v>0.52890000000000004</v>
      </c>
      <c r="DI50" s="151">
        <v>350</v>
      </c>
      <c r="DJ50" s="152" t="s">
        <v>162</v>
      </c>
      <c r="DK50" s="152">
        <v>478.9</v>
      </c>
      <c r="DL50" s="152">
        <v>186.3</v>
      </c>
      <c r="DM50" s="151">
        <v>5332</v>
      </c>
      <c r="DN50" s="151" t="s">
        <v>1718</v>
      </c>
      <c r="DO50" s="151">
        <v>615</v>
      </c>
      <c r="DP50" s="151" t="s">
        <v>1718</v>
      </c>
      <c r="DQ50" s="151">
        <v>591</v>
      </c>
      <c r="DR50" t="s">
        <v>1718</v>
      </c>
      <c r="DT50" s="155">
        <f t="shared" si="15"/>
        <v>0.35000000000000003</v>
      </c>
      <c r="DU50" s="156">
        <f t="shared" si="18"/>
        <v>0.53320000000000001</v>
      </c>
      <c r="DW50" s="401">
        <v>350</v>
      </c>
      <c r="DX50" s="401" t="s">
        <v>162</v>
      </c>
      <c r="DY50" s="402">
        <v>300</v>
      </c>
      <c r="DZ50" s="402">
        <v>4.0659999999999998</v>
      </c>
      <c r="EA50" s="401">
        <v>1.64</v>
      </c>
      <c r="EB50" s="401" t="s">
        <v>1675</v>
      </c>
      <c r="EC50" s="401">
        <v>1258</v>
      </c>
      <c r="ED50" s="401" t="s">
        <v>1718</v>
      </c>
      <c r="EE50" s="401">
        <v>1616</v>
      </c>
      <c r="EF50" s="403" t="s">
        <v>1718</v>
      </c>
      <c r="EH50" s="155">
        <f t="shared" si="16"/>
        <v>0.35000000000000003</v>
      </c>
      <c r="EI50" s="156">
        <f t="shared" si="19"/>
        <v>1.64</v>
      </c>
    </row>
    <row r="51" spans="1:139" x14ac:dyDescent="0.2">
      <c r="A51" s="150">
        <v>375</v>
      </c>
      <c r="B51" s="151" t="s">
        <v>162</v>
      </c>
      <c r="C51" s="152">
        <v>364.3</v>
      </c>
      <c r="D51" s="152">
        <v>53.09</v>
      </c>
      <c r="E51" s="151">
        <v>1.05</v>
      </c>
      <c r="F51" s="151" t="s">
        <v>1675</v>
      </c>
      <c r="G51" s="151">
        <v>1182</v>
      </c>
      <c r="H51" s="151" t="s">
        <v>1718</v>
      </c>
      <c r="I51" s="151">
        <v>1266</v>
      </c>
      <c r="J51" s="151" t="s">
        <v>1718</v>
      </c>
      <c r="L51" s="155">
        <f t="shared" si="1"/>
        <v>0.375</v>
      </c>
      <c r="M51" s="156">
        <f t="shared" si="2"/>
        <v>1.05</v>
      </c>
      <c r="N51" s="275"/>
      <c r="O51" s="150">
        <v>375</v>
      </c>
      <c r="P51" s="151" t="s">
        <v>162</v>
      </c>
      <c r="Q51" s="152">
        <v>413.4</v>
      </c>
      <c r="R51" s="152">
        <v>40.369999999999997</v>
      </c>
      <c r="S51" s="151">
        <v>1.01</v>
      </c>
      <c r="T51" s="151" t="s">
        <v>1675</v>
      </c>
      <c r="U51" s="151">
        <v>1070</v>
      </c>
      <c r="V51" s="151" t="s">
        <v>1718</v>
      </c>
      <c r="W51" s="151">
        <v>1177</v>
      </c>
      <c r="X51" s="151" t="s">
        <v>1718</v>
      </c>
      <c r="Z51" s="155">
        <f t="shared" si="3"/>
        <v>0.375</v>
      </c>
      <c r="AA51" s="156">
        <f t="shared" si="4"/>
        <v>1.01</v>
      </c>
      <c r="AB51" s="275"/>
      <c r="AC51" s="150">
        <v>375</v>
      </c>
      <c r="AD51" s="151" t="s">
        <v>162</v>
      </c>
      <c r="AE51" s="152">
        <v>245.8</v>
      </c>
      <c r="AF51" s="152">
        <v>0.6633</v>
      </c>
      <c r="AG51" s="151">
        <v>2.2999999999999998</v>
      </c>
      <c r="AH51" s="151" t="s">
        <v>1675</v>
      </c>
      <c r="AI51" s="151">
        <v>1268</v>
      </c>
      <c r="AJ51" s="151" t="s">
        <v>1718</v>
      </c>
      <c r="AK51" s="151">
        <v>1704</v>
      </c>
      <c r="AL51" s="151" t="s">
        <v>1718</v>
      </c>
      <c r="AN51" s="155">
        <f t="shared" si="5"/>
        <v>0.375</v>
      </c>
      <c r="AO51" s="156">
        <f t="shared" si="6"/>
        <v>2.2999999999999998</v>
      </c>
      <c r="AP51" s="275"/>
      <c r="AQ51" s="150">
        <v>375</v>
      </c>
      <c r="AR51" s="151" t="s">
        <v>162</v>
      </c>
      <c r="AS51" s="152">
        <v>51.69</v>
      </c>
      <c r="AT51" s="152">
        <v>5.0619999999999998E-2</v>
      </c>
      <c r="AU51" s="151">
        <v>5.0999999999999996</v>
      </c>
      <c r="AV51" s="151" t="s">
        <v>1675</v>
      </c>
      <c r="AW51" s="151">
        <v>1971</v>
      </c>
      <c r="AX51" s="151" t="s">
        <v>1718</v>
      </c>
      <c r="AY51" s="151">
        <v>2026</v>
      </c>
      <c r="AZ51" s="151" t="s">
        <v>1718</v>
      </c>
      <c r="BB51" s="155">
        <f t="shared" si="7"/>
        <v>0.375</v>
      </c>
      <c r="BC51" s="156">
        <f t="shared" si="8"/>
        <v>5.0999999999999996</v>
      </c>
      <c r="BE51" s="150">
        <v>375</v>
      </c>
      <c r="BF51" s="151" t="s">
        <v>162</v>
      </c>
      <c r="BG51" s="152">
        <v>393.9</v>
      </c>
      <c r="BH51" s="152">
        <v>12.27</v>
      </c>
      <c r="BI51" s="151">
        <v>1.21</v>
      </c>
      <c r="BJ51" s="151" t="s">
        <v>1675</v>
      </c>
      <c r="BK51" s="151">
        <v>974</v>
      </c>
      <c r="BL51" s="151" t="s">
        <v>1718</v>
      </c>
      <c r="BM51" s="151">
        <v>1173</v>
      </c>
      <c r="BN51" s="151" t="s">
        <v>1718</v>
      </c>
      <c r="BP51" s="155">
        <f t="shared" si="9"/>
        <v>0.375</v>
      </c>
      <c r="BQ51" s="156">
        <f t="shared" si="10"/>
        <v>1.21</v>
      </c>
      <c r="BS51" s="150">
        <v>375</v>
      </c>
      <c r="BT51" s="151" t="s">
        <v>162</v>
      </c>
      <c r="BU51" s="152">
        <v>440.3</v>
      </c>
      <c r="BV51" s="152">
        <v>33.89</v>
      </c>
      <c r="BW51" s="151">
        <v>1.02</v>
      </c>
      <c r="BX51" s="151" t="s">
        <v>1675</v>
      </c>
      <c r="BY51" s="151">
        <v>1009</v>
      </c>
      <c r="BZ51" s="151" t="s">
        <v>1718</v>
      </c>
      <c r="CA51" s="151">
        <v>1134</v>
      </c>
      <c r="CB51" s="151" t="s">
        <v>1718</v>
      </c>
      <c r="CD51" s="155">
        <f t="shared" si="11"/>
        <v>0.375</v>
      </c>
      <c r="CE51" s="156">
        <f t="shared" si="12"/>
        <v>1.02</v>
      </c>
      <c r="CG51" s="150">
        <v>375</v>
      </c>
      <c r="CH51" s="151" t="s">
        <v>162</v>
      </c>
      <c r="CI51" s="152">
        <v>379.4</v>
      </c>
      <c r="CJ51" s="152">
        <v>45.41</v>
      </c>
      <c r="CK51" s="151">
        <v>1.04</v>
      </c>
      <c r="CL51" s="151" t="s">
        <v>1675</v>
      </c>
      <c r="CM51" s="151">
        <v>1088</v>
      </c>
      <c r="CN51" s="151" t="s">
        <v>1718</v>
      </c>
      <c r="CO51" s="151">
        <v>1185</v>
      </c>
      <c r="CP51" s="151" t="s">
        <v>1718</v>
      </c>
      <c r="CR51" s="155">
        <f t="shared" si="20"/>
        <v>0.375</v>
      </c>
      <c r="CS51" s="156">
        <f t="shared" si="13"/>
        <v>1.04</v>
      </c>
      <c r="CU51" s="151">
        <v>375</v>
      </c>
      <c r="CV51" s="152" t="s">
        <v>162</v>
      </c>
      <c r="CW51" s="152">
        <v>498.8</v>
      </c>
      <c r="CX51" s="152">
        <v>185.2</v>
      </c>
      <c r="CY51" s="151">
        <v>5646</v>
      </c>
      <c r="CZ51" s="151" t="s">
        <v>1718</v>
      </c>
      <c r="DA51" s="151">
        <v>671</v>
      </c>
      <c r="DB51" s="151" t="s">
        <v>1718</v>
      </c>
      <c r="DC51" s="151">
        <v>648</v>
      </c>
      <c r="DD51" t="s">
        <v>1718</v>
      </c>
      <c r="DF51" s="155">
        <f t="shared" si="14"/>
        <v>0.375</v>
      </c>
      <c r="DG51" s="156">
        <f t="shared" si="17"/>
        <v>0.56459999999999999</v>
      </c>
      <c r="DI51" s="151">
        <v>375</v>
      </c>
      <c r="DJ51" s="152" t="s">
        <v>162</v>
      </c>
      <c r="DK51" s="152">
        <v>490.8</v>
      </c>
      <c r="DL51" s="152">
        <v>179.3</v>
      </c>
      <c r="DM51" s="151">
        <v>5697</v>
      </c>
      <c r="DN51" s="151" t="s">
        <v>1718</v>
      </c>
      <c r="DO51" s="151">
        <v>642</v>
      </c>
      <c r="DP51" s="151" t="s">
        <v>1718</v>
      </c>
      <c r="DQ51" s="151">
        <v>623</v>
      </c>
      <c r="DR51" t="s">
        <v>1718</v>
      </c>
      <c r="DT51" s="155">
        <f t="shared" si="15"/>
        <v>0.375</v>
      </c>
      <c r="DU51" s="156">
        <f t="shared" si="18"/>
        <v>0.56969999999999998</v>
      </c>
      <c r="DW51" s="401">
        <v>375</v>
      </c>
      <c r="DX51" s="401" t="s">
        <v>162</v>
      </c>
      <c r="DY51" s="402">
        <v>309.89999999999998</v>
      </c>
      <c r="DZ51" s="402">
        <v>3.85</v>
      </c>
      <c r="EA51" s="401">
        <v>1.72</v>
      </c>
      <c r="EB51" s="401" t="s">
        <v>1675</v>
      </c>
      <c r="EC51" s="401">
        <v>1277</v>
      </c>
      <c r="ED51" s="401" t="s">
        <v>1718</v>
      </c>
      <c r="EE51" s="401">
        <v>1650</v>
      </c>
      <c r="EF51" s="403" t="s">
        <v>1718</v>
      </c>
      <c r="EH51" s="155">
        <f t="shared" si="16"/>
        <v>0.375</v>
      </c>
      <c r="EI51" s="156">
        <f t="shared" si="19"/>
        <v>1.72</v>
      </c>
    </row>
    <row r="52" spans="1:139" x14ac:dyDescent="0.2">
      <c r="A52" s="150">
        <v>400</v>
      </c>
      <c r="B52" s="151" t="s">
        <v>162</v>
      </c>
      <c r="C52" s="152">
        <v>377.3</v>
      </c>
      <c r="D52" s="152">
        <v>50.82</v>
      </c>
      <c r="E52" s="151">
        <v>1.1000000000000001</v>
      </c>
      <c r="F52" s="151" t="s">
        <v>1675</v>
      </c>
      <c r="G52" s="151">
        <v>1214</v>
      </c>
      <c r="H52" s="151" t="s">
        <v>1718</v>
      </c>
      <c r="I52" s="151">
        <v>1315</v>
      </c>
      <c r="J52" s="151" t="s">
        <v>1718</v>
      </c>
      <c r="L52" s="155">
        <f t="shared" si="1"/>
        <v>0.4</v>
      </c>
      <c r="M52" s="156">
        <f t="shared" si="2"/>
        <v>1.1000000000000001</v>
      </c>
      <c r="N52" s="275"/>
      <c r="O52" s="150">
        <v>400</v>
      </c>
      <c r="P52" s="151" t="s">
        <v>162</v>
      </c>
      <c r="Q52" s="152">
        <v>428.8</v>
      </c>
      <c r="R52" s="152">
        <v>38.590000000000003</v>
      </c>
      <c r="S52" s="151">
        <v>1.06</v>
      </c>
      <c r="T52" s="151" t="s">
        <v>1675</v>
      </c>
      <c r="U52" s="151">
        <v>1095</v>
      </c>
      <c r="V52" s="151" t="s">
        <v>1718</v>
      </c>
      <c r="W52" s="151">
        <v>1217</v>
      </c>
      <c r="X52" s="151" t="s">
        <v>1718</v>
      </c>
      <c r="Z52" s="155">
        <f t="shared" si="3"/>
        <v>0.4</v>
      </c>
      <c r="AA52" s="156">
        <f t="shared" si="4"/>
        <v>1.06</v>
      </c>
      <c r="AB52" s="275"/>
      <c r="AC52" s="150">
        <v>400</v>
      </c>
      <c r="AD52" s="151" t="s">
        <v>162</v>
      </c>
      <c r="AE52" s="152">
        <v>249</v>
      </c>
      <c r="AF52" s="152">
        <v>0.62860000000000005</v>
      </c>
      <c r="AG52" s="151">
        <v>2.4</v>
      </c>
      <c r="AH52" s="151" t="s">
        <v>1675</v>
      </c>
      <c r="AI52" s="151">
        <v>1282</v>
      </c>
      <c r="AJ52" s="151" t="s">
        <v>1718</v>
      </c>
      <c r="AK52" s="151">
        <v>1726</v>
      </c>
      <c r="AL52" s="151" t="s">
        <v>1718</v>
      </c>
      <c r="AN52" s="155">
        <f t="shared" si="5"/>
        <v>0.4</v>
      </c>
      <c r="AO52" s="156">
        <f t="shared" si="6"/>
        <v>2.4</v>
      </c>
      <c r="AP52" s="275"/>
      <c r="AQ52" s="150">
        <v>400</v>
      </c>
      <c r="AR52" s="151" t="s">
        <v>162</v>
      </c>
      <c r="AS52" s="152">
        <v>49.57</v>
      </c>
      <c r="AT52" s="152">
        <v>4.7879999999999999E-2</v>
      </c>
      <c r="AU52" s="151">
        <v>5.59</v>
      </c>
      <c r="AV52" s="151" t="s">
        <v>1675</v>
      </c>
      <c r="AW52" s="151">
        <v>2118</v>
      </c>
      <c r="AX52" s="151" t="s">
        <v>1718</v>
      </c>
      <c r="AY52" s="151">
        <v>2159</v>
      </c>
      <c r="AZ52" s="151" t="s">
        <v>1718</v>
      </c>
      <c r="BB52" s="155">
        <f t="shared" si="7"/>
        <v>0.4</v>
      </c>
      <c r="BC52" s="156">
        <f t="shared" si="8"/>
        <v>5.59</v>
      </c>
      <c r="BE52" s="150">
        <v>400</v>
      </c>
      <c r="BF52" s="151" t="s">
        <v>162</v>
      </c>
      <c r="BG52" s="152">
        <v>405.3</v>
      </c>
      <c r="BH52" s="152">
        <v>11.69</v>
      </c>
      <c r="BI52" s="151">
        <v>1.27</v>
      </c>
      <c r="BJ52" s="151" t="s">
        <v>1675</v>
      </c>
      <c r="BK52" s="151">
        <v>992</v>
      </c>
      <c r="BL52" s="151" t="s">
        <v>1718</v>
      </c>
      <c r="BM52" s="151">
        <v>1204</v>
      </c>
      <c r="BN52" s="151" t="s">
        <v>1718</v>
      </c>
      <c r="BP52" s="155">
        <f t="shared" si="9"/>
        <v>0.4</v>
      </c>
      <c r="BQ52" s="156">
        <f t="shared" si="10"/>
        <v>1.27</v>
      </c>
      <c r="BS52" s="150">
        <v>400</v>
      </c>
      <c r="BT52" s="151" t="s">
        <v>162</v>
      </c>
      <c r="BU52" s="152">
        <v>453.5</v>
      </c>
      <c r="BV52" s="152">
        <v>32.380000000000003</v>
      </c>
      <c r="BW52" s="151">
        <v>1.07</v>
      </c>
      <c r="BX52" s="151" t="s">
        <v>1675</v>
      </c>
      <c r="BY52" s="151">
        <v>1031</v>
      </c>
      <c r="BZ52" s="151" t="s">
        <v>1718</v>
      </c>
      <c r="CA52" s="151">
        <v>1169</v>
      </c>
      <c r="CB52" s="151" t="s">
        <v>1718</v>
      </c>
      <c r="CD52" s="155">
        <f t="shared" si="11"/>
        <v>0.4</v>
      </c>
      <c r="CE52" s="156">
        <f t="shared" si="12"/>
        <v>1.07</v>
      </c>
      <c r="CG52" s="150">
        <v>400</v>
      </c>
      <c r="CH52" s="151" t="s">
        <v>162</v>
      </c>
      <c r="CI52" s="152">
        <v>393.2</v>
      </c>
      <c r="CJ52" s="152">
        <v>43.44</v>
      </c>
      <c r="CK52" s="151">
        <v>1.1000000000000001</v>
      </c>
      <c r="CL52" s="151" t="s">
        <v>1675</v>
      </c>
      <c r="CM52" s="151">
        <v>1117</v>
      </c>
      <c r="CN52" s="151" t="s">
        <v>1718</v>
      </c>
      <c r="CO52" s="151">
        <v>1229</v>
      </c>
      <c r="CP52" s="151" t="s">
        <v>1718</v>
      </c>
      <c r="CR52" s="155">
        <f t="shared" si="20"/>
        <v>0.4</v>
      </c>
      <c r="CS52" s="156">
        <f t="shared" si="13"/>
        <v>1.1000000000000001</v>
      </c>
      <c r="CU52" s="151">
        <v>400</v>
      </c>
      <c r="CV52" s="152" t="s">
        <v>162</v>
      </c>
      <c r="CW52" s="152">
        <v>511.6</v>
      </c>
      <c r="CX52" s="152">
        <v>178.6</v>
      </c>
      <c r="CY52" s="151">
        <v>6000</v>
      </c>
      <c r="CZ52" s="151" t="s">
        <v>1718</v>
      </c>
      <c r="DA52" s="151">
        <v>697</v>
      </c>
      <c r="DB52" s="151" t="s">
        <v>1718</v>
      </c>
      <c r="DC52" s="151">
        <v>679</v>
      </c>
      <c r="DD52" t="s">
        <v>1718</v>
      </c>
      <c r="DF52" s="155">
        <f t="shared" si="14"/>
        <v>0.4</v>
      </c>
      <c r="DG52" s="156">
        <f t="shared" si="17"/>
        <v>0.6</v>
      </c>
      <c r="DI52" s="151">
        <v>400</v>
      </c>
      <c r="DJ52" s="152" t="s">
        <v>162</v>
      </c>
      <c r="DK52" s="152">
        <v>502.4</v>
      </c>
      <c r="DL52" s="152">
        <v>173</v>
      </c>
      <c r="DM52" s="151">
        <v>6059</v>
      </c>
      <c r="DN52" s="151" t="s">
        <v>1718</v>
      </c>
      <c r="DO52" s="151">
        <v>667</v>
      </c>
      <c r="DP52" s="151" t="s">
        <v>1718</v>
      </c>
      <c r="DQ52" s="151">
        <v>654</v>
      </c>
      <c r="DR52" t="s">
        <v>1718</v>
      </c>
      <c r="DT52" s="155">
        <f t="shared" si="15"/>
        <v>0.4</v>
      </c>
      <c r="DU52" s="156">
        <f t="shared" si="18"/>
        <v>0.60589999999999999</v>
      </c>
      <c r="DW52" s="401">
        <v>400</v>
      </c>
      <c r="DX52" s="401" t="s">
        <v>162</v>
      </c>
      <c r="DY52" s="402">
        <v>319.5</v>
      </c>
      <c r="DZ52" s="402">
        <v>3.6579999999999999</v>
      </c>
      <c r="EA52" s="401">
        <v>1.8</v>
      </c>
      <c r="EB52" s="401" t="s">
        <v>1675</v>
      </c>
      <c r="EC52" s="401">
        <v>1294</v>
      </c>
      <c r="ED52" s="401" t="s">
        <v>1718</v>
      </c>
      <c r="EE52" s="401">
        <v>1682</v>
      </c>
      <c r="EF52" s="403" t="s">
        <v>1718</v>
      </c>
      <c r="EH52" s="155">
        <f t="shared" si="16"/>
        <v>0.4</v>
      </c>
      <c r="EI52" s="156">
        <f t="shared" si="19"/>
        <v>1.8</v>
      </c>
    </row>
    <row r="53" spans="1:139" x14ac:dyDescent="0.2">
      <c r="A53" s="150">
        <v>450</v>
      </c>
      <c r="B53" s="151" t="s">
        <v>162</v>
      </c>
      <c r="C53" s="152">
        <v>402.4</v>
      </c>
      <c r="D53" s="152">
        <v>46.88</v>
      </c>
      <c r="E53" s="151">
        <v>1.22</v>
      </c>
      <c r="F53" s="151" t="s">
        <v>1675</v>
      </c>
      <c r="G53" s="151">
        <v>1276</v>
      </c>
      <c r="H53" s="151" t="s">
        <v>1718</v>
      </c>
      <c r="I53" s="151">
        <v>1405</v>
      </c>
      <c r="J53" s="151" t="s">
        <v>1718</v>
      </c>
      <c r="L53" s="155">
        <f t="shared" si="1"/>
        <v>0.45</v>
      </c>
      <c r="M53" s="156">
        <f t="shared" si="2"/>
        <v>1.22</v>
      </c>
      <c r="N53" s="275"/>
      <c r="O53" s="150">
        <v>450</v>
      </c>
      <c r="P53" s="151" t="s">
        <v>162</v>
      </c>
      <c r="Q53" s="152">
        <v>458.7</v>
      </c>
      <c r="R53" s="152">
        <v>35.520000000000003</v>
      </c>
      <c r="S53" s="151">
        <v>1.17</v>
      </c>
      <c r="T53" s="151" t="s">
        <v>1675</v>
      </c>
      <c r="U53" s="151">
        <v>1145</v>
      </c>
      <c r="V53" s="151" t="s">
        <v>1718</v>
      </c>
      <c r="W53" s="151">
        <v>1291</v>
      </c>
      <c r="X53" s="151" t="s">
        <v>1718</v>
      </c>
      <c r="Z53" s="155">
        <f t="shared" si="3"/>
        <v>0.45</v>
      </c>
      <c r="AA53" s="156">
        <f t="shared" si="4"/>
        <v>1.17</v>
      </c>
      <c r="AB53" s="275"/>
      <c r="AC53" s="150">
        <v>450</v>
      </c>
      <c r="AD53" s="151" t="s">
        <v>162</v>
      </c>
      <c r="AE53" s="152">
        <v>253.7</v>
      </c>
      <c r="AF53" s="152">
        <v>0.56979999999999997</v>
      </c>
      <c r="AG53" s="151">
        <v>2.6</v>
      </c>
      <c r="AH53" s="151" t="s">
        <v>1675</v>
      </c>
      <c r="AI53" s="151">
        <v>1325</v>
      </c>
      <c r="AJ53" s="151" t="s">
        <v>1718</v>
      </c>
      <c r="AK53" s="151">
        <v>1766</v>
      </c>
      <c r="AL53" s="151" t="s">
        <v>1718</v>
      </c>
      <c r="AN53" s="155">
        <f t="shared" si="5"/>
        <v>0.45</v>
      </c>
      <c r="AO53" s="156">
        <f t="shared" si="6"/>
        <v>2.6</v>
      </c>
      <c r="AP53" s="275"/>
      <c r="AQ53" s="150">
        <v>450</v>
      </c>
      <c r="AR53" s="151" t="s">
        <v>162</v>
      </c>
      <c r="AS53" s="152">
        <v>45.89</v>
      </c>
      <c r="AT53" s="152">
        <v>4.326E-2</v>
      </c>
      <c r="AU53" s="151">
        <v>6.64</v>
      </c>
      <c r="AV53" s="151" t="s">
        <v>1675</v>
      </c>
      <c r="AW53" s="151">
        <v>2636</v>
      </c>
      <c r="AX53" s="151" t="s">
        <v>1718</v>
      </c>
      <c r="AY53" s="151">
        <v>2443</v>
      </c>
      <c r="AZ53" s="151" t="s">
        <v>1718</v>
      </c>
      <c r="BB53" s="155">
        <f t="shared" si="7"/>
        <v>0.45</v>
      </c>
      <c r="BC53" s="156">
        <f t="shared" si="8"/>
        <v>6.64</v>
      </c>
      <c r="BE53" s="150">
        <v>450</v>
      </c>
      <c r="BF53" s="151" t="s">
        <v>162</v>
      </c>
      <c r="BG53" s="152">
        <v>427.4</v>
      </c>
      <c r="BH53" s="152">
        <v>10.68</v>
      </c>
      <c r="BI53" s="151">
        <v>1.39</v>
      </c>
      <c r="BJ53" s="151" t="s">
        <v>1675</v>
      </c>
      <c r="BK53" s="151">
        <v>1031</v>
      </c>
      <c r="BL53" s="151" t="s">
        <v>1718</v>
      </c>
      <c r="BM53" s="151">
        <v>1261</v>
      </c>
      <c r="BN53" s="151" t="s">
        <v>1718</v>
      </c>
      <c r="BP53" s="155">
        <f t="shared" si="9"/>
        <v>0.45</v>
      </c>
      <c r="BQ53" s="156">
        <f t="shared" si="10"/>
        <v>1.39</v>
      </c>
      <c r="BS53" s="150">
        <v>450</v>
      </c>
      <c r="BT53" s="151" t="s">
        <v>162</v>
      </c>
      <c r="BU53" s="152">
        <v>478</v>
      </c>
      <c r="BV53" s="152">
        <v>29.77</v>
      </c>
      <c r="BW53" s="151">
        <v>1.17</v>
      </c>
      <c r="BX53" s="151" t="s">
        <v>1675</v>
      </c>
      <c r="BY53" s="151">
        <v>1073</v>
      </c>
      <c r="BZ53" s="151" t="s">
        <v>1718</v>
      </c>
      <c r="CA53" s="151">
        <v>1233</v>
      </c>
      <c r="CB53" s="151" t="s">
        <v>1718</v>
      </c>
      <c r="CD53" s="155">
        <f t="shared" si="11"/>
        <v>0.45</v>
      </c>
      <c r="CE53" s="156">
        <f t="shared" si="12"/>
        <v>1.17</v>
      </c>
      <c r="CG53" s="150">
        <v>450</v>
      </c>
      <c r="CH53" s="151" t="s">
        <v>162</v>
      </c>
      <c r="CI53" s="152">
        <v>420.2</v>
      </c>
      <c r="CJ53" s="152">
        <v>40.03</v>
      </c>
      <c r="CK53" s="151">
        <v>1.21</v>
      </c>
      <c r="CL53" s="151" t="s">
        <v>1675</v>
      </c>
      <c r="CM53" s="151">
        <v>1172</v>
      </c>
      <c r="CN53" s="151" t="s">
        <v>1718</v>
      </c>
      <c r="CO53" s="151">
        <v>1310</v>
      </c>
      <c r="CP53" s="151" t="s">
        <v>1718</v>
      </c>
      <c r="CR53" s="155">
        <f t="shared" si="20"/>
        <v>0.45</v>
      </c>
      <c r="CS53" s="156">
        <f t="shared" si="13"/>
        <v>1.21</v>
      </c>
      <c r="CU53" s="151">
        <v>450</v>
      </c>
      <c r="CV53" s="152" t="s">
        <v>162</v>
      </c>
      <c r="CW53" s="152">
        <v>535.6</v>
      </c>
      <c r="CX53" s="152">
        <v>167</v>
      </c>
      <c r="CY53" s="151">
        <v>6699</v>
      </c>
      <c r="CZ53" s="151" t="s">
        <v>1718</v>
      </c>
      <c r="DA53" s="151">
        <v>749</v>
      </c>
      <c r="DB53" s="151" t="s">
        <v>1718</v>
      </c>
      <c r="DC53" s="151">
        <v>740</v>
      </c>
      <c r="DD53" t="s">
        <v>1718</v>
      </c>
      <c r="DF53" s="155">
        <f t="shared" si="14"/>
        <v>0.45</v>
      </c>
      <c r="DG53" s="156">
        <f t="shared" si="17"/>
        <v>0.66990000000000005</v>
      </c>
      <c r="DI53" s="151">
        <v>450</v>
      </c>
      <c r="DJ53" s="152" t="s">
        <v>162</v>
      </c>
      <c r="DK53" s="152">
        <v>524.4</v>
      </c>
      <c r="DL53" s="152">
        <v>161.69999999999999</v>
      </c>
      <c r="DM53" s="151">
        <v>6776</v>
      </c>
      <c r="DN53" s="151" t="s">
        <v>1718</v>
      </c>
      <c r="DO53" s="151">
        <v>718</v>
      </c>
      <c r="DP53" s="151" t="s">
        <v>1718</v>
      </c>
      <c r="DQ53" s="151">
        <v>713</v>
      </c>
      <c r="DR53" t="s">
        <v>1718</v>
      </c>
      <c r="DT53" s="155">
        <f t="shared" si="15"/>
        <v>0.45</v>
      </c>
      <c r="DU53" s="156">
        <f t="shared" si="18"/>
        <v>0.67759999999999998</v>
      </c>
      <c r="DW53" s="401">
        <v>450</v>
      </c>
      <c r="DX53" s="401" t="s">
        <v>162</v>
      </c>
      <c r="DY53" s="402">
        <v>338.4</v>
      </c>
      <c r="DZ53" s="402">
        <v>3.33</v>
      </c>
      <c r="EA53" s="401">
        <v>1.95</v>
      </c>
      <c r="EB53" s="401" t="s">
        <v>1675</v>
      </c>
      <c r="EC53" s="401">
        <v>1333</v>
      </c>
      <c r="ED53" s="401" t="s">
        <v>1718</v>
      </c>
      <c r="EE53" s="401">
        <v>1739</v>
      </c>
      <c r="EF53" s="403" t="s">
        <v>1718</v>
      </c>
      <c r="EH53" s="155">
        <f t="shared" si="16"/>
        <v>0.45</v>
      </c>
      <c r="EI53" s="156">
        <f t="shared" si="19"/>
        <v>1.95</v>
      </c>
    </row>
    <row r="54" spans="1:139" x14ac:dyDescent="0.2">
      <c r="A54" s="150">
        <v>500</v>
      </c>
      <c r="B54" s="151" t="s">
        <v>162</v>
      </c>
      <c r="C54" s="152">
        <v>426.7</v>
      </c>
      <c r="D54" s="152">
        <v>43.57</v>
      </c>
      <c r="E54" s="151">
        <v>1.32</v>
      </c>
      <c r="F54" s="151" t="s">
        <v>1675</v>
      </c>
      <c r="G54" s="151">
        <v>1330</v>
      </c>
      <c r="H54" s="151" t="s">
        <v>1718</v>
      </c>
      <c r="I54" s="151">
        <v>1486</v>
      </c>
      <c r="J54" s="151" t="s">
        <v>1718</v>
      </c>
      <c r="L54" s="155">
        <f t="shared" si="1"/>
        <v>0.5</v>
      </c>
      <c r="M54" s="156">
        <f t="shared" si="2"/>
        <v>1.32</v>
      </c>
      <c r="N54" s="275"/>
      <c r="O54" s="150">
        <v>500</v>
      </c>
      <c r="P54" s="151" t="s">
        <v>162</v>
      </c>
      <c r="Q54" s="152">
        <v>487.3</v>
      </c>
      <c r="R54" s="152">
        <v>32.950000000000003</v>
      </c>
      <c r="S54" s="151">
        <v>1.26</v>
      </c>
      <c r="T54" s="151" t="s">
        <v>1675</v>
      </c>
      <c r="U54" s="151">
        <v>1187</v>
      </c>
      <c r="V54" s="151" t="s">
        <v>1718</v>
      </c>
      <c r="W54" s="151">
        <v>1358</v>
      </c>
      <c r="X54" s="151" t="s">
        <v>1718</v>
      </c>
      <c r="Z54" s="155">
        <f t="shared" si="3"/>
        <v>0.5</v>
      </c>
      <c r="AA54" s="156">
        <f t="shared" si="4"/>
        <v>1.26</v>
      </c>
      <c r="AB54" s="275"/>
      <c r="AC54" s="150">
        <v>500</v>
      </c>
      <c r="AD54" s="151" t="s">
        <v>162</v>
      </c>
      <c r="AE54" s="152">
        <v>256.3</v>
      </c>
      <c r="AF54" s="152">
        <v>0.52170000000000005</v>
      </c>
      <c r="AG54" s="151">
        <v>2.79</v>
      </c>
      <c r="AH54" s="151" t="s">
        <v>1675</v>
      </c>
      <c r="AI54" s="151">
        <v>1364</v>
      </c>
      <c r="AJ54" s="151" t="s">
        <v>1718</v>
      </c>
      <c r="AK54" s="151">
        <v>1803</v>
      </c>
      <c r="AL54" s="151" t="s">
        <v>1718</v>
      </c>
      <c r="AN54" s="155">
        <f t="shared" si="5"/>
        <v>0.5</v>
      </c>
      <c r="AO54" s="156">
        <f t="shared" si="6"/>
        <v>2.79</v>
      </c>
      <c r="AP54" s="275"/>
      <c r="AQ54" s="150">
        <v>500</v>
      </c>
      <c r="AR54" s="151" t="s">
        <v>162</v>
      </c>
      <c r="AS54" s="152">
        <v>42.81</v>
      </c>
      <c r="AT54" s="152">
        <v>3.9489999999999997E-2</v>
      </c>
      <c r="AU54" s="151">
        <v>7.77</v>
      </c>
      <c r="AV54" s="151" t="s">
        <v>1675</v>
      </c>
      <c r="AW54" s="151">
        <v>3132</v>
      </c>
      <c r="AX54" s="151" t="s">
        <v>1718</v>
      </c>
      <c r="AY54" s="151">
        <v>2748</v>
      </c>
      <c r="AZ54" s="151" t="s">
        <v>1718</v>
      </c>
      <c r="BB54" s="155">
        <f t="shared" si="7"/>
        <v>0.5</v>
      </c>
      <c r="BC54" s="156">
        <f t="shared" si="8"/>
        <v>7.77</v>
      </c>
      <c r="BE54" s="150">
        <v>500</v>
      </c>
      <c r="BF54" s="151" t="s">
        <v>162</v>
      </c>
      <c r="BG54" s="152">
        <v>448.3</v>
      </c>
      <c r="BH54" s="152">
        <v>9.8559999999999999</v>
      </c>
      <c r="BI54" s="151">
        <v>1.5</v>
      </c>
      <c r="BJ54" s="151" t="s">
        <v>1675</v>
      </c>
      <c r="BK54" s="151">
        <v>1065</v>
      </c>
      <c r="BL54" s="151" t="s">
        <v>1718</v>
      </c>
      <c r="BM54" s="151">
        <v>1312</v>
      </c>
      <c r="BN54" s="151" t="s">
        <v>1718</v>
      </c>
      <c r="BP54" s="155">
        <f t="shared" si="9"/>
        <v>0.5</v>
      </c>
      <c r="BQ54" s="156">
        <f t="shared" si="10"/>
        <v>1.5</v>
      </c>
      <c r="BS54" s="150">
        <v>500</v>
      </c>
      <c r="BT54" s="151" t="s">
        <v>162</v>
      </c>
      <c r="BU54" s="152">
        <v>500.9</v>
      </c>
      <c r="BV54" s="152">
        <v>27.59</v>
      </c>
      <c r="BW54" s="151">
        <v>1.26</v>
      </c>
      <c r="BX54" s="151" t="s">
        <v>1675</v>
      </c>
      <c r="BY54" s="151">
        <v>1110</v>
      </c>
      <c r="BZ54" s="151" t="s">
        <v>1718</v>
      </c>
      <c r="CA54" s="151">
        <v>1291</v>
      </c>
      <c r="CB54" s="151" t="s">
        <v>1718</v>
      </c>
      <c r="CD54" s="155">
        <f t="shared" si="11"/>
        <v>0.5</v>
      </c>
      <c r="CE54" s="156">
        <f t="shared" si="12"/>
        <v>1.26</v>
      </c>
      <c r="CG54" s="150">
        <v>500</v>
      </c>
      <c r="CH54" s="151" t="s">
        <v>162</v>
      </c>
      <c r="CI54" s="152">
        <v>446.2</v>
      </c>
      <c r="CJ54" s="152">
        <v>37.17</v>
      </c>
      <c r="CK54" s="151">
        <v>1.31</v>
      </c>
      <c r="CL54" s="151" t="s">
        <v>1675</v>
      </c>
      <c r="CM54" s="151">
        <v>1220</v>
      </c>
      <c r="CN54" s="151" t="s">
        <v>1718</v>
      </c>
      <c r="CO54" s="151">
        <v>1382</v>
      </c>
      <c r="CP54" s="151" t="s">
        <v>1718</v>
      </c>
      <c r="CR54" s="155">
        <f t="shared" si="20"/>
        <v>0.5</v>
      </c>
      <c r="CS54" s="156">
        <f t="shared" si="13"/>
        <v>1.31</v>
      </c>
      <c r="CU54" s="151">
        <v>500</v>
      </c>
      <c r="CV54" s="152" t="s">
        <v>162</v>
      </c>
      <c r="CW54" s="152">
        <v>557.9</v>
      </c>
      <c r="CX54" s="152">
        <v>157</v>
      </c>
      <c r="CY54" s="151">
        <v>7388</v>
      </c>
      <c r="CZ54" s="151" t="s">
        <v>1718</v>
      </c>
      <c r="DA54" s="151">
        <v>796</v>
      </c>
      <c r="DB54" s="151" t="s">
        <v>1718</v>
      </c>
      <c r="DC54" s="151">
        <v>797</v>
      </c>
      <c r="DD54" t="s">
        <v>1718</v>
      </c>
      <c r="DF54" s="155">
        <f t="shared" si="14"/>
        <v>0.5</v>
      </c>
      <c r="DG54" s="156">
        <f t="shared" si="17"/>
        <v>0.73880000000000001</v>
      </c>
      <c r="DI54" s="151">
        <v>500</v>
      </c>
      <c r="DJ54" s="152" t="s">
        <v>162</v>
      </c>
      <c r="DK54" s="152">
        <v>545.29999999999995</v>
      </c>
      <c r="DL54" s="152">
        <v>152.1</v>
      </c>
      <c r="DM54" s="151">
        <v>7483</v>
      </c>
      <c r="DN54" s="151" t="s">
        <v>1718</v>
      </c>
      <c r="DO54" s="151">
        <v>765</v>
      </c>
      <c r="DP54" s="151" t="s">
        <v>1718</v>
      </c>
      <c r="DQ54" s="151">
        <v>769</v>
      </c>
      <c r="DR54" t="s">
        <v>1718</v>
      </c>
      <c r="DT54" s="155">
        <f t="shared" si="15"/>
        <v>0.5</v>
      </c>
      <c r="DU54" s="156">
        <f t="shared" si="18"/>
        <v>0.74830000000000008</v>
      </c>
      <c r="DW54" s="401">
        <v>500</v>
      </c>
      <c r="DX54" s="401" t="s">
        <v>162</v>
      </c>
      <c r="DY54" s="402">
        <v>356.7</v>
      </c>
      <c r="DZ54" s="402">
        <v>3.06</v>
      </c>
      <c r="EA54" s="401">
        <v>2.09</v>
      </c>
      <c r="EB54" s="401" t="s">
        <v>1675</v>
      </c>
      <c r="EC54" s="401">
        <v>1367</v>
      </c>
      <c r="ED54" s="401" t="s">
        <v>1718</v>
      </c>
      <c r="EE54" s="401">
        <v>1789</v>
      </c>
      <c r="EF54" s="403" t="s">
        <v>1718</v>
      </c>
      <c r="EH54" s="155">
        <f t="shared" si="16"/>
        <v>0.5</v>
      </c>
      <c r="EI54" s="156">
        <f t="shared" si="19"/>
        <v>2.09</v>
      </c>
    </row>
    <row r="55" spans="1:139" x14ac:dyDescent="0.2">
      <c r="A55" s="150">
        <v>550</v>
      </c>
      <c r="B55" s="151" t="s">
        <v>162</v>
      </c>
      <c r="C55" s="152">
        <v>450.4</v>
      </c>
      <c r="D55" s="152">
        <v>40.74</v>
      </c>
      <c r="E55" s="151">
        <v>1.42</v>
      </c>
      <c r="F55" s="151" t="s">
        <v>1675</v>
      </c>
      <c r="G55" s="151">
        <v>1377</v>
      </c>
      <c r="H55" s="151" t="s">
        <v>1718</v>
      </c>
      <c r="I55" s="151">
        <v>1560</v>
      </c>
      <c r="J55" s="151" t="s">
        <v>1718</v>
      </c>
      <c r="L55" s="155">
        <f t="shared" si="1"/>
        <v>0.55000000000000004</v>
      </c>
      <c r="M55" s="156">
        <f t="shared" si="2"/>
        <v>1.42</v>
      </c>
      <c r="N55" s="275"/>
      <c r="O55" s="150">
        <v>550</v>
      </c>
      <c r="P55" s="151" t="s">
        <v>162</v>
      </c>
      <c r="Q55" s="152">
        <v>514.5</v>
      </c>
      <c r="R55" s="152">
        <v>30.77</v>
      </c>
      <c r="S55" s="151">
        <v>1.35</v>
      </c>
      <c r="T55" s="151" t="s">
        <v>1675</v>
      </c>
      <c r="U55" s="151">
        <v>1224</v>
      </c>
      <c r="V55" s="151" t="s">
        <v>1718</v>
      </c>
      <c r="W55" s="151">
        <v>1417</v>
      </c>
      <c r="X55" s="151" t="s">
        <v>1718</v>
      </c>
      <c r="Z55" s="155">
        <f t="shared" si="3"/>
        <v>0.55000000000000004</v>
      </c>
      <c r="AA55" s="156">
        <f t="shared" si="4"/>
        <v>1.35</v>
      </c>
      <c r="AB55" s="275"/>
      <c r="AC55" s="150">
        <v>550</v>
      </c>
      <c r="AD55" s="151" t="s">
        <v>162</v>
      </c>
      <c r="AE55" s="152">
        <v>257.39999999999998</v>
      </c>
      <c r="AF55" s="152">
        <v>0.48159999999999997</v>
      </c>
      <c r="AG55" s="151">
        <v>2.99</v>
      </c>
      <c r="AH55" s="151" t="s">
        <v>1675</v>
      </c>
      <c r="AI55" s="151">
        <v>1401</v>
      </c>
      <c r="AJ55" s="151" t="s">
        <v>1718</v>
      </c>
      <c r="AK55" s="151">
        <v>1838</v>
      </c>
      <c r="AL55" s="151" t="s">
        <v>1718</v>
      </c>
      <c r="AN55" s="155">
        <f t="shared" si="5"/>
        <v>0.55000000000000004</v>
      </c>
      <c r="AO55" s="156">
        <f t="shared" si="6"/>
        <v>2.99</v>
      </c>
      <c r="AP55" s="275"/>
      <c r="AQ55" s="150">
        <v>550</v>
      </c>
      <c r="AR55" s="151" t="s">
        <v>162</v>
      </c>
      <c r="AS55" s="152">
        <v>40.19</v>
      </c>
      <c r="AT55" s="152">
        <v>3.6360000000000003E-2</v>
      </c>
      <c r="AU55" s="151">
        <v>8.9700000000000006</v>
      </c>
      <c r="AV55" s="151" t="s">
        <v>1675</v>
      </c>
      <c r="AW55" s="151">
        <v>3618</v>
      </c>
      <c r="AX55" s="151" t="s">
        <v>1718</v>
      </c>
      <c r="AY55" s="151">
        <v>3075</v>
      </c>
      <c r="AZ55" s="151" t="s">
        <v>1718</v>
      </c>
      <c r="BB55" s="155">
        <f t="shared" si="7"/>
        <v>0.55000000000000004</v>
      </c>
      <c r="BC55" s="156">
        <f t="shared" si="8"/>
        <v>8.9700000000000006</v>
      </c>
      <c r="BE55" s="150">
        <v>550</v>
      </c>
      <c r="BF55" s="151" t="s">
        <v>162</v>
      </c>
      <c r="BG55" s="152">
        <v>468.4</v>
      </c>
      <c r="BH55" s="152">
        <v>9.157</v>
      </c>
      <c r="BI55" s="151">
        <v>1.6</v>
      </c>
      <c r="BJ55" s="151" t="s">
        <v>1675</v>
      </c>
      <c r="BK55" s="151">
        <v>1094</v>
      </c>
      <c r="BL55" s="151" t="s">
        <v>1718</v>
      </c>
      <c r="BM55" s="151">
        <v>1357</v>
      </c>
      <c r="BN55" s="151" t="s">
        <v>1718</v>
      </c>
      <c r="BP55" s="155">
        <f t="shared" si="9"/>
        <v>0.55000000000000004</v>
      </c>
      <c r="BQ55" s="156">
        <f t="shared" si="10"/>
        <v>1.6</v>
      </c>
      <c r="BS55" s="150">
        <v>550</v>
      </c>
      <c r="BT55" s="151" t="s">
        <v>162</v>
      </c>
      <c r="BU55" s="152">
        <v>522.4</v>
      </c>
      <c r="BV55" s="152">
        <v>25.74</v>
      </c>
      <c r="BW55" s="151">
        <v>1.35</v>
      </c>
      <c r="BX55" s="151" t="s">
        <v>1675</v>
      </c>
      <c r="BY55" s="151">
        <v>1143</v>
      </c>
      <c r="BZ55" s="151" t="s">
        <v>1718</v>
      </c>
      <c r="CA55" s="151">
        <v>1343</v>
      </c>
      <c r="CB55" s="151" t="s">
        <v>1718</v>
      </c>
      <c r="CD55" s="155">
        <f t="shared" si="11"/>
        <v>0.55000000000000004</v>
      </c>
      <c r="CE55" s="156">
        <f t="shared" si="12"/>
        <v>1.35</v>
      </c>
      <c r="CG55" s="150">
        <v>550</v>
      </c>
      <c r="CH55" s="151" t="s">
        <v>162</v>
      </c>
      <c r="CI55" s="152">
        <v>471.3</v>
      </c>
      <c r="CJ55" s="152">
        <v>34.729999999999997</v>
      </c>
      <c r="CK55" s="151">
        <v>1.41</v>
      </c>
      <c r="CL55" s="151" t="s">
        <v>1675</v>
      </c>
      <c r="CM55" s="151">
        <v>1262</v>
      </c>
      <c r="CN55" s="151" t="s">
        <v>1718</v>
      </c>
      <c r="CO55" s="151">
        <v>1448</v>
      </c>
      <c r="CP55" s="151" t="s">
        <v>1718</v>
      </c>
      <c r="CR55" s="155">
        <f t="shared" si="20"/>
        <v>0.55000000000000004</v>
      </c>
      <c r="CS55" s="156">
        <f t="shared" si="13"/>
        <v>1.41</v>
      </c>
      <c r="CU55" s="151">
        <v>550</v>
      </c>
      <c r="CV55" s="152" t="s">
        <v>162</v>
      </c>
      <c r="CW55" s="152">
        <v>579</v>
      </c>
      <c r="CX55" s="152">
        <v>148.30000000000001</v>
      </c>
      <c r="CY55" s="151">
        <v>8065</v>
      </c>
      <c r="CZ55" s="151" t="s">
        <v>1718</v>
      </c>
      <c r="DA55" s="151">
        <v>840</v>
      </c>
      <c r="DB55" s="151" t="s">
        <v>1718</v>
      </c>
      <c r="DC55" s="151">
        <v>852</v>
      </c>
      <c r="DD55" t="s">
        <v>1718</v>
      </c>
      <c r="DF55" s="155">
        <f t="shared" si="14"/>
        <v>0.55000000000000004</v>
      </c>
      <c r="DG55" s="156">
        <f t="shared" si="17"/>
        <v>0.80649999999999999</v>
      </c>
      <c r="DI55" s="151">
        <v>550</v>
      </c>
      <c r="DJ55" s="152" t="s">
        <v>162</v>
      </c>
      <c r="DK55" s="152">
        <v>565.1</v>
      </c>
      <c r="DL55" s="152">
        <v>143.69999999999999</v>
      </c>
      <c r="DM55" s="151">
        <v>8180</v>
      </c>
      <c r="DN55" s="151" t="s">
        <v>1718</v>
      </c>
      <c r="DO55" s="151">
        <v>809</v>
      </c>
      <c r="DP55" s="151" t="s">
        <v>1718</v>
      </c>
      <c r="DQ55" s="151">
        <v>823</v>
      </c>
      <c r="DR55" t="s">
        <v>1718</v>
      </c>
      <c r="DT55" s="155">
        <f t="shared" si="15"/>
        <v>0.55000000000000004</v>
      </c>
      <c r="DU55" s="156">
        <f t="shared" si="18"/>
        <v>0.81800000000000006</v>
      </c>
      <c r="DW55" s="401">
        <v>550</v>
      </c>
      <c r="DX55" s="401" t="s">
        <v>162</v>
      </c>
      <c r="DY55" s="402">
        <v>374.4</v>
      </c>
      <c r="DZ55" s="402">
        <v>2.8340000000000001</v>
      </c>
      <c r="EA55" s="401">
        <v>2.2200000000000002</v>
      </c>
      <c r="EB55" s="401" t="s">
        <v>1675</v>
      </c>
      <c r="EC55" s="401">
        <v>1396</v>
      </c>
      <c r="ED55" s="401" t="s">
        <v>1718</v>
      </c>
      <c r="EE55" s="401">
        <v>1834</v>
      </c>
      <c r="EF55" s="403" t="s">
        <v>1718</v>
      </c>
      <c r="EH55" s="155">
        <f t="shared" si="16"/>
        <v>0.55000000000000004</v>
      </c>
      <c r="EI55" s="156">
        <f t="shared" si="19"/>
        <v>2.2200000000000002</v>
      </c>
    </row>
    <row r="56" spans="1:139" x14ac:dyDescent="0.2">
      <c r="A56" s="150">
        <v>600</v>
      </c>
      <c r="B56" s="151" t="s">
        <v>162</v>
      </c>
      <c r="C56" s="152">
        <v>473.4</v>
      </c>
      <c r="D56" s="152">
        <v>38.299999999999997</v>
      </c>
      <c r="E56" s="151">
        <v>1.52</v>
      </c>
      <c r="F56" s="151" t="s">
        <v>1675</v>
      </c>
      <c r="G56" s="151">
        <v>1419</v>
      </c>
      <c r="H56" s="151" t="s">
        <v>1718</v>
      </c>
      <c r="I56" s="151">
        <v>1627</v>
      </c>
      <c r="J56" s="151" t="s">
        <v>1718</v>
      </c>
      <c r="L56" s="155">
        <f t="shared" si="1"/>
        <v>0.6</v>
      </c>
      <c r="M56" s="156">
        <f t="shared" si="2"/>
        <v>1.52</v>
      </c>
      <c r="N56" s="275"/>
      <c r="O56" s="150">
        <v>600</v>
      </c>
      <c r="P56" s="151" t="s">
        <v>162</v>
      </c>
      <c r="Q56" s="152">
        <v>540.4</v>
      </c>
      <c r="R56" s="152">
        <v>28.89</v>
      </c>
      <c r="S56" s="151">
        <v>1.44</v>
      </c>
      <c r="T56" s="151" t="s">
        <v>1675</v>
      </c>
      <c r="U56" s="151">
        <v>1257</v>
      </c>
      <c r="V56" s="151" t="s">
        <v>1718</v>
      </c>
      <c r="W56" s="151">
        <v>1471</v>
      </c>
      <c r="X56" s="151" t="s">
        <v>1718</v>
      </c>
      <c r="Z56" s="155">
        <f t="shared" si="3"/>
        <v>0.6</v>
      </c>
      <c r="AA56" s="156">
        <f t="shared" si="4"/>
        <v>1.44</v>
      </c>
      <c r="AB56" s="275"/>
      <c r="AC56" s="150">
        <v>600</v>
      </c>
      <c r="AD56" s="151" t="s">
        <v>162</v>
      </c>
      <c r="AE56" s="152">
        <v>257.10000000000002</v>
      </c>
      <c r="AF56" s="152">
        <v>0.4476</v>
      </c>
      <c r="AG56" s="151">
        <v>3.18</v>
      </c>
      <c r="AH56" s="151" t="s">
        <v>1675</v>
      </c>
      <c r="AI56" s="151">
        <v>1437</v>
      </c>
      <c r="AJ56" s="151" t="s">
        <v>1718</v>
      </c>
      <c r="AK56" s="151">
        <v>1871</v>
      </c>
      <c r="AL56" s="151" t="s">
        <v>1718</v>
      </c>
      <c r="AN56" s="155">
        <f t="shared" si="5"/>
        <v>0.6</v>
      </c>
      <c r="AO56" s="156">
        <f t="shared" si="6"/>
        <v>3.18</v>
      </c>
      <c r="AP56" s="275"/>
      <c r="AQ56" s="150">
        <v>600</v>
      </c>
      <c r="AR56" s="151" t="s">
        <v>162</v>
      </c>
      <c r="AS56" s="152">
        <v>37.93</v>
      </c>
      <c r="AT56" s="152">
        <v>3.3709999999999997E-2</v>
      </c>
      <c r="AU56" s="151">
        <v>10.24</v>
      </c>
      <c r="AV56" s="151" t="s">
        <v>1675</v>
      </c>
      <c r="AW56" s="151">
        <v>4101</v>
      </c>
      <c r="AX56" s="151" t="s">
        <v>1718</v>
      </c>
      <c r="AY56" s="151">
        <v>3421</v>
      </c>
      <c r="AZ56" s="151" t="s">
        <v>1718</v>
      </c>
      <c r="BB56" s="155">
        <f t="shared" si="7"/>
        <v>0.6</v>
      </c>
      <c r="BC56" s="156">
        <f t="shared" si="8"/>
        <v>10.24</v>
      </c>
      <c r="BE56" s="150">
        <v>600</v>
      </c>
      <c r="BF56" s="151" t="s">
        <v>162</v>
      </c>
      <c r="BG56" s="152">
        <v>487.6</v>
      </c>
      <c r="BH56" s="152">
        <v>8.5589999999999993</v>
      </c>
      <c r="BI56" s="151">
        <v>1.71</v>
      </c>
      <c r="BJ56" s="151" t="s">
        <v>1675</v>
      </c>
      <c r="BK56" s="151">
        <v>1121</v>
      </c>
      <c r="BL56" s="151" t="s">
        <v>1718</v>
      </c>
      <c r="BM56" s="151">
        <v>1399</v>
      </c>
      <c r="BN56" s="151" t="s">
        <v>1718</v>
      </c>
      <c r="BP56" s="155">
        <f t="shared" si="9"/>
        <v>0.6</v>
      </c>
      <c r="BQ56" s="156">
        <f t="shared" si="10"/>
        <v>1.71</v>
      </c>
      <c r="BS56" s="150">
        <v>600</v>
      </c>
      <c r="BT56" s="151" t="s">
        <v>162</v>
      </c>
      <c r="BU56" s="152">
        <v>542.9</v>
      </c>
      <c r="BV56" s="152">
        <v>24.15</v>
      </c>
      <c r="BW56" s="151">
        <v>1.44</v>
      </c>
      <c r="BX56" s="151" t="s">
        <v>1675</v>
      </c>
      <c r="BY56" s="151">
        <v>1173</v>
      </c>
      <c r="BZ56" s="151" t="s">
        <v>1718</v>
      </c>
      <c r="CA56" s="151">
        <v>1391</v>
      </c>
      <c r="CB56" s="151" t="s">
        <v>1718</v>
      </c>
      <c r="CD56" s="155">
        <f t="shared" si="11"/>
        <v>0.6</v>
      </c>
      <c r="CE56" s="156">
        <f t="shared" si="12"/>
        <v>1.44</v>
      </c>
      <c r="CG56" s="150">
        <v>600</v>
      </c>
      <c r="CH56" s="151" t="s">
        <v>162</v>
      </c>
      <c r="CI56" s="152">
        <v>495.4</v>
      </c>
      <c r="CJ56" s="152">
        <v>32.630000000000003</v>
      </c>
      <c r="CK56" s="151">
        <v>1.51</v>
      </c>
      <c r="CL56" s="151" t="s">
        <v>1675</v>
      </c>
      <c r="CM56" s="151">
        <v>1299</v>
      </c>
      <c r="CN56" s="151" t="s">
        <v>1718</v>
      </c>
      <c r="CO56" s="151">
        <v>1507</v>
      </c>
      <c r="CP56" s="151" t="s">
        <v>1718</v>
      </c>
      <c r="CR56" s="155">
        <f t="shared" si="20"/>
        <v>0.6</v>
      </c>
      <c r="CS56" s="156">
        <f t="shared" si="13"/>
        <v>1.51</v>
      </c>
      <c r="CU56" s="151">
        <v>600</v>
      </c>
      <c r="CV56" s="152" t="s">
        <v>162</v>
      </c>
      <c r="CW56" s="152">
        <v>599.29999999999995</v>
      </c>
      <c r="CX56" s="152">
        <v>140.69999999999999</v>
      </c>
      <c r="CY56" s="151">
        <v>8732</v>
      </c>
      <c r="CZ56" s="151" t="s">
        <v>1718</v>
      </c>
      <c r="DA56" s="151">
        <v>881</v>
      </c>
      <c r="DB56" s="151" t="s">
        <v>1718</v>
      </c>
      <c r="DC56" s="151">
        <v>904</v>
      </c>
      <c r="DD56" t="s">
        <v>1718</v>
      </c>
      <c r="DF56" s="155">
        <f t="shared" si="14"/>
        <v>0.6</v>
      </c>
      <c r="DG56" s="156">
        <f t="shared" si="17"/>
        <v>0.87320000000000009</v>
      </c>
      <c r="DI56" s="151">
        <v>600</v>
      </c>
      <c r="DJ56" s="152" t="s">
        <v>162</v>
      </c>
      <c r="DK56" s="152">
        <v>584</v>
      </c>
      <c r="DL56" s="152">
        <v>136.19999999999999</v>
      </c>
      <c r="DM56" s="151">
        <v>8866</v>
      </c>
      <c r="DN56" s="151" t="s">
        <v>1718</v>
      </c>
      <c r="DO56" s="151">
        <v>849</v>
      </c>
      <c r="DP56" s="151" t="s">
        <v>1718</v>
      </c>
      <c r="DQ56" s="151">
        <v>875</v>
      </c>
      <c r="DR56" t="s">
        <v>1718</v>
      </c>
      <c r="DT56" s="155">
        <f t="shared" si="15"/>
        <v>0.6</v>
      </c>
      <c r="DU56" s="156">
        <f t="shared" si="18"/>
        <v>0.88660000000000005</v>
      </c>
      <c r="DW56" s="401">
        <v>600</v>
      </c>
      <c r="DX56" s="401" t="s">
        <v>162</v>
      </c>
      <c r="DY56" s="402">
        <v>391.4</v>
      </c>
      <c r="DZ56" s="402">
        <v>2.641</v>
      </c>
      <c r="EA56" s="401">
        <v>2.35</v>
      </c>
      <c r="EB56" s="401" t="s">
        <v>1675</v>
      </c>
      <c r="EC56" s="401">
        <v>1422</v>
      </c>
      <c r="ED56" s="401" t="s">
        <v>1718</v>
      </c>
      <c r="EE56" s="401">
        <v>1874</v>
      </c>
      <c r="EF56" s="403" t="s">
        <v>1718</v>
      </c>
      <c r="EH56" s="155">
        <f t="shared" si="16"/>
        <v>0.6</v>
      </c>
      <c r="EI56" s="156">
        <f t="shared" si="19"/>
        <v>2.35</v>
      </c>
    </row>
    <row r="57" spans="1:139" x14ac:dyDescent="0.2">
      <c r="A57" s="150">
        <v>650</v>
      </c>
      <c r="B57" s="151" t="s">
        <v>162</v>
      </c>
      <c r="C57" s="152">
        <v>495.9</v>
      </c>
      <c r="D57" s="152">
        <v>36.17</v>
      </c>
      <c r="E57" s="151">
        <v>1.62</v>
      </c>
      <c r="F57" s="151" t="s">
        <v>1675</v>
      </c>
      <c r="G57" s="151">
        <v>1457</v>
      </c>
      <c r="H57" s="151" t="s">
        <v>1718</v>
      </c>
      <c r="I57" s="151">
        <v>1689</v>
      </c>
      <c r="J57" s="151" t="s">
        <v>1718</v>
      </c>
      <c r="L57" s="155">
        <f t="shared" si="1"/>
        <v>0.65</v>
      </c>
      <c r="M57" s="156">
        <f t="shared" si="2"/>
        <v>1.62</v>
      </c>
      <c r="N57" s="275"/>
      <c r="O57" s="150">
        <v>650</v>
      </c>
      <c r="P57" s="151" t="s">
        <v>162</v>
      </c>
      <c r="Q57" s="152">
        <v>565.1</v>
      </c>
      <c r="R57" s="152">
        <v>27.24</v>
      </c>
      <c r="S57" s="151">
        <v>1.53</v>
      </c>
      <c r="T57" s="151" t="s">
        <v>1675</v>
      </c>
      <c r="U57" s="151">
        <v>1286</v>
      </c>
      <c r="V57" s="151" t="s">
        <v>1718</v>
      </c>
      <c r="W57" s="151">
        <v>1520</v>
      </c>
      <c r="X57" s="151" t="s">
        <v>1718</v>
      </c>
      <c r="Z57" s="155">
        <f t="shared" si="3"/>
        <v>0.65</v>
      </c>
      <c r="AA57" s="156">
        <f t="shared" si="4"/>
        <v>1.53</v>
      </c>
      <c r="AB57" s="275"/>
      <c r="AC57" s="150">
        <v>650</v>
      </c>
      <c r="AD57" s="151" t="s">
        <v>162</v>
      </c>
      <c r="AE57" s="152">
        <v>255.9</v>
      </c>
      <c r="AF57" s="152">
        <v>0.41839999999999999</v>
      </c>
      <c r="AG57" s="151">
        <v>3.37</v>
      </c>
      <c r="AH57" s="151" t="s">
        <v>1675</v>
      </c>
      <c r="AI57" s="151">
        <v>1472</v>
      </c>
      <c r="AJ57" s="151" t="s">
        <v>1718</v>
      </c>
      <c r="AK57" s="151">
        <v>1902</v>
      </c>
      <c r="AL57" s="151" t="s">
        <v>1718</v>
      </c>
      <c r="AN57" s="155">
        <f t="shared" si="5"/>
        <v>0.65</v>
      </c>
      <c r="AO57" s="156">
        <f t="shared" si="6"/>
        <v>3.37</v>
      </c>
      <c r="AP57" s="275"/>
      <c r="AQ57" s="150">
        <v>650</v>
      </c>
      <c r="AR57" s="151" t="s">
        <v>162</v>
      </c>
      <c r="AS57" s="152">
        <v>35.96</v>
      </c>
      <c r="AT57" s="152">
        <v>3.1440000000000003E-2</v>
      </c>
      <c r="AU57" s="151">
        <v>11.6</v>
      </c>
      <c r="AV57" s="151" t="s">
        <v>1675</v>
      </c>
      <c r="AW57" s="151">
        <v>4582</v>
      </c>
      <c r="AX57" s="151" t="s">
        <v>1718</v>
      </c>
      <c r="AY57" s="151">
        <v>3786</v>
      </c>
      <c r="AZ57" s="151" t="s">
        <v>1718</v>
      </c>
      <c r="BB57" s="155">
        <f t="shared" si="7"/>
        <v>0.65</v>
      </c>
      <c r="BC57" s="156">
        <f t="shared" si="8"/>
        <v>11.6</v>
      </c>
      <c r="BE57" s="150">
        <v>650</v>
      </c>
      <c r="BF57" s="151" t="s">
        <v>162</v>
      </c>
      <c r="BG57" s="152">
        <v>506.2</v>
      </c>
      <c r="BH57" s="152">
        <v>8.0410000000000004</v>
      </c>
      <c r="BI57" s="151">
        <v>1.8</v>
      </c>
      <c r="BJ57" s="151" t="s">
        <v>1675</v>
      </c>
      <c r="BK57" s="151">
        <v>1145</v>
      </c>
      <c r="BL57" s="151" t="s">
        <v>1718</v>
      </c>
      <c r="BM57" s="151">
        <v>1437</v>
      </c>
      <c r="BN57" s="151" t="s">
        <v>1718</v>
      </c>
      <c r="BP57" s="155">
        <f t="shared" si="9"/>
        <v>0.65</v>
      </c>
      <c r="BQ57" s="156">
        <f t="shared" si="10"/>
        <v>1.8</v>
      </c>
      <c r="BS57" s="150">
        <v>650</v>
      </c>
      <c r="BT57" s="151" t="s">
        <v>162</v>
      </c>
      <c r="BU57" s="152">
        <v>562.79999999999995</v>
      </c>
      <c r="BV57" s="152">
        <v>22.76</v>
      </c>
      <c r="BW57" s="151">
        <v>1.53</v>
      </c>
      <c r="BX57" s="151" t="s">
        <v>1675</v>
      </c>
      <c r="BY57" s="151">
        <v>1200</v>
      </c>
      <c r="BZ57" s="151" t="s">
        <v>1718</v>
      </c>
      <c r="CA57" s="151">
        <v>1435</v>
      </c>
      <c r="CB57" s="151" t="s">
        <v>1718</v>
      </c>
      <c r="CD57" s="155">
        <f t="shared" si="11"/>
        <v>0.65</v>
      </c>
      <c r="CE57" s="156">
        <f t="shared" si="12"/>
        <v>1.53</v>
      </c>
      <c r="CG57" s="150">
        <v>650</v>
      </c>
      <c r="CH57" s="151" t="s">
        <v>162</v>
      </c>
      <c r="CI57" s="152">
        <v>518.5</v>
      </c>
      <c r="CJ57" s="152">
        <v>30.79</v>
      </c>
      <c r="CK57" s="151">
        <v>1.6</v>
      </c>
      <c r="CL57" s="151" t="s">
        <v>1675</v>
      </c>
      <c r="CM57" s="151">
        <v>1332</v>
      </c>
      <c r="CN57" s="151" t="s">
        <v>1718</v>
      </c>
      <c r="CO57" s="151">
        <v>1561</v>
      </c>
      <c r="CP57" s="151" t="s">
        <v>1718</v>
      </c>
      <c r="CR57" s="155">
        <f t="shared" si="20"/>
        <v>0.65</v>
      </c>
      <c r="CS57" s="156">
        <f t="shared" si="13"/>
        <v>1.6</v>
      </c>
      <c r="CU57" s="151">
        <v>650</v>
      </c>
      <c r="CV57" s="152" t="s">
        <v>162</v>
      </c>
      <c r="CW57" s="152">
        <v>619</v>
      </c>
      <c r="CX57" s="152">
        <v>133.9</v>
      </c>
      <c r="CY57" s="151">
        <v>9388</v>
      </c>
      <c r="CZ57" s="151" t="s">
        <v>1718</v>
      </c>
      <c r="DA57" s="151">
        <v>918</v>
      </c>
      <c r="DB57" s="151" t="s">
        <v>1718</v>
      </c>
      <c r="DC57" s="151">
        <v>954</v>
      </c>
      <c r="DD57" t="s">
        <v>1718</v>
      </c>
      <c r="DF57" s="155">
        <f t="shared" si="14"/>
        <v>0.65</v>
      </c>
      <c r="DG57" s="156">
        <f t="shared" si="17"/>
        <v>0.93880000000000008</v>
      </c>
      <c r="DI57" s="151">
        <v>650</v>
      </c>
      <c r="DJ57" s="152" t="s">
        <v>162</v>
      </c>
      <c r="DK57" s="152">
        <v>602.4</v>
      </c>
      <c r="DL57" s="152">
        <v>129.69999999999999</v>
      </c>
      <c r="DM57" s="151">
        <v>9542</v>
      </c>
      <c r="DN57" s="151" t="s">
        <v>1718</v>
      </c>
      <c r="DO57" s="151">
        <v>887</v>
      </c>
      <c r="DP57" s="151" t="s">
        <v>1718</v>
      </c>
      <c r="DQ57" s="151">
        <v>924</v>
      </c>
      <c r="DR57" t="s">
        <v>1718</v>
      </c>
      <c r="DT57" s="155">
        <f t="shared" si="15"/>
        <v>0.65</v>
      </c>
      <c r="DU57" s="156">
        <f t="shared" si="18"/>
        <v>0.95420000000000005</v>
      </c>
      <c r="DW57" s="401">
        <v>650</v>
      </c>
      <c r="DX57" s="401" t="s">
        <v>162</v>
      </c>
      <c r="DY57" s="402">
        <v>407.9</v>
      </c>
      <c r="DZ57" s="402">
        <v>2.4750000000000001</v>
      </c>
      <c r="EA57" s="401">
        <v>2.48</v>
      </c>
      <c r="EB57" s="401" t="s">
        <v>1675</v>
      </c>
      <c r="EC57" s="401">
        <v>1445</v>
      </c>
      <c r="ED57" s="401" t="s">
        <v>1718</v>
      </c>
      <c r="EE57" s="401">
        <v>1911</v>
      </c>
      <c r="EF57" s="403" t="s">
        <v>1718</v>
      </c>
      <c r="EH57" s="155">
        <f t="shared" si="16"/>
        <v>0.65</v>
      </c>
      <c r="EI57" s="156">
        <f t="shared" si="19"/>
        <v>2.48</v>
      </c>
    </row>
    <row r="58" spans="1:139" x14ac:dyDescent="0.2">
      <c r="A58" s="150">
        <v>700</v>
      </c>
      <c r="B58" s="151" t="s">
        <v>162</v>
      </c>
      <c r="C58" s="152">
        <v>517.79999999999995</v>
      </c>
      <c r="D58" s="152">
        <v>34.28</v>
      </c>
      <c r="E58" s="151">
        <v>1.71</v>
      </c>
      <c r="F58" s="151" t="s">
        <v>1675</v>
      </c>
      <c r="G58" s="151">
        <v>1490</v>
      </c>
      <c r="H58" s="151" t="s">
        <v>1718</v>
      </c>
      <c r="I58" s="151">
        <v>1746</v>
      </c>
      <c r="J58" s="151" t="s">
        <v>1718</v>
      </c>
      <c r="L58" s="155">
        <f t="shared" si="1"/>
        <v>0.70000000000000007</v>
      </c>
      <c r="M58" s="156">
        <f t="shared" si="2"/>
        <v>1.71</v>
      </c>
      <c r="N58" s="275"/>
      <c r="O58" s="150">
        <v>700</v>
      </c>
      <c r="P58" s="151" t="s">
        <v>162</v>
      </c>
      <c r="Q58" s="152">
        <v>588.79999999999995</v>
      </c>
      <c r="R58" s="152">
        <v>25.79</v>
      </c>
      <c r="S58" s="151">
        <v>1.61</v>
      </c>
      <c r="T58" s="151" t="s">
        <v>1675</v>
      </c>
      <c r="U58" s="151">
        <v>1312</v>
      </c>
      <c r="V58" s="151" t="s">
        <v>1718</v>
      </c>
      <c r="W58" s="151">
        <v>1565</v>
      </c>
      <c r="X58" s="151" t="s">
        <v>1718</v>
      </c>
      <c r="Z58" s="155">
        <f t="shared" si="3"/>
        <v>0.70000000000000007</v>
      </c>
      <c r="AA58" s="156">
        <f t="shared" si="4"/>
        <v>1.61</v>
      </c>
      <c r="AB58" s="275"/>
      <c r="AC58" s="150">
        <v>700</v>
      </c>
      <c r="AD58" s="151" t="s">
        <v>162</v>
      </c>
      <c r="AE58" s="152">
        <v>253.8</v>
      </c>
      <c r="AF58" s="152">
        <v>0.39290000000000003</v>
      </c>
      <c r="AG58" s="151">
        <v>3.57</v>
      </c>
      <c r="AH58" s="151" t="s">
        <v>1675</v>
      </c>
      <c r="AI58" s="151">
        <v>1506</v>
      </c>
      <c r="AJ58" s="151" t="s">
        <v>1718</v>
      </c>
      <c r="AK58" s="151">
        <v>1932</v>
      </c>
      <c r="AL58" s="151" t="s">
        <v>1718</v>
      </c>
      <c r="AN58" s="155">
        <f t="shared" si="5"/>
        <v>0.70000000000000007</v>
      </c>
      <c r="AO58" s="156">
        <f t="shared" si="6"/>
        <v>3.57</v>
      </c>
      <c r="AP58" s="275"/>
      <c r="AQ58" s="150">
        <v>700</v>
      </c>
      <c r="AR58" s="151" t="s">
        <v>162</v>
      </c>
      <c r="AS58" s="152">
        <v>34.22</v>
      </c>
      <c r="AT58" s="152">
        <v>2.9479999999999999E-2</v>
      </c>
      <c r="AU58" s="151">
        <v>13.02</v>
      </c>
      <c r="AV58" s="151" t="s">
        <v>1675</v>
      </c>
      <c r="AW58" s="151">
        <v>5065</v>
      </c>
      <c r="AX58" s="151" t="s">
        <v>1718</v>
      </c>
      <c r="AY58" s="151">
        <v>4170</v>
      </c>
      <c r="AZ58" s="151" t="s">
        <v>1718</v>
      </c>
      <c r="BB58" s="155">
        <f t="shared" si="7"/>
        <v>0.70000000000000007</v>
      </c>
      <c r="BC58" s="156">
        <f t="shared" si="8"/>
        <v>13.02</v>
      </c>
      <c r="BE58" s="150">
        <v>700</v>
      </c>
      <c r="BF58" s="151" t="s">
        <v>162</v>
      </c>
      <c r="BG58" s="152">
        <v>524.20000000000005</v>
      </c>
      <c r="BH58" s="152">
        <v>7.5869999999999997</v>
      </c>
      <c r="BI58" s="151">
        <v>1.9</v>
      </c>
      <c r="BJ58" s="151" t="s">
        <v>1675</v>
      </c>
      <c r="BK58" s="151">
        <v>1166</v>
      </c>
      <c r="BL58" s="151" t="s">
        <v>1718</v>
      </c>
      <c r="BM58" s="151">
        <v>1472</v>
      </c>
      <c r="BN58" s="151" t="s">
        <v>1718</v>
      </c>
      <c r="BP58" s="155">
        <f t="shared" si="9"/>
        <v>0.70000000000000007</v>
      </c>
      <c r="BQ58" s="156">
        <f t="shared" si="10"/>
        <v>1.9</v>
      </c>
      <c r="BS58" s="150">
        <v>700</v>
      </c>
      <c r="BT58" s="151" t="s">
        <v>162</v>
      </c>
      <c r="BU58" s="152">
        <v>582.1</v>
      </c>
      <c r="BV58" s="152">
        <v>21.54</v>
      </c>
      <c r="BW58" s="151">
        <v>1.61</v>
      </c>
      <c r="BX58" s="151" t="s">
        <v>1675</v>
      </c>
      <c r="BY58" s="151">
        <v>1224</v>
      </c>
      <c r="BZ58" s="151" t="s">
        <v>1718</v>
      </c>
      <c r="CA58" s="151">
        <v>1476</v>
      </c>
      <c r="CB58" s="151" t="s">
        <v>1718</v>
      </c>
      <c r="CD58" s="155">
        <f t="shared" si="11"/>
        <v>0.70000000000000007</v>
      </c>
      <c r="CE58" s="156">
        <f t="shared" si="12"/>
        <v>1.61</v>
      </c>
      <c r="CG58" s="150">
        <v>700</v>
      </c>
      <c r="CH58" s="151" t="s">
        <v>162</v>
      </c>
      <c r="CI58" s="152">
        <v>540.6</v>
      </c>
      <c r="CJ58" s="152">
        <v>29.17</v>
      </c>
      <c r="CK58" s="151">
        <v>1.69</v>
      </c>
      <c r="CL58" s="151" t="s">
        <v>1675</v>
      </c>
      <c r="CM58" s="151">
        <v>1361</v>
      </c>
      <c r="CN58" s="151" t="s">
        <v>1718</v>
      </c>
      <c r="CO58" s="151">
        <v>1611</v>
      </c>
      <c r="CP58" s="151" t="s">
        <v>1718</v>
      </c>
      <c r="CR58" s="155">
        <f t="shared" si="20"/>
        <v>0.70000000000000007</v>
      </c>
      <c r="CS58" s="156">
        <f t="shared" si="13"/>
        <v>1.69</v>
      </c>
      <c r="CU58" s="151">
        <v>700</v>
      </c>
      <c r="CV58" s="152" t="s">
        <v>162</v>
      </c>
      <c r="CW58" s="152">
        <v>638.4</v>
      </c>
      <c r="CX58" s="152">
        <v>127.8</v>
      </c>
      <c r="CY58" s="151">
        <v>1</v>
      </c>
      <c r="CZ58" s="151" t="s">
        <v>1675</v>
      </c>
      <c r="DA58" s="151">
        <v>954</v>
      </c>
      <c r="DB58" s="151" t="s">
        <v>1718</v>
      </c>
      <c r="DC58" s="151">
        <v>1002</v>
      </c>
      <c r="DD58" t="s">
        <v>1718</v>
      </c>
      <c r="DF58" s="155">
        <f t="shared" si="14"/>
        <v>0.70000000000000007</v>
      </c>
      <c r="DG58" s="156">
        <f t="shared" si="17"/>
        <v>1</v>
      </c>
      <c r="DI58" s="151">
        <v>700</v>
      </c>
      <c r="DJ58" s="152" t="s">
        <v>162</v>
      </c>
      <c r="DK58" s="152">
        <v>620.20000000000005</v>
      </c>
      <c r="DL58" s="152">
        <v>123.8</v>
      </c>
      <c r="DM58" s="151">
        <v>1.02</v>
      </c>
      <c r="DN58" s="151" t="s">
        <v>1675</v>
      </c>
      <c r="DO58" s="151">
        <v>922</v>
      </c>
      <c r="DP58" s="151" t="s">
        <v>1718</v>
      </c>
      <c r="DQ58" s="151">
        <v>971</v>
      </c>
      <c r="DR58" t="s">
        <v>1718</v>
      </c>
      <c r="DT58" s="155">
        <f t="shared" si="15"/>
        <v>0.70000000000000007</v>
      </c>
      <c r="DU58" s="156">
        <f t="shared" si="18"/>
        <v>1.02</v>
      </c>
      <c r="DW58" s="401">
        <v>700</v>
      </c>
      <c r="DX58" s="401" t="s">
        <v>162</v>
      </c>
      <c r="DY58" s="402">
        <v>423.6</v>
      </c>
      <c r="DZ58" s="402">
        <v>2.33</v>
      </c>
      <c r="EA58" s="401">
        <v>2.6</v>
      </c>
      <c r="EB58" s="401" t="s">
        <v>1675</v>
      </c>
      <c r="EC58" s="401">
        <v>1465</v>
      </c>
      <c r="ED58" s="401" t="s">
        <v>1718</v>
      </c>
      <c r="EE58" s="401">
        <v>1944</v>
      </c>
      <c r="EF58" s="403" t="s">
        <v>1718</v>
      </c>
      <c r="EH58" s="155">
        <f t="shared" si="16"/>
        <v>0.70000000000000007</v>
      </c>
      <c r="EI58" s="156">
        <f t="shared" si="19"/>
        <v>2.6</v>
      </c>
    </row>
    <row r="59" spans="1:139" x14ac:dyDescent="0.2">
      <c r="A59" s="150">
        <v>800</v>
      </c>
      <c r="B59" s="151" t="s">
        <v>162</v>
      </c>
      <c r="C59" s="152">
        <v>560.5</v>
      </c>
      <c r="D59" s="152">
        <v>31.1</v>
      </c>
      <c r="E59" s="151">
        <v>1.88</v>
      </c>
      <c r="F59" s="151" t="s">
        <v>1675</v>
      </c>
      <c r="G59" s="151">
        <v>1558</v>
      </c>
      <c r="H59" s="151" t="s">
        <v>1718</v>
      </c>
      <c r="I59" s="151">
        <v>1847</v>
      </c>
      <c r="J59" s="151" t="s">
        <v>1718</v>
      </c>
      <c r="L59" s="155">
        <f t="shared" si="1"/>
        <v>0.8</v>
      </c>
      <c r="M59" s="156">
        <f t="shared" si="2"/>
        <v>1.88</v>
      </c>
      <c r="N59" s="275"/>
      <c r="O59" s="150">
        <v>800</v>
      </c>
      <c r="P59" s="151" t="s">
        <v>162</v>
      </c>
      <c r="Q59" s="152">
        <v>633.20000000000005</v>
      </c>
      <c r="R59" s="152">
        <v>23.36</v>
      </c>
      <c r="S59" s="151">
        <v>1.77</v>
      </c>
      <c r="T59" s="151" t="s">
        <v>1675</v>
      </c>
      <c r="U59" s="151">
        <v>1365</v>
      </c>
      <c r="V59" s="151" t="s">
        <v>1718</v>
      </c>
      <c r="W59" s="151">
        <v>1645</v>
      </c>
      <c r="X59" s="151" t="s">
        <v>1718</v>
      </c>
      <c r="Z59" s="155">
        <f t="shared" si="3"/>
        <v>0.8</v>
      </c>
      <c r="AA59" s="156">
        <f t="shared" si="4"/>
        <v>1.77</v>
      </c>
      <c r="AB59" s="275"/>
      <c r="AC59" s="150">
        <v>800</v>
      </c>
      <c r="AD59" s="151" t="s">
        <v>162</v>
      </c>
      <c r="AE59" s="152">
        <v>248.2</v>
      </c>
      <c r="AF59" s="152">
        <v>0.35089999999999999</v>
      </c>
      <c r="AG59" s="151">
        <v>3.97</v>
      </c>
      <c r="AH59" s="151" t="s">
        <v>1675</v>
      </c>
      <c r="AI59" s="151">
        <v>1622</v>
      </c>
      <c r="AJ59" s="151" t="s">
        <v>1718</v>
      </c>
      <c r="AK59" s="151">
        <v>1990</v>
      </c>
      <c r="AL59" s="151" t="s">
        <v>1718</v>
      </c>
      <c r="AN59" s="155">
        <f t="shared" si="5"/>
        <v>0.8</v>
      </c>
      <c r="AO59" s="156">
        <f t="shared" si="6"/>
        <v>3.97</v>
      </c>
      <c r="AP59" s="275"/>
      <c r="AQ59" s="150">
        <v>800</v>
      </c>
      <c r="AR59" s="151" t="s">
        <v>162</v>
      </c>
      <c r="AS59" s="152">
        <v>31.3</v>
      </c>
      <c r="AT59" s="152">
        <v>2.623E-2</v>
      </c>
      <c r="AU59" s="151">
        <v>16.07</v>
      </c>
      <c r="AV59" s="151" t="s">
        <v>1675</v>
      </c>
      <c r="AW59" s="151">
        <v>6761</v>
      </c>
      <c r="AX59" s="151" t="s">
        <v>1718</v>
      </c>
      <c r="AY59" s="151">
        <v>4991</v>
      </c>
      <c r="AZ59" s="151" t="s">
        <v>1718</v>
      </c>
      <c r="BB59" s="155">
        <f t="shared" si="7"/>
        <v>0.8</v>
      </c>
      <c r="BC59" s="156">
        <f t="shared" si="8"/>
        <v>16.07</v>
      </c>
      <c r="BE59" s="150">
        <v>800</v>
      </c>
      <c r="BF59" s="151" t="s">
        <v>162</v>
      </c>
      <c r="BG59" s="152">
        <v>558.5</v>
      </c>
      <c r="BH59" s="152">
        <v>6.8289999999999997</v>
      </c>
      <c r="BI59" s="151">
        <v>2.08</v>
      </c>
      <c r="BJ59" s="151" t="s">
        <v>1675</v>
      </c>
      <c r="BK59" s="151">
        <v>1217</v>
      </c>
      <c r="BL59" s="151" t="s">
        <v>1718</v>
      </c>
      <c r="BM59" s="151">
        <v>1533</v>
      </c>
      <c r="BN59" s="151" t="s">
        <v>1718</v>
      </c>
      <c r="BP59" s="155">
        <f t="shared" si="9"/>
        <v>0.8</v>
      </c>
      <c r="BQ59" s="156">
        <f t="shared" si="10"/>
        <v>2.08</v>
      </c>
      <c r="BS59" s="150">
        <v>800</v>
      </c>
      <c r="BT59" s="151" t="s">
        <v>162</v>
      </c>
      <c r="BU59" s="152">
        <v>619.9</v>
      </c>
      <c r="BV59" s="152">
        <v>19.489999999999998</v>
      </c>
      <c r="BW59" s="151">
        <v>1.77</v>
      </c>
      <c r="BX59" s="151" t="s">
        <v>1675</v>
      </c>
      <c r="BY59" s="151">
        <v>1276</v>
      </c>
      <c r="BZ59" s="151" t="s">
        <v>1718</v>
      </c>
      <c r="CA59" s="151">
        <v>1549</v>
      </c>
      <c r="CB59" s="151" t="s">
        <v>1718</v>
      </c>
      <c r="CD59" s="155">
        <f t="shared" si="11"/>
        <v>0.8</v>
      </c>
      <c r="CE59" s="156">
        <f t="shared" si="12"/>
        <v>1.77</v>
      </c>
      <c r="CG59" s="150">
        <v>800</v>
      </c>
      <c r="CH59" s="151" t="s">
        <v>162</v>
      </c>
      <c r="CI59" s="152">
        <v>582.29999999999995</v>
      </c>
      <c r="CJ59" s="152">
        <v>26.44</v>
      </c>
      <c r="CK59" s="151">
        <v>1.85</v>
      </c>
      <c r="CL59" s="151" t="s">
        <v>1675</v>
      </c>
      <c r="CM59" s="151">
        <v>1422</v>
      </c>
      <c r="CN59" s="151" t="s">
        <v>1718</v>
      </c>
      <c r="CO59" s="151">
        <v>1700</v>
      </c>
      <c r="CP59" s="151" t="s">
        <v>1718</v>
      </c>
      <c r="CR59" s="155">
        <f t="shared" si="20"/>
        <v>0.8</v>
      </c>
      <c r="CS59" s="156">
        <f t="shared" si="13"/>
        <v>1.85</v>
      </c>
      <c r="CU59" s="151">
        <v>800</v>
      </c>
      <c r="CV59" s="152" t="s">
        <v>162</v>
      </c>
      <c r="CW59" s="152">
        <v>676.4</v>
      </c>
      <c r="CX59" s="152">
        <v>117.4</v>
      </c>
      <c r="CY59" s="151">
        <v>1.1299999999999999</v>
      </c>
      <c r="CZ59" s="151" t="s">
        <v>1675</v>
      </c>
      <c r="DA59" s="151">
        <v>1025</v>
      </c>
      <c r="DB59" s="151" t="s">
        <v>1718</v>
      </c>
      <c r="DC59" s="151">
        <v>1091</v>
      </c>
      <c r="DD59" t="s">
        <v>1718</v>
      </c>
      <c r="DF59" s="155">
        <f t="shared" si="14"/>
        <v>0.8</v>
      </c>
      <c r="DG59" s="156">
        <f t="shared" si="17"/>
        <v>1.1299999999999999</v>
      </c>
      <c r="DI59" s="151">
        <v>800</v>
      </c>
      <c r="DJ59" s="152" t="s">
        <v>162</v>
      </c>
      <c r="DK59" s="152">
        <v>654.6</v>
      </c>
      <c r="DL59" s="152">
        <v>113.7</v>
      </c>
      <c r="DM59" s="151">
        <v>1.1499999999999999</v>
      </c>
      <c r="DN59" s="151" t="s">
        <v>1675</v>
      </c>
      <c r="DO59" s="151">
        <v>995</v>
      </c>
      <c r="DP59" s="151" t="s">
        <v>1718</v>
      </c>
      <c r="DQ59" s="151">
        <v>1059</v>
      </c>
      <c r="DR59" t="s">
        <v>1718</v>
      </c>
      <c r="DT59" s="155">
        <f t="shared" si="15"/>
        <v>0.8</v>
      </c>
      <c r="DU59" s="156">
        <f t="shared" si="18"/>
        <v>1.1499999999999999</v>
      </c>
      <c r="DW59" s="401">
        <v>800</v>
      </c>
      <c r="DX59" s="401" t="s">
        <v>162</v>
      </c>
      <c r="DY59" s="402">
        <v>452.9</v>
      </c>
      <c r="DZ59" s="402">
        <v>2.089</v>
      </c>
      <c r="EA59" s="401">
        <v>2.82</v>
      </c>
      <c r="EB59" s="401" t="s">
        <v>1675</v>
      </c>
      <c r="EC59" s="401">
        <v>1518</v>
      </c>
      <c r="ED59" s="401" t="s">
        <v>1718</v>
      </c>
      <c r="EE59" s="401">
        <v>2002</v>
      </c>
      <c r="EF59" s="403" t="s">
        <v>1718</v>
      </c>
      <c r="EH59" s="155">
        <f t="shared" si="16"/>
        <v>0.8</v>
      </c>
      <c r="EI59" s="156">
        <f t="shared" si="19"/>
        <v>2.82</v>
      </c>
    </row>
    <row r="60" spans="1:139" x14ac:dyDescent="0.2">
      <c r="A60" s="150">
        <v>900</v>
      </c>
      <c r="B60" s="151" t="s">
        <v>162</v>
      </c>
      <c r="C60" s="152">
        <v>601.70000000000005</v>
      </c>
      <c r="D60" s="152">
        <v>28.52</v>
      </c>
      <c r="E60" s="151">
        <v>2.04</v>
      </c>
      <c r="F60" s="151" t="s">
        <v>1675</v>
      </c>
      <c r="G60" s="151">
        <v>1614</v>
      </c>
      <c r="H60" s="151" t="s">
        <v>1718</v>
      </c>
      <c r="I60" s="151">
        <v>1935</v>
      </c>
      <c r="J60" s="151" t="s">
        <v>1718</v>
      </c>
      <c r="L60" s="155">
        <f t="shared" si="1"/>
        <v>0.9</v>
      </c>
      <c r="M60" s="156">
        <f t="shared" si="2"/>
        <v>2.04</v>
      </c>
      <c r="N60" s="275"/>
      <c r="O60" s="150">
        <v>900</v>
      </c>
      <c r="P60" s="151" t="s">
        <v>162</v>
      </c>
      <c r="Q60" s="152">
        <v>674.6</v>
      </c>
      <c r="R60" s="152">
        <v>21.38</v>
      </c>
      <c r="S60" s="151">
        <v>1.91</v>
      </c>
      <c r="T60" s="151" t="s">
        <v>1675</v>
      </c>
      <c r="U60" s="151">
        <v>1410</v>
      </c>
      <c r="V60" s="151" t="s">
        <v>1718</v>
      </c>
      <c r="W60" s="151">
        <v>1715</v>
      </c>
      <c r="X60" s="151" t="s">
        <v>1718</v>
      </c>
      <c r="Z60" s="155">
        <f t="shared" si="3"/>
        <v>0.9</v>
      </c>
      <c r="AA60" s="156">
        <f t="shared" si="4"/>
        <v>1.91</v>
      </c>
      <c r="AB60" s="275"/>
      <c r="AC60" s="150">
        <v>900</v>
      </c>
      <c r="AD60" s="151" t="s">
        <v>162</v>
      </c>
      <c r="AE60" s="152">
        <v>241.3</v>
      </c>
      <c r="AF60" s="152">
        <v>0.31740000000000002</v>
      </c>
      <c r="AG60" s="151">
        <v>4.37</v>
      </c>
      <c r="AH60" s="151" t="s">
        <v>1675</v>
      </c>
      <c r="AI60" s="151">
        <v>1736</v>
      </c>
      <c r="AJ60" s="151" t="s">
        <v>1718</v>
      </c>
      <c r="AK60" s="151">
        <v>2046</v>
      </c>
      <c r="AL60" s="151" t="s">
        <v>1718</v>
      </c>
      <c r="AN60" s="155">
        <f t="shared" si="5"/>
        <v>0.9</v>
      </c>
      <c r="AO60" s="156">
        <f t="shared" si="6"/>
        <v>4.37</v>
      </c>
      <c r="AP60" s="275"/>
      <c r="AQ60" s="150">
        <v>900</v>
      </c>
      <c r="AR60" s="151" t="s">
        <v>162</v>
      </c>
      <c r="AS60" s="152">
        <v>28.93</v>
      </c>
      <c r="AT60" s="152">
        <v>2.366E-2</v>
      </c>
      <c r="AU60" s="151">
        <v>19.38</v>
      </c>
      <c r="AV60" s="151" t="s">
        <v>1675</v>
      </c>
      <c r="AW60" s="151">
        <v>8341</v>
      </c>
      <c r="AX60" s="151" t="s">
        <v>1718</v>
      </c>
      <c r="AY60" s="151">
        <v>5877</v>
      </c>
      <c r="AZ60" s="151" t="s">
        <v>1718</v>
      </c>
      <c r="BB60" s="155">
        <f t="shared" si="7"/>
        <v>0.9</v>
      </c>
      <c r="BC60" s="156">
        <f t="shared" si="8"/>
        <v>19.38</v>
      </c>
      <c r="BE60" s="150">
        <v>900</v>
      </c>
      <c r="BF60" s="151" t="s">
        <v>162</v>
      </c>
      <c r="BG60" s="152">
        <v>591</v>
      </c>
      <c r="BH60" s="152">
        <v>6.22</v>
      </c>
      <c r="BI60" s="151">
        <v>2.25</v>
      </c>
      <c r="BJ60" s="151" t="s">
        <v>1675</v>
      </c>
      <c r="BK60" s="151">
        <v>1260</v>
      </c>
      <c r="BL60" s="151" t="s">
        <v>1718</v>
      </c>
      <c r="BM60" s="151">
        <v>1587</v>
      </c>
      <c r="BN60" s="151" t="s">
        <v>1718</v>
      </c>
      <c r="BP60" s="155">
        <f t="shared" si="9"/>
        <v>0.9</v>
      </c>
      <c r="BQ60" s="156">
        <f t="shared" si="10"/>
        <v>2.25</v>
      </c>
      <c r="BS60" s="150">
        <v>900</v>
      </c>
      <c r="BT60" s="151" t="s">
        <v>162</v>
      </c>
      <c r="BU60" s="152">
        <v>656.9</v>
      </c>
      <c r="BV60" s="152">
        <v>17.82</v>
      </c>
      <c r="BW60" s="151">
        <v>1.92</v>
      </c>
      <c r="BX60" s="151" t="s">
        <v>1675</v>
      </c>
      <c r="BY60" s="151">
        <v>1321</v>
      </c>
      <c r="BZ60" s="151" t="s">
        <v>1718</v>
      </c>
      <c r="CA60" s="151">
        <v>1612</v>
      </c>
      <c r="CB60" s="151" t="s">
        <v>1718</v>
      </c>
      <c r="CD60" s="155">
        <f t="shared" si="11"/>
        <v>0.9</v>
      </c>
      <c r="CE60" s="156">
        <f t="shared" si="12"/>
        <v>1.92</v>
      </c>
      <c r="CG60" s="150">
        <v>900</v>
      </c>
      <c r="CH60" s="151" t="s">
        <v>162</v>
      </c>
      <c r="CI60" s="152">
        <v>621.1</v>
      </c>
      <c r="CJ60" s="152">
        <v>24.22</v>
      </c>
      <c r="CK60" s="151">
        <v>2.0099999999999998</v>
      </c>
      <c r="CL60" s="151" t="s">
        <v>1675</v>
      </c>
      <c r="CM60" s="151">
        <v>1473</v>
      </c>
      <c r="CN60" s="151" t="s">
        <v>1718</v>
      </c>
      <c r="CO60" s="151">
        <v>1778</v>
      </c>
      <c r="CP60" s="151" t="s">
        <v>1718</v>
      </c>
      <c r="CR60" s="155">
        <f t="shared" si="20"/>
        <v>0.9</v>
      </c>
      <c r="CS60" s="156">
        <f t="shared" si="13"/>
        <v>2.0099999999999998</v>
      </c>
      <c r="CU60" s="151">
        <v>900</v>
      </c>
      <c r="CV60" s="152" t="s">
        <v>162</v>
      </c>
      <c r="CW60" s="152">
        <v>713.5</v>
      </c>
      <c r="CX60" s="152">
        <v>108.7</v>
      </c>
      <c r="CY60" s="151">
        <v>1.25</v>
      </c>
      <c r="CZ60" s="151" t="s">
        <v>1675</v>
      </c>
      <c r="DA60" s="151">
        <v>1088</v>
      </c>
      <c r="DB60" s="151" t="s">
        <v>1718</v>
      </c>
      <c r="DC60" s="151">
        <v>1173</v>
      </c>
      <c r="DD60" t="s">
        <v>1718</v>
      </c>
      <c r="DF60" s="155">
        <f t="shared" si="14"/>
        <v>0.9</v>
      </c>
      <c r="DG60" s="156">
        <f t="shared" si="17"/>
        <v>1.25</v>
      </c>
      <c r="DI60" s="151">
        <v>900</v>
      </c>
      <c r="DJ60" s="152" t="s">
        <v>162</v>
      </c>
      <c r="DK60" s="152">
        <v>687.4</v>
      </c>
      <c r="DL60" s="152">
        <v>105.3</v>
      </c>
      <c r="DM60" s="151">
        <v>1.28</v>
      </c>
      <c r="DN60" s="151" t="s">
        <v>1675</v>
      </c>
      <c r="DO60" s="151">
        <v>1059</v>
      </c>
      <c r="DP60" s="151" t="s">
        <v>1718</v>
      </c>
      <c r="DQ60" s="151">
        <v>1141</v>
      </c>
      <c r="DR60" t="s">
        <v>1718</v>
      </c>
      <c r="DT60" s="155">
        <f t="shared" si="15"/>
        <v>0.9</v>
      </c>
      <c r="DU60" s="156">
        <f t="shared" si="18"/>
        <v>1.28</v>
      </c>
      <c r="DW60" s="401">
        <v>900</v>
      </c>
      <c r="DX60" s="401" t="s">
        <v>162</v>
      </c>
      <c r="DY60" s="402">
        <v>479.2</v>
      </c>
      <c r="DZ60" s="402">
        <v>1.8959999999999999</v>
      </c>
      <c r="EA60" s="401">
        <v>3.03</v>
      </c>
      <c r="EB60" s="401" t="s">
        <v>1675</v>
      </c>
      <c r="EC60" s="401">
        <v>1563</v>
      </c>
      <c r="ED60" s="401" t="s">
        <v>1718</v>
      </c>
      <c r="EE60" s="401">
        <v>2052</v>
      </c>
      <c r="EF60" s="403" t="s">
        <v>1718</v>
      </c>
      <c r="EH60" s="155">
        <f t="shared" si="16"/>
        <v>0.9</v>
      </c>
      <c r="EI60" s="156">
        <f t="shared" si="19"/>
        <v>3.03</v>
      </c>
    </row>
    <row r="61" spans="1:139" x14ac:dyDescent="0.2">
      <c r="A61" s="150">
        <v>1</v>
      </c>
      <c r="B61" s="151" t="s">
        <v>593</v>
      </c>
      <c r="C61" s="152">
        <v>642</v>
      </c>
      <c r="D61" s="152">
        <v>26.37</v>
      </c>
      <c r="E61" s="151">
        <v>2.19</v>
      </c>
      <c r="F61" s="151" t="s">
        <v>1675</v>
      </c>
      <c r="G61" s="151">
        <v>1662</v>
      </c>
      <c r="H61" s="151" t="s">
        <v>1718</v>
      </c>
      <c r="I61" s="151">
        <v>2011</v>
      </c>
      <c r="J61" s="151" t="s">
        <v>1718</v>
      </c>
      <c r="L61" s="155">
        <f t="shared" si="1"/>
        <v>1</v>
      </c>
      <c r="M61" s="156">
        <f t="shared" si="2"/>
        <v>2.19</v>
      </c>
      <c r="N61" s="275"/>
      <c r="O61" s="150">
        <v>1</v>
      </c>
      <c r="P61" s="151" t="s">
        <v>593</v>
      </c>
      <c r="Q61" s="152">
        <v>713.6</v>
      </c>
      <c r="R61" s="152">
        <v>19.739999999999998</v>
      </c>
      <c r="S61" s="151">
        <v>2.0499999999999998</v>
      </c>
      <c r="T61" s="151" t="s">
        <v>1675</v>
      </c>
      <c r="U61" s="151">
        <v>1449</v>
      </c>
      <c r="V61" s="151" t="s">
        <v>1718</v>
      </c>
      <c r="W61" s="151">
        <v>1775</v>
      </c>
      <c r="X61" s="151" t="s">
        <v>1718</v>
      </c>
      <c r="Z61" s="155">
        <f t="shared" si="3"/>
        <v>1</v>
      </c>
      <c r="AA61" s="156">
        <f t="shared" si="4"/>
        <v>2.0499999999999998</v>
      </c>
      <c r="AB61" s="275"/>
      <c r="AC61" s="150">
        <v>1</v>
      </c>
      <c r="AD61" s="151" t="s">
        <v>593</v>
      </c>
      <c r="AE61" s="152">
        <v>233.8</v>
      </c>
      <c r="AF61" s="152">
        <v>0.29010000000000002</v>
      </c>
      <c r="AG61" s="151">
        <v>4.79</v>
      </c>
      <c r="AH61" s="151" t="s">
        <v>1675</v>
      </c>
      <c r="AI61" s="151">
        <v>1848</v>
      </c>
      <c r="AJ61" s="151" t="s">
        <v>1718</v>
      </c>
      <c r="AK61" s="151">
        <v>2101</v>
      </c>
      <c r="AL61" s="151" t="s">
        <v>1718</v>
      </c>
      <c r="AN61" s="155">
        <f t="shared" si="5"/>
        <v>1</v>
      </c>
      <c r="AO61" s="156">
        <f t="shared" si="6"/>
        <v>4.79</v>
      </c>
      <c r="AP61" s="275"/>
      <c r="AQ61" s="150">
        <v>1</v>
      </c>
      <c r="AR61" s="151" t="s">
        <v>593</v>
      </c>
      <c r="AS61" s="152">
        <v>26.96</v>
      </c>
      <c r="AT61" s="152">
        <v>2.1579999999999998E-2</v>
      </c>
      <c r="AU61" s="151">
        <v>22.96</v>
      </c>
      <c r="AV61" s="151" t="s">
        <v>1675</v>
      </c>
      <c r="AW61" s="151">
        <v>9869</v>
      </c>
      <c r="AX61" s="151" t="s">
        <v>1718</v>
      </c>
      <c r="AY61" s="151">
        <v>6826</v>
      </c>
      <c r="AZ61" s="151" t="s">
        <v>1718</v>
      </c>
      <c r="BB61" s="155">
        <f t="shared" si="7"/>
        <v>1</v>
      </c>
      <c r="BC61" s="156">
        <f t="shared" si="8"/>
        <v>22.96</v>
      </c>
      <c r="BE61" s="150">
        <v>1</v>
      </c>
      <c r="BF61" s="151" t="s">
        <v>593</v>
      </c>
      <c r="BG61" s="152">
        <v>621.9</v>
      </c>
      <c r="BH61" s="152">
        <v>5.718</v>
      </c>
      <c r="BI61" s="151">
        <v>2.41</v>
      </c>
      <c r="BJ61" s="151" t="s">
        <v>1675</v>
      </c>
      <c r="BK61" s="151">
        <v>1297</v>
      </c>
      <c r="BL61" s="151" t="s">
        <v>1718</v>
      </c>
      <c r="BM61" s="151">
        <v>1634</v>
      </c>
      <c r="BN61" s="151" t="s">
        <v>1718</v>
      </c>
      <c r="BP61" s="155">
        <f t="shared" si="9"/>
        <v>1</v>
      </c>
      <c r="BQ61" s="156">
        <f t="shared" si="10"/>
        <v>2.41</v>
      </c>
      <c r="BS61" s="150">
        <v>1</v>
      </c>
      <c r="BT61" s="151" t="s">
        <v>593</v>
      </c>
      <c r="BU61" s="152">
        <v>693.7</v>
      </c>
      <c r="BV61" s="152">
        <v>16.440000000000001</v>
      </c>
      <c r="BW61" s="151">
        <v>2.0699999999999998</v>
      </c>
      <c r="BX61" s="151" t="s">
        <v>1675</v>
      </c>
      <c r="BY61" s="151">
        <v>1359</v>
      </c>
      <c r="BZ61" s="151" t="s">
        <v>1718</v>
      </c>
      <c r="CA61" s="151">
        <v>1669</v>
      </c>
      <c r="CB61" s="151" t="s">
        <v>1718</v>
      </c>
      <c r="CD61" s="155">
        <f t="shared" si="11"/>
        <v>1</v>
      </c>
      <c r="CE61" s="156">
        <f t="shared" si="12"/>
        <v>2.0699999999999998</v>
      </c>
      <c r="CG61" s="150">
        <v>1</v>
      </c>
      <c r="CH61" s="151" t="s">
        <v>593</v>
      </c>
      <c r="CI61" s="152">
        <v>657.4</v>
      </c>
      <c r="CJ61" s="152">
        <v>22.38</v>
      </c>
      <c r="CK61" s="151">
        <v>2.16</v>
      </c>
      <c r="CL61" s="151" t="s">
        <v>1675</v>
      </c>
      <c r="CM61" s="151">
        <v>1517</v>
      </c>
      <c r="CN61" s="151" t="s">
        <v>1718</v>
      </c>
      <c r="CO61" s="151">
        <v>1846</v>
      </c>
      <c r="CP61" s="151" t="s">
        <v>1718</v>
      </c>
      <c r="CR61" s="155">
        <f t="shared" si="20"/>
        <v>1</v>
      </c>
      <c r="CS61" s="156">
        <f t="shared" si="13"/>
        <v>2.16</v>
      </c>
      <c r="CU61" s="151">
        <v>1</v>
      </c>
      <c r="CV61" s="152" t="s">
        <v>593</v>
      </c>
      <c r="CW61" s="152">
        <v>749.7</v>
      </c>
      <c r="CX61" s="152">
        <v>101.4</v>
      </c>
      <c r="CY61" s="151">
        <v>1.37</v>
      </c>
      <c r="CZ61" s="151" t="s">
        <v>1675</v>
      </c>
      <c r="DA61" s="151">
        <v>1144</v>
      </c>
      <c r="DB61" s="151" t="s">
        <v>1718</v>
      </c>
      <c r="DC61" s="151">
        <v>1249</v>
      </c>
      <c r="DD61" t="s">
        <v>1718</v>
      </c>
      <c r="DF61" s="155">
        <f t="shared" si="14"/>
        <v>1</v>
      </c>
      <c r="DG61" s="156">
        <f t="shared" si="17"/>
        <v>1.37</v>
      </c>
      <c r="DI61" s="151">
        <v>1</v>
      </c>
      <c r="DJ61" s="152" t="s">
        <v>593</v>
      </c>
      <c r="DK61" s="152">
        <v>718.6</v>
      </c>
      <c r="DL61" s="152">
        <v>98.22</v>
      </c>
      <c r="DM61" s="151">
        <v>1.4</v>
      </c>
      <c r="DN61" s="151" t="s">
        <v>1675</v>
      </c>
      <c r="DO61" s="151">
        <v>1116</v>
      </c>
      <c r="DP61" s="151" t="s">
        <v>1718</v>
      </c>
      <c r="DQ61" s="151">
        <v>1217</v>
      </c>
      <c r="DR61" t="s">
        <v>1718</v>
      </c>
      <c r="DT61" s="155">
        <f t="shared" si="15"/>
        <v>1</v>
      </c>
      <c r="DU61" s="156">
        <f t="shared" si="18"/>
        <v>1.4</v>
      </c>
      <c r="DW61" s="401">
        <v>1</v>
      </c>
      <c r="DX61" s="401" t="s">
        <v>593</v>
      </c>
      <c r="DY61" s="402">
        <v>502.4</v>
      </c>
      <c r="DZ61" s="402">
        <v>1.738</v>
      </c>
      <c r="EA61" s="401">
        <v>3.24</v>
      </c>
      <c r="EB61" s="401" t="s">
        <v>1675</v>
      </c>
      <c r="EC61" s="401">
        <v>1602</v>
      </c>
      <c r="ED61" s="401" t="s">
        <v>1718</v>
      </c>
      <c r="EE61" s="401">
        <v>2095</v>
      </c>
      <c r="EF61" s="403" t="s">
        <v>1718</v>
      </c>
      <c r="EH61" s="155">
        <f t="shared" si="16"/>
        <v>1</v>
      </c>
      <c r="EI61" s="156">
        <f t="shared" si="19"/>
        <v>3.24</v>
      </c>
    </row>
    <row r="62" spans="1:139" x14ac:dyDescent="0.2">
      <c r="A62" s="150">
        <v>1.1000000000000001</v>
      </c>
      <c r="B62" s="151" t="s">
        <v>593</v>
      </c>
      <c r="C62" s="152">
        <v>681.4</v>
      </c>
      <c r="D62" s="152">
        <v>24.55</v>
      </c>
      <c r="E62" s="151">
        <v>2.34</v>
      </c>
      <c r="F62" s="151" t="s">
        <v>1675</v>
      </c>
      <c r="G62" s="151">
        <v>1703</v>
      </c>
      <c r="H62" s="151" t="s">
        <v>1718</v>
      </c>
      <c r="I62" s="151">
        <v>2079</v>
      </c>
      <c r="J62" s="151" t="s">
        <v>1718</v>
      </c>
      <c r="L62" s="155">
        <f t="shared" si="1"/>
        <v>1.1000000000000001</v>
      </c>
      <c r="M62" s="156">
        <f t="shared" si="2"/>
        <v>2.34</v>
      </c>
      <c r="N62" s="275"/>
      <c r="O62" s="150">
        <v>1.1000000000000001</v>
      </c>
      <c r="P62" s="151" t="s">
        <v>593</v>
      </c>
      <c r="Q62" s="152">
        <v>750.7</v>
      </c>
      <c r="R62" s="152">
        <v>18.36</v>
      </c>
      <c r="S62" s="151">
        <v>2.1800000000000002</v>
      </c>
      <c r="T62" s="151" t="s">
        <v>1675</v>
      </c>
      <c r="U62" s="151">
        <v>1482</v>
      </c>
      <c r="V62" s="151" t="s">
        <v>1718</v>
      </c>
      <c r="W62" s="151">
        <v>1829</v>
      </c>
      <c r="X62" s="151" t="s">
        <v>1718</v>
      </c>
      <c r="Z62" s="155">
        <f t="shared" si="3"/>
        <v>1.1000000000000001</v>
      </c>
      <c r="AA62" s="156">
        <f t="shared" si="4"/>
        <v>2.1800000000000002</v>
      </c>
      <c r="AB62" s="275"/>
      <c r="AC62" s="150">
        <v>1.1000000000000001</v>
      </c>
      <c r="AD62" s="151" t="s">
        <v>593</v>
      </c>
      <c r="AE62" s="152">
        <v>226.3</v>
      </c>
      <c r="AF62" s="152">
        <v>0.26740000000000003</v>
      </c>
      <c r="AG62" s="151">
        <v>5.23</v>
      </c>
      <c r="AH62" s="151" t="s">
        <v>1675</v>
      </c>
      <c r="AI62" s="151">
        <v>1960</v>
      </c>
      <c r="AJ62" s="151" t="s">
        <v>1718</v>
      </c>
      <c r="AK62" s="151">
        <v>2156</v>
      </c>
      <c r="AL62" s="151" t="s">
        <v>1718</v>
      </c>
      <c r="AN62" s="155">
        <f t="shared" si="5"/>
        <v>1.1000000000000001</v>
      </c>
      <c r="AO62" s="156">
        <f t="shared" si="6"/>
        <v>5.23</v>
      </c>
      <c r="AP62" s="275"/>
      <c r="AQ62" s="150">
        <v>1.1000000000000001</v>
      </c>
      <c r="AR62" s="151" t="s">
        <v>593</v>
      </c>
      <c r="AS62" s="152">
        <v>25.66</v>
      </c>
      <c r="AT62" s="152">
        <v>1.984E-2</v>
      </c>
      <c r="AU62" s="151">
        <v>26.75</v>
      </c>
      <c r="AV62" s="151" t="s">
        <v>1675</v>
      </c>
      <c r="AW62" s="151">
        <v>1.1399999999999999</v>
      </c>
      <c r="AX62" s="151" t="s">
        <v>1675</v>
      </c>
      <c r="AY62" s="151">
        <v>7826</v>
      </c>
      <c r="AZ62" s="151" t="s">
        <v>1718</v>
      </c>
      <c r="BB62" s="155">
        <f t="shared" si="7"/>
        <v>1.1000000000000001</v>
      </c>
      <c r="BC62" s="156">
        <f t="shared" si="8"/>
        <v>26.75</v>
      </c>
      <c r="BE62" s="150">
        <v>1.1000000000000001</v>
      </c>
      <c r="BF62" s="151" t="s">
        <v>593</v>
      </c>
      <c r="BG62" s="152">
        <v>651.29999999999995</v>
      </c>
      <c r="BH62" s="152">
        <v>5.2969999999999997</v>
      </c>
      <c r="BI62" s="151">
        <v>2.57</v>
      </c>
      <c r="BJ62" s="151" t="s">
        <v>1675</v>
      </c>
      <c r="BK62" s="151">
        <v>1329</v>
      </c>
      <c r="BL62" s="151" t="s">
        <v>1718</v>
      </c>
      <c r="BM62" s="151">
        <v>1676</v>
      </c>
      <c r="BN62" s="151" t="s">
        <v>1718</v>
      </c>
      <c r="BP62" s="155">
        <f t="shared" si="9"/>
        <v>1.1000000000000001</v>
      </c>
      <c r="BQ62" s="156">
        <f t="shared" si="10"/>
        <v>2.57</v>
      </c>
      <c r="BS62" s="150">
        <v>1.1000000000000001</v>
      </c>
      <c r="BT62" s="151" t="s">
        <v>593</v>
      </c>
      <c r="BU62" s="152">
        <v>730.3</v>
      </c>
      <c r="BV62" s="152">
        <v>15.28</v>
      </c>
      <c r="BW62" s="151">
        <v>2.2000000000000002</v>
      </c>
      <c r="BX62" s="151" t="s">
        <v>1675</v>
      </c>
      <c r="BY62" s="151">
        <v>1392</v>
      </c>
      <c r="BZ62" s="151" t="s">
        <v>1718</v>
      </c>
      <c r="CA62" s="151">
        <v>1719</v>
      </c>
      <c r="CB62" s="151" t="s">
        <v>1718</v>
      </c>
      <c r="CD62" s="155">
        <f t="shared" si="11"/>
        <v>1.1000000000000001</v>
      </c>
      <c r="CE62" s="156">
        <f t="shared" si="12"/>
        <v>2.2000000000000002</v>
      </c>
      <c r="CG62" s="150">
        <v>1.1000000000000001</v>
      </c>
      <c r="CH62" s="151" t="s">
        <v>593</v>
      </c>
      <c r="CI62" s="152">
        <v>691.8</v>
      </c>
      <c r="CJ62" s="152">
        <v>20.82</v>
      </c>
      <c r="CK62" s="151">
        <v>2.2999999999999998</v>
      </c>
      <c r="CL62" s="151" t="s">
        <v>1675</v>
      </c>
      <c r="CM62" s="151">
        <v>1555</v>
      </c>
      <c r="CN62" s="151" t="s">
        <v>1718</v>
      </c>
      <c r="CO62" s="151">
        <v>1906</v>
      </c>
      <c r="CP62" s="151" t="s">
        <v>1718</v>
      </c>
      <c r="CR62" s="155">
        <f t="shared" si="20"/>
        <v>1.1000000000000001</v>
      </c>
      <c r="CS62" s="156">
        <f t="shared" si="13"/>
        <v>2.2999999999999998</v>
      </c>
      <c r="CU62" s="151">
        <v>1.1000000000000001</v>
      </c>
      <c r="CV62" s="152" t="s">
        <v>593</v>
      </c>
      <c r="CW62" s="152">
        <v>785.1</v>
      </c>
      <c r="CX62" s="152">
        <v>95.12</v>
      </c>
      <c r="CY62" s="151">
        <v>1.48</v>
      </c>
      <c r="CZ62" s="151" t="s">
        <v>1675</v>
      </c>
      <c r="DA62" s="151">
        <v>1194</v>
      </c>
      <c r="DB62" s="151" t="s">
        <v>1718</v>
      </c>
      <c r="DC62" s="151">
        <v>1318</v>
      </c>
      <c r="DD62" t="s">
        <v>1718</v>
      </c>
      <c r="DF62" s="155">
        <f t="shared" si="14"/>
        <v>1.1000000000000001</v>
      </c>
      <c r="DG62" s="156">
        <f t="shared" si="17"/>
        <v>1.48</v>
      </c>
      <c r="DI62" s="151">
        <v>1.1000000000000001</v>
      </c>
      <c r="DJ62" s="152" t="s">
        <v>593</v>
      </c>
      <c r="DK62" s="152">
        <v>748.4</v>
      </c>
      <c r="DL62" s="152">
        <v>92.14</v>
      </c>
      <c r="DM62" s="151">
        <v>1.52</v>
      </c>
      <c r="DN62" s="151" t="s">
        <v>1675</v>
      </c>
      <c r="DO62" s="151">
        <v>1167</v>
      </c>
      <c r="DP62" s="151" t="s">
        <v>1718</v>
      </c>
      <c r="DQ62" s="151">
        <v>1287</v>
      </c>
      <c r="DR62" t="s">
        <v>1718</v>
      </c>
      <c r="DT62" s="155">
        <f t="shared" si="15"/>
        <v>1.1000000000000001</v>
      </c>
      <c r="DU62" s="156">
        <f t="shared" si="18"/>
        <v>1.52</v>
      </c>
      <c r="DW62" s="401">
        <v>1.1000000000000001</v>
      </c>
      <c r="DX62" s="401" t="s">
        <v>593</v>
      </c>
      <c r="DY62" s="402">
        <v>522.5</v>
      </c>
      <c r="DZ62" s="402">
        <v>1.6060000000000001</v>
      </c>
      <c r="EA62" s="401">
        <v>3.43</v>
      </c>
      <c r="EB62" s="401" t="s">
        <v>1675</v>
      </c>
      <c r="EC62" s="401">
        <v>1636</v>
      </c>
      <c r="ED62" s="401" t="s">
        <v>1718</v>
      </c>
      <c r="EE62" s="401">
        <v>2134</v>
      </c>
      <c r="EF62" s="403" t="s">
        <v>1718</v>
      </c>
      <c r="EH62" s="155">
        <f t="shared" si="16"/>
        <v>1.1000000000000001</v>
      </c>
      <c r="EI62" s="156">
        <f t="shared" si="19"/>
        <v>3.43</v>
      </c>
    </row>
    <row r="63" spans="1:139" x14ac:dyDescent="0.2">
      <c r="A63" s="150">
        <v>1.2</v>
      </c>
      <c r="B63" s="151" t="s">
        <v>593</v>
      </c>
      <c r="C63" s="152">
        <v>720.3</v>
      </c>
      <c r="D63" s="152">
        <v>22.99</v>
      </c>
      <c r="E63" s="151">
        <v>2.4700000000000002</v>
      </c>
      <c r="F63" s="151" t="s">
        <v>1675</v>
      </c>
      <c r="G63" s="151">
        <v>1739</v>
      </c>
      <c r="H63" s="151" t="s">
        <v>1718</v>
      </c>
      <c r="I63" s="151">
        <v>2139</v>
      </c>
      <c r="J63" s="151" t="s">
        <v>1718</v>
      </c>
      <c r="L63" s="155">
        <f t="shared" si="1"/>
        <v>1.2</v>
      </c>
      <c r="M63" s="156">
        <f t="shared" si="2"/>
        <v>2.4700000000000002</v>
      </c>
      <c r="N63" s="275"/>
      <c r="O63" s="150">
        <v>1.2</v>
      </c>
      <c r="P63" s="151" t="s">
        <v>593</v>
      </c>
      <c r="Q63" s="152">
        <v>786.4</v>
      </c>
      <c r="R63" s="152">
        <v>17.170000000000002</v>
      </c>
      <c r="S63" s="151">
        <v>2.31</v>
      </c>
      <c r="T63" s="151" t="s">
        <v>1675</v>
      </c>
      <c r="U63" s="151">
        <v>1512</v>
      </c>
      <c r="V63" s="151" t="s">
        <v>1718</v>
      </c>
      <c r="W63" s="151">
        <v>1877</v>
      </c>
      <c r="X63" s="151" t="s">
        <v>1718</v>
      </c>
      <c r="Z63" s="155">
        <f t="shared" si="3"/>
        <v>1.2</v>
      </c>
      <c r="AA63" s="156">
        <f t="shared" si="4"/>
        <v>2.31</v>
      </c>
      <c r="AB63" s="275"/>
      <c r="AC63" s="150">
        <v>1.2</v>
      </c>
      <c r="AD63" s="151" t="s">
        <v>593</v>
      </c>
      <c r="AE63" s="152">
        <v>218.9</v>
      </c>
      <c r="AF63" s="152">
        <v>0.24809999999999999</v>
      </c>
      <c r="AG63" s="151">
        <v>5.68</v>
      </c>
      <c r="AH63" s="151" t="s">
        <v>1675</v>
      </c>
      <c r="AI63" s="151">
        <v>2073</v>
      </c>
      <c r="AJ63" s="151" t="s">
        <v>1718</v>
      </c>
      <c r="AK63" s="151">
        <v>2211</v>
      </c>
      <c r="AL63" s="151" t="s">
        <v>1718</v>
      </c>
      <c r="AN63" s="155">
        <f t="shared" si="5"/>
        <v>1.2</v>
      </c>
      <c r="AO63" s="156">
        <f t="shared" si="6"/>
        <v>5.68</v>
      </c>
      <c r="AP63" s="275"/>
      <c r="AQ63" s="150">
        <v>1.2</v>
      </c>
      <c r="AR63" s="151" t="s">
        <v>593</v>
      </c>
      <c r="AS63" s="152">
        <v>24.39</v>
      </c>
      <c r="AT63" s="152">
        <v>1.8380000000000001E-2</v>
      </c>
      <c r="AU63" s="151">
        <v>30.74</v>
      </c>
      <c r="AV63" s="151" t="s">
        <v>1675</v>
      </c>
      <c r="AW63" s="151">
        <v>1.28</v>
      </c>
      <c r="AX63" s="151" t="s">
        <v>1675</v>
      </c>
      <c r="AY63" s="151">
        <v>8869</v>
      </c>
      <c r="AZ63" s="151" t="s">
        <v>1718</v>
      </c>
      <c r="BB63" s="155">
        <f t="shared" si="7"/>
        <v>1.2</v>
      </c>
      <c r="BC63" s="156">
        <f t="shared" si="8"/>
        <v>30.74</v>
      </c>
      <c r="BE63" s="150">
        <v>1.2</v>
      </c>
      <c r="BF63" s="151" t="s">
        <v>593</v>
      </c>
      <c r="BG63" s="152">
        <v>679.1</v>
      </c>
      <c r="BH63" s="152">
        <v>4.9379999999999997</v>
      </c>
      <c r="BI63" s="151">
        <v>2.72</v>
      </c>
      <c r="BJ63" s="151" t="s">
        <v>1675</v>
      </c>
      <c r="BK63" s="151">
        <v>1358</v>
      </c>
      <c r="BL63" s="151" t="s">
        <v>1718</v>
      </c>
      <c r="BM63" s="151">
        <v>1714</v>
      </c>
      <c r="BN63" s="151" t="s">
        <v>1718</v>
      </c>
      <c r="BP63" s="155">
        <f t="shared" si="9"/>
        <v>1.2</v>
      </c>
      <c r="BQ63" s="156">
        <f t="shared" si="10"/>
        <v>2.72</v>
      </c>
      <c r="BS63" s="150">
        <v>1.2</v>
      </c>
      <c r="BT63" s="151" t="s">
        <v>593</v>
      </c>
      <c r="BU63" s="152">
        <v>766.8</v>
      </c>
      <c r="BV63" s="152">
        <v>14.29</v>
      </c>
      <c r="BW63" s="151">
        <v>2.33</v>
      </c>
      <c r="BX63" s="151" t="s">
        <v>1675</v>
      </c>
      <c r="BY63" s="151">
        <v>1421</v>
      </c>
      <c r="BZ63" s="151" t="s">
        <v>1718</v>
      </c>
      <c r="CA63" s="151">
        <v>1764</v>
      </c>
      <c r="CB63" s="151" t="s">
        <v>1718</v>
      </c>
      <c r="CD63" s="155">
        <f t="shared" si="11"/>
        <v>1.2</v>
      </c>
      <c r="CE63" s="156">
        <f t="shared" si="12"/>
        <v>2.33</v>
      </c>
      <c r="CG63" s="150">
        <v>1.2</v>
      </c>
      <c r="CH63" s="151" t="s">
        <v>593</v>
      </c>
      <c r="CI63" s="152">
        <v>724.6</v>
      </c>
      <c r="CJ63" s="152">
        <v>19.489999999999998</v>
      </c>
      <c r="CK63" s="151">
        <v>2.44</v>
      </c>
      <c r="CL63" s="151" t="s">
        <v>1675</v>
      </c>
      <c r="CM63" s="151">
        <v>1588</v>
      </c>
      <c r="CN63" s="151" t="s">
        <v>1718</v>
      </c>
      <c r="CO63" s="151">
        <v>1960</v>
      </c>
      <c r="CP63" s="151" t="s">
        <v>1718</v>
      </c>
      <c r="CR63" s="155">
        <f t="shared" si="20"/>
        <v>1.2</v>
      </c>
      <c r="CS63" s="156">
        <f t="shared" si="13"/>
        <v>2.44</v>
      </c>
      <c r="CU63" s="151">
        <v>1.2</v>
      </c>
      <c r="CV63" s="152" t="s">
        <v>593</v>
      </c>
      <c r="CW63" s="152">
        <v>819.8</v>
      </c>
      <c r="CX63" s="152">
        <v>89.66</v>
      </c>
      <c r="CY63" s="151">
        <v>1.59</v>
      </c>
      <c r="CZ63" s="151" t="s">
        <v>1675</v>
      </c>
      <c r="DA63" s="151">
        <v>1239</v>
      </c>
      <c r="DB63" s="151" t="s">
        <v>1718</v>
      </c>
      <c r="DC63" s="151">
        <v>1383</v>
      </c>
      <c r="DD63" t="s">
        <v>1718</v>
      </c>
      <c r="DF63" s="155">
        <f t="shared" si="14"/>
        <v>1.2</v>
      </c>
      <c r="DG63" s="156">
        <f t="shared" si="17"/>
        <v>1.59</v>
      </c>
      <c r="DI63" s="151">
        <v>1.2</v>
      </c>
      <c r="DJ63" s="152" t="s">
        <v>593</v>
      </c>
      <c r="DK63" s="152">
        <v>776.9</v>
      </c>
      <c r="DL63" s="152">
        <v>86.86</v>
      </c>
      <c r="DM63" s="151">
        <v>1.63</v>
      </c>
      <c r="DN63" s="151" t="s">
        <v>1675</v>
      </c>
      <c r="DO63" s="151">
        <v>1214</v>
      </c>
      <c r="DP63" s="151" t="s">
        <v>1718</v>
      </c>
      <c r="DQ63" s="151">
        <v>1353</v>
      </c>
      <c r="DR63" t="s">
        <v>1718</v>
      </c>
      <c r="DT63" s="155">
        <f t="shared" si="15"/>
        <v>1.2</v>
      </c>
      <c r="DU63" s="156">
        <f t="shared" si="18"/>
        <v>1.63</v>
      </c>
      <c r="DW63" s="401">
        <v>1.2</v>
      </c>
      <c r="DX63" s="401" t="s">
        <v>593</v>
      </c>
      <c r="DY63" s="402">
        <v>539.79999999999995</v>
      </c>
      <c r="DZ63" s="402">
        <v>1.494</v>
      </c>
      <c r="EA63" s="401">
        <v>3.62</v>
      </c>
      <c r="EB63" s="401" t="s">
        <v>1675</v>
      </c>
      <c r="EC63" s="401">
        <v>1667</v>
      </c>
      <c r="ED63" s="401" t="s">
        <v>1718</v>
      </c>
      <c r="EE63" s="401">
        <v>2168</v>
      </c>
      <c r="EF63" s="403" t="s">
        <v>1718</v>
      </c>
      <c r="EH63" s="155">
        <f t="shared" si="16"/>
        <v>1.2</v>
      </c>
      <c r="EI63" s="156">
        <f t="shared" si="19"/>
        <v>3.62</v>
      </c>
    </row>
    <row r="64" spans="1:139" x14ac:dyDescent="0.2">
      <c r="A64" s="150">
        <v>1.3</v>
      </c>
      <c r="B64" s="151" t="s">
        <v>593</v>
      </c>
      <c r="C64" s="152">
        <v>758.6</v>
      </c>
      <c r="D64" s="152">
        <v>21.63</v>
      </c>
      <c r="E64" s="151">
        <v>2.6</v>
      </c>
      <c r="F64" s="151" t="s">
        <v>1675</v>
      </c>
      <c r="G64" s="151">
        <v>1770</v>
      </c>
      <c r="H64" s="151" t="s">
        <v>1718</v>
      </c>
      <c r="I64" s="151">
        <v>2194</v>
      </c>
      <c r="J64" s="151" t="s">
        <v>1718</v>
      </c>
      <c r="L64" s="155">
        <f t="shared" si="1"/>
        <v>1.3</v>
      </c>
      <c r="M64" s="156">
        <f t="shared" si="2"/>
        <v>2.6</v>
      </c>
      <c r="N64" s="275"/>
      <c r="O64" s="150">
        <v>1.3</v>
      </c>
      <c r="P64" s="151" t="s">
        <v>593</v>
      </c>
      <c r="Q64" s="152">
        <v>820.8</v>
      </c>
      <c r="R64" s="152">
        <v>16.14</v>
      </c>
      <c r="S64" s="151">
        <v>2.4300000000000002</v>
      </c>
      <c r="T64" s="151" t="s">
        <v>1675</v>
      </c>
      <c r="U64" s="151">
        <v>1538</v>
      </c>
      <c r="V64" s="151" t="s">
        <v>1718</v>
      </c>
      <c r="W64" s="151">
        <v>1921</v>
      </c>
      <c r="X64" s="151" t="s">
        <v>1718</v>
      </c>
      <c r="Z64" s="155">
        <f t="shared" si="3"/>
        <v>1.3</v>
      </c>
      <c r="AA64" s="156">
        <f t="shared" si="4"/>
        <v>2.4300000000000002</v>
      </c>
      <c r="AB64" s="275"/>
      <c r="AC64" s="150">
        <v>1.3</v>
      </c>
      <c r="AD64" s="151" t="s">
        <v>593</v>
      </c>
      <c r="AE64" s="152">
        <v>211.8</v>
      </c>
      <c r="AF64" s="152">
        <v>0.2316</v>
      </c>
      <c r="AG64" s="151">
        <v>6.14</v>
      </c>
      <c r="AH64" s="151" t="s">
        <v>1675</v>
      </c>
      <c r="AI64" s="151">
        <v>2187</v>
      </c>
      <c r="AJ64" s="151" t="s">
        <v>1718</v>
      </c>
      <c r="AK64" s="151">
        <v>2267</v>
      </c>
      <c r="AL64" s="151" t="s">
        <v>1718</v>
      </c>
      <c r="AN64" s="155">
        <f t="shared" si="5"/>
        <v>1.3</v>
      </c>
      <c r="AO64" s="156">
        <f t="shared" si="6"/>
        <v>6.14</v>
      </c>
      <c r="AP64" s="275"/>
      <c r="AQ64" s="150">
        <v>1.3</v>
      </c>
      <c r="AR64" s="151" t="s">
        <v>593</v>
      </c>
      <c r="AS64" s="152">
        <v>23.04</v>
      </c>
      <c r="AT64" s="152">
        <v>1.7129999999999999E-2</v>
      </c>
      <c r="AU64" s="151">
        <v>34.950000000000003</v>
      </c>
      <c r="AV64" s="151" t="s">
        <v>1675</v>
      </c>
      <c r="AW64" s="151">
        <v>1.43</v>
      </c>
      <c r="AX64" s="151" t="s">
        <v>1675</v>
      </c>
      <c r="AY64" s="151">
        <v>9960</v>
      </c>
      <c r="AZ64" s="151" t="s">
        <v>1718</v>
      </c>
      <c r="BB64" s="155">
        <f t="shared" si="7"/>
        <v>1.3</v>
      </c>
      <c r="BC64" s="156">
        <f t="shared" si="8"/>
        <v>34.950000000000003</v>
      </c>
      <c r="BE64" s="150">
        <v>1.3</v>
      </c>
      <c r="BF64" s="151" t="s">
        <v>593</v>
      </c>
      <c r="BG64" s="152">
        <v>705.5</v>
      </c>
      <c r="BH64" s="152">
        <v>4.6289999999999996</v>
      </c>
      <c r="BI64" s="151">
        <v>2.86</v>
      </c>
      <c r="BJ64" s="151" t="s">
        <v>1675</v>
      </c>
      <c r="BK64" s="151">
        <v>1383</v>
      </c>
      <c r="BL64" s="151" t="s">
        <v>1718</v>
      </c>
      <c r="BM64" s="151">
        <v>1748</v>
      </c>
      <c r="BN64" s="151" t="s">
        <v>1718</v>
      </c>
      <c r="BP64" s="155">
        <f t="shared" si="9"/>
        <v>1.3</v>
      </c>
      <c r="BQ64" s="156">
        <f t="shared" si="10"/>
        <v>2.86</v>
      </c>
      <c r="BS64" s="150">
        <v>1.3</v>
      </c>
      <c r="BT64" s="151" t="s">
        <v>593</v>
      </c>
      <c r="BU64" s="152">
        <v>803.2</v>
      </c>
      <c r="BV64" s="152">
        <v>13.42</v>
      </c>
      <c r="BW64" s="151">
        <v>2.46</v>
      </c>
      <c r="BX64" s="151" t="s">
        <v>1675</v>
      </c>
      <c r="BY64" s="151">
        <v>1447</v>
      </c>
      <c r="BZ64" s="151" t="s">
        <v>1718</v>
      </c>
      <c r="CA64" s="151">
        <v>1804</v>
      </c>
      <c r="CB64" s="151" t="s">
        <v>1718</v>
      </c>
      <c r="CD64" s="155">
        <f t="shared" si="11"/>
        <v>1.3</v>
      </c>
      <c r="CE64" s="156">
        <f t="shared" si="12"/>
        <v>2.46</v>
      </c>
      <c r="CG64" s="150">
        <v>1.3</v>
      </c>
      <c r="CH64" s="151" t="s">
        <v>593</v>
      </c>
      <c r="CI64" s="152">
        <v>756.2</v>
      </c>
      <c r="CJ64" s="152">
        <v>18.329999999999998</v>
      </c>
      <c r="CK64" s="151">
        <v>2.57</v>
      </c>
      <c r="CL64" s="151" t="s">
        <v>1675</v>
      </c>
      <c r="CM64" s="151">
        <v>1618</v>
      </c>
      <c r="CN64" s="151" t="s">
        <v>1718</v>
      </c>
      <c r="CO64" s="151">
        <v>2009</v>
      </c>
      <c r="CP64" s="151" t="s">
        <v>1718</v>
      </c>
      <c r="CR64" s="155">
        <f t="shared" si="20"/>
        <v>1.3</v>
      </c>
      <c r="CS64" s="156">
        <f t="shared" si="13"/>
        <v>2.57</v>
      </c>
      <c r="CU64" s="151">
        <v>1.3</v>
      </c>
      <c r="CV64" s="152" t="s">
        <v>593</v>
      </c>
      <c r="CW64" s="152">
        <v>853.7</v>
      </c>
      <c r="CX64" s="152">
        <v>84.87</v>
      </c>
      <c r="CY64" s="151">
        <v>1.7</v>
      </c>
      <c r="CZ64" s="151" t="s">
        <v>1675</v>
      </c>
      <c r="DA64" s="151">
        <v>1280</v>
      </c>
      <c r="DB64" s="151" t="s">
        <v>1718</v>
      </c>
      <c r="DC64" s="151">
        <v>1443</v>
      </c>
      <c r="DD64" t="s">
        <v>1718</v>
      </c>
      <c r="DF64" s="155">
        <f t="shared" si="14"/>
        <v>1.3</v>
      </c>
      <c r="DG64" s="156">
        <f t="shared" si="17"/>
        <v>1.7</v>
      </c>
      <c r="DI64" s="151">
        <v>1.3</v>
      </c>
      <c r="DJ64" s="152" t="s">
        <v>593</v>
      </c>
      <c r="DK64" s="152">
        <v>804.1</v>
      </c>
      <c r="DL64" s="152">
        <v>82.22</v>
      </c>
      <c r="DM64" s="151">
        <v>1.75</v>
      </c>
      <c r="DN64" s="151" t="s">
        <v>1675</v>
      </c>
      <c r="DO64" s="151">
        <v>1257</v>
      </c>
      <c r="DP64" s="151" t="s">
        <v>1718</v>
      </c>
      <c r="DQ64" s="151">
        <v>1414</v>
      </c>
      <c r="DR64" t="s">
        <v>1718</v>
      </c>
      <c r="DT64" s="155">
        <f t="shared" si="15"/>
        <v>1.3</v>
      </c>
      <c r="DU64" s="156">
        <f t="shared" si="18"/>
        <v>1.75</v>
      </c>
      <c r="DW64" s="401">
        <v>1.3</v>
      </c>
      <c r="DX64" s="401" t="s">
        <v>593</v>
      </c>
      <c r="DY64" s="402">
        <v>554.4</v>
      </c>
      <c r="DZ64" s="402">
        <v>1.397</v>
      </c>
      <c r="EA64" s="401">
        <v>3.8</v>
      </c>
      <c r="EB64" s="401" t="s">
        <v>1675</v>
      </c>
      <c r="EC64" s="401">
        <v>1695</v>
      </c>
      <c r="ED64" s="401" t="s">
        <v>1718</v>
      </c>
      <c r="EE64" s="401">
        <v>2200</v>
      </c>
      <c r="EF64" s="403" t="s">
        <v>1718</v>
      </c>
      <c r="EH64" s="155">
        <f t="shared" si="16"/>
        <v>1.3</v>
      </c>
      <c r="EI64" s="156">
        <f t="shared" si="19"/>
        <v>3.8</v>
      </c>
    </row>
    <row r="65" spans="1:139" x14ac:dyDescent="0.2">
      <c r="A65" s="150">
        <v>1.4</v>
      </c>
      <c r="B65" s="151" t="s">
        <v>593</v>
      </c>
      <c r="C65" s="152">
        <v>796.5</v>
      </c>
      <c r="D65" s="152">
        <v>20.440000000000001</v>
      </c>
      <c r="E65" s="151">
        <v>2.73</v>
      </c>
      <c r="F65" s="151" t="s">
        <v>1675</v>
      </c>
      <c r="G65" s="151">
        <v>1798</v>
      </c>
      <c r="H65" s="151" t="s">
        <v>1718</v>
      </c>
      <c r="I65" s="151">
        <v>2242</v>
      </c>
      <c r="J65" s="151" t="s">
        <v>1718</v>
      </c>
      <c r="L65" s="155">
        <f t="shared" si="1"/>
        <v>1.4</v>
      </c>
      <c r="M65" s="156">
        <f t="shared" si="2"/>
        <v>2.73</v>
      </c>
      <c r="N65" s="275"/>
      <c r="O65" s="150">
        <v>1.4</v>
      </c>
      <c r="P65" s="151" t="s">
        <v>593</v>
      </c>
      <c r="Q65" s="152">
        <v>854.3</v>
      </c>
      <c r="R65" s="152">
        <v>15.24</v>
      </c>
      <c r="S65" s="151">
        <v>2.5499999999999998</v>
      </c>
      <c r="T65" s="151" t="s">
        <v>1675</v>
      </c>
      <c r="U65" s="151">
        <v>1562</v>
      </c>
      <c r="V65" s="151" t="s">
        <v>1718</v>
      </c>
      <c r="W65" s="151">
        <v>1961</v>
      </c>
      <c r="X65" s="151" t="s">
        <v>1718</v>
      </c>
      <c r="Z65" s="155">
        <f t="shared" si="3"/>
        <v>1.4</v>
      </c>
      <c r="AA65" s="156">
        <f t="shared" si="4"/>
        <v>2.5499999999999998</v>
      </c>
      <c r="AB65" s="275"/>
      <c r="AC65" s="150">
        <v>1.4</v>
      </c>
      <c r="AD65" s="151" t="s">
        <v>593</v>
      </c>
      <c r="AE65" s="152">
        <v>205</v>
      </c>
      <c r="AF65" s="152">
        <v>0.21729999999999999</v>
      </c>
      <c r="AG65" s="151">
        <v>6.62</v>
      </c>
      <c r="AH65" s="151" t="s">
        <v>1675</v>
      </c>
      <c r="AI65" s="151">
        <v>2302</v>
      </c>
      <c r="AJ65" s="151" t="s">
        <v>1718</v>
      </c>
      <c r="AK65" s="151">
        <v>2324</v>
      </c>
      <c r="AL65" s="151" t="s">
        <v>1718</v>
      </c>
      <c r="AN65" s="155">
        <f t="shared" si="5"/>
        <v>1.4</v>
      </c>
      <c r="AO65" s="156">
        <f t="shared" si="6"/>
        <v>6.62</v>
      </c>
      <c r="AP65" s="275"/>
      <c r="AQ65" s="150">
        <v>1.4</v>
      </c>
      <c r="AR65" s="151" t="s">
        <v>593</v>
      </c>
      <c r="AS65" s="152">
        <v>21.82</v>
      </c>
      <c r="AT65" s="152">
        <v>1.6049999999999998E-2</v>
      </c>
      <c r="AU65" s="151">
        <v>39.4</v>
      </c>
      <c r="AV65" s="151" t="s">
        <v>1675</v>
      </c>
      <c r="AW65" s="151">
        <v>1.57</v>
      </c>
      <c r="AX65" s="151" t="s">
        <v>1675</v>
      </c>
      <c r="AY65" s="151">
        <v>1.1100000000000001</v>
      </c>
      <c r="AZ65" s="151" t="s">
        <v>1675</v>
      </c>
      <c r="BB65" s="155">
        <f t="shared" si="7"/>
        <v>1.4</v>
      </c>
      <c r="BC65" s="156">
        <f t="shared" si="8"/>
        <v>39.4</v>
      </c>
      <c r="BE65" s="150">
        <v>1.4</v>
      </c>
      <c r="BF65" s="151" t="s">
        <v>593</v>
      </c>
      <c r="BG65" s="152">
        <v>730.3</v>
      </c>
      <c r="BH65" s="152">
        <v>4.3579999999999997</v>
      </c>
      <c r="BI65" s="151">
        <v>3</v>
      </c>
      <c r="BJ65" s="151" t="s">
        <v>1675</v>
      </c>
      <c r="BK65" s="151">
        <v>1407</v>
      </c>
      <c r="BL65" s="151" t="s">
        <v>1718</v>
      </c>
      <c r="BM65" s="151">
        <v>1779</v>
      </c>
      <c r="BN65" s="151" t="s">
        <v>1718</v>
      </c>
      <c r="BP65" s="155">
        <f t="shared" si="9"/>
        <v>1.4</v>
      </c>
      <c r="BQ65" s="156">
        <f t="shared" si="10"/>
        <v>3</v>
      </c>
      <c r="BS65" s="150">
        <v>1.4</v>
      </c>
      <c r="BT65" s="151" t="s">
        <v>593</v>
      </c>
      <c r="BU65" s="152">
        <v>839.5</v>
      </c>
      <c r="BV65" s="152">
        <v>12.67</v>
      </c>
      <c r="BW65" s="151">
        <v>2.58</v>
      </c>
      <c r="BX65" s="151" t="s">
        <v>1675</v>
      </c>
      <c r="BY65" s="151">
        <v>1470</v>
      </c>
      <c r="BZ65" s="151" t="s">
        <v>1718</v>
      </c>
      <c r="CA65" s="151">
        <v>1841</v>
      </c>
      <c r="CB65" s="151" t="s">
        <v>1718</v>
      </c>
      <c r="CD65" s="155">
        <f t="shared" si="11"/>
        <v>1.4</v>
      </c>
      <c r="CE65" s="156">
        <f t="shared" si="12"/>
        <v>2.58</v>
      </c>
      <c r="CG65" s="150">
        <v>1.4</v>
      </c>
      <c r="CH65" s="151" t="s">
        <v>593</v>
      </c>
      <c r="CI65" s="152">
        <v>786.7</v>
      </c>
      <c r="CJ65" s="152">
        <v>17.309999999999999</v>
      </c>
      <c r="CK65" s="151">
        <v>2.7</v>
      </c>
      <c r="CL65" s="151" t="s">
        <v>1675</v>
      </c>
      <c r="CM65" s="151">
        <v>1645</v>
      </c>
      <c r="CN65" s="151" t="s">
        <v>1718</v>
      </c>
      <c r="CO65" s="151">
        <v>2054</v>
      </c>
      <c r="CP65" s="151" t="s">
        <v>1718</v>
      </c>
      <c r="CR65" s="155">
        <f t="shared" si="20"/>
        <v>1.4</v>
      </c>
      <c r="CS65" s="156">
        <f t="shared" si="13"/>
        <v>2.7</v>
      </c>
      <c r="CU65" s="151">
        <v>1.4</v>
      </c>
      <c r="CV65" s="152" t="s">
        <v>593</v>
      </c>
      <c r="CW65" s="152">
        <v>887</v>
      </c>
      <c r="CX65" s="152">
        <v>80.62</v>
      </c>
      <c r="CY65" s="151">
        <v>1.8</v>
      </c>
      <c r="CZ65" s="151" t="s">
        <v>1675</v>
      </c>
      <c r="DA65" s="151">
        <v>1317</v>
      </c>
      <c r="DB65" s="151" t="s">
        <v>1718</v>
      </c>
      <c r="DC65" s="151">
        <v>1499</v>
      </c>
      <c r="DD65" t="s">
        <v>1718</v>
      </c>
      <c r="DF65" s="155">
        <f t="shared" si="14"/>
        <v>1.4</v>
      </c>
      <c r="DG65" s="156">
        <f t="shared" si="17"/>
        <v>1.8</v>
      </c>
      <c r="DI65" s="151">
        <v>1.4</v>
      </c>
      <c r="DJ65" s="152" t="s">
        <v>593</v>
      </c>
      <c r="DK65" s="152">
        <v>830.3</v>
      </c>
      <c r="DL65" s="152">
        <v>78.099999999999994</v>
      </c>
      <c r="DM65" s="151">
        <v>1.86</v>
      </c>
      <c r="DN65" s="151" t="s">
        <v>1675</v>
      </c>
      <c r="DO65" s="151">
        <v>1296</v>
      </c>
      <c r="DP65" s="151" t="s">
        <v>1718</v>
      </c>
      <c r="DQ65" s="151">
        <v>1472</v>
      </c>
      <c r="DR65" t="s">
        <v>1718</v>
      </c>
      <c r="DT65" s="155">
        <f t="shared" si="15"/>
        <v>1.4</v>
      </c>
      <c r="DU65" s="156">
        <f t="shared" si="18"/>
        <v>1.86</v>
      </c>
      <c r="DW65" s="401">
        <v>1.4</v>
      </c>
      <c r="DX65" s="401" t="s">
        <v>593</v>
      </c>
      <c r="DY65" s="402">
        <v>566.70000000000005</v>
      </c>
      <c r="DZ65" s="402">
        <v>1.3129999999999999</v>
      </c>
      <c r="EA65" s="401">
        <v>3.98</v>
      </c>
      <c r="EB65" s="401" t="s">
        <v>1675</v>
      </c>
      <c r="EC65" s="401">
        <v>1722</v>
      </c>
      <c r="ED65" s="401" t="s">
        <v>1718</v>
      </c>
      <c r="EE65" s="401">
        <v>2229</v>
      </c>
      <c r="EF65" s="403" t="s">
        <v>1718</v>
      </c>
      <c r="EH65" s="155">
        <f t="shared" si="16"/>
        <v>1.4</v>
      </c>
      <c r="EI65" s="156">
        <f t="shared" si="19"/>
        <v>3.98</v>
      </c>
    </row>
    <row r="66" spans="1:139" x14ac:dyDescent="0.2">
      <c r="A66" s="150">
        <v>1.5</v>
      </c>
      <c r="B66" s="151" t="s">
        <v>593</v>
      </c>
      <c r="C66" s="152">
        <v>834</v>
      </c>
      <c r="D66" s="152">
        <v>19.38</v>
      </c>
      <c r="E66" s="151">
        <v>2.85</v>
      </c>
      <c r="F66" s="151" t="s">
        <v>1675</v>
      </c>
      <c r="G66" s="151">
        <v>1822</v>
      </c>
      <c r="H66" s="151" t="s">
        <v>1718</v>
      </c>
      <c r="I66" s="151">
        <v>2287</v>
      </c>
      <c r="J66" s="151" t="s">
        <v>1718</v>
      </c>
      <c r="L66" s="155">
        <f t="shared" si="1"/>
        <v>1.5</v>
      </c>
      <c r="M66" s="156">
        <f t="shared" si="2"/>
        <v>2.85</v>
      </c>
      <c r="N66" s="275"/>
      <c r="O66" s="150">
        <v>1.5</v>
      </c>
      <c r="P66" s="151" t="s">
        <v>593</v>
      </c>
      <c r="Q66" s="152">
        <v>886.8</v>
      </c>
      <c r="R66" s="152">
        <v>14.44</v>
      </c>
      <c r="S66" s="151">
        <v>2.66</v>
      </c>
      <c r="T66" s="151" t="s">
        <v>1675</v>
      </c>
      <c r="U66" s="151">
        <v>1583</v>
      </c>
      <c r="V66" s="151" t="s">
        <v>1718</v>
      </c>
      <c r="W66" s="151">
        <v>1997</v>
      </c>
      <c r="X66" s="151" t="s">
        <v>1718</v>
      </c>
      <c r="Z66" s="155">
        <f t="shared" si="3"/>
        <v>1.5</v>
      </c>
      <c r="AA66" s="156">
        <f t="shared" si="4"/>
        <v>2.66</v>
      </c>
      <c r="AB66" s="275"/>
      <c r="AC66" s="150">
        <v>1.5</v>
      </c>
      <c r="AD66" s="151" t="s">
        <v>593</v>
      </c>
      <c r="AE66" s="152">
        <v>198.6</v>
      </c>
      <c r="AF66" s="152">
        <v>0.20480000000000001</v>
      </c>
      <c r="AG66" s="151">
        <v>7.11</v>
      </c>
      <c r="AH66" s="151" t="s">
        <v>1675</v>
      </c>
      <c r="AI66" s="151">
        <v>2419</v>
      </c>
      <c r="AJ66" s="151" t="s">
        <v>1718</v>
      </c>
      <c r="AK66" s="151">
        <v>2382</v>
      </c>
      <c r="AL66" s="151" t="s">
        <v>1718</v>
      </c>
      <c r="AN66" s="155">
        <f t="shared" si="5"/>
        <v>1.5</v>
      </c>
      <c r="AO66" s="156">
        <f t="shared" si="6"/>
        <v>7.11</v>
      </c>
      <c r="AP66" s="275"/>
      <c r="AQ66" s="150">
        <v>1.5</v>
      </c>
      <c r="AR66" s="151" t="s">
        <v>593</v>
      </c>
      <c r="AS66" s="152">
        <v>20.75</v>
      </c>
      <c r="AT66" s="152">
        <v>1.5100000000000001E-2</v>
      </c>
      <c r="AU66" s="151">
        <v>44.09</v>
      </c>
      <c r="AV66" s="151" t="s">
        <v>1675</v>
      </c>
      <c r="AW66" s="151">
        <v>1.72</v>
      </c>
      <c r="AX66" s="151" t="s">
        <v>1675</v>
      </c>
      <c r="AY66" s="151">
        <v>1.23</v>
      </c>
      <c r="AZ66" s="151" t="s">
        <v>1675</v>
      </c>
      <c r="BB66" s="155">
        <f t="shared" si="7"/>
        <v>1.5</v>
      </c>
      <c r="BC66" s="156">
        <f t="shared" si="8"/>
        <v>44.09</v>
      </c>
      <c r="BE66" s="150">
        <v>1.5</v>
      </c>
      <c r="BF66" s="151" t="s">
        <v>593</v>
      </c>
      <c r="BG66" s="152">
        <v>753.7</v>
      </c>
      <c r="BH66" s="152">
        <v>4.12</v>
      </c>
      <c r="BI66" s="151">
        <v>3.13</v>
      </c>
      <c r="BJ66" s="151" t="s">
        <v>1675</v>
      </c>
      <c r="BK66" s="151">
        <v>1428</v>
      </c>
      <c r="BL66" s="151" t="s">
        <v>1718</v>
      </c>
      <c r="BM66" s="151">
        <v>1807</v>
      </c>
      <c r="BN66" s="151" t="s">
        <v>1718</v>
      </c>
      <c r="BP66" s="155">
        <f t="shared" si="9"/>
        <v>1.5</v>
      </c>
      <c r="BQ66" s="156">
        <f t="shared" si="10"/>
        <v>3.13</v>
      </c>
      <c r="BS66" s="150">
        <v>1.5</v>
      </c>
      <c r="BT66" s="151" t="s">
        <v>593</v>
      </c>
      <c r="BU66" s="152">
        <v>875.4</v>
      </c>
      <c r="BV66" s="152">
        <v>12</v>
      </c>
      <c r="BW66" s="151">
        <v>2.69</v>
      </c>
      <c r="BX66" s="151" t="s">
        <v>1675</v>
      </c>
      <c r="BY66" s="151">
        <v>1491</v>
      </c>
      <c r="BZ66" s="151" t="s">
        <v>1718</v>
      </c>
      <c r="CA66" s="151">
        <v>1875</v>
      </c>
      <c r="CB66" s="151" t="s">
        <v>1718</v>
      </c>
      <c r="CD66" s="155">
        <f t="shared" si="11"/>
        <v>1.5</v>
      </c>
      <c r="CE66" s="156">
        <f t="shared" si="12"/>
        <v>2.69</v>
      </c>
      <c r="CG66" s="150">
        <v>1.5</v>
      </c>
      <c r="CH66" s="151" t="s">
        <v>593</v>
      </c>
      <c r="CI66" s="152">
        <v>816.3</v>
      </c>
      <c r="CJ66" s="152">
        <v>16.41</v>
      </c>
      <c r="CK66" s="151">
        <v>2.82</v>
      </c>
      <c r="CL66" s="151" t="s">
        <v>1675</v>
      </c>
      <c r="CM66" s="151">
        <v>1669</v>
      </c>
      <c r="CN66" s="151" t="s">
        <v>1718</v>
      </c>
      <c r="CO66" s="151">
        <v>2094</v>
      </c>
      <c r="CP66" s="151" t="s">
        <v>1718</v>
      </c>
      <c r="CR66" s="155">
        <f t="shared" si="20"/>
        <v>1.5</v>
      </c>
      <c r="CS66" s="156">
        <f t="shared" si="13"/>
        <v>2.82</v>
      </c>
      <c r="CU66" s="151">
        <v>1.5</v>
      </c>
      <c r="CV66" s="152" t="s">
        <v>593</v>
      </c>
      <c r="CW66" s="152">
        <v>919.8</v>
      </c>
      <c r="CX66" s="152">
        <v>76.83</v>
      </c>
      <c r="CY66" s="151">
        <v>1.9</v>
      </c>
      <c r="CZ66" s="151" t="s">
        <v>1675</v>
      </c>
      <c r="DA66" s="151">
        <v>1351</v>
      </c>
      <c r="DB66" s="151" t="s">
        <v>1718</v>
      </c>
      <c r="DC66" s="151">
        <v>1552</v>
      </c>
      <c r="DD66" t="s">
        <v>1718</v>
      </c>
      <c r="DF66" s="155">
        <f t="shared" si="14"/>
        <v>1.5</v>
      </c>
      <c r="DG66" s="156">
        <f t="shared" si="17"/>
        <v>1.9</v>
      </c>
      <c r="DI66" s="151">
        <v>1.5</v>
      </c>
      <c r="DJ66" s="152" t="s">
        <v>593</v>
      </c>
      <c r="DK66" s="152">
        <v>855.5</v>
      </c>
      <c r="DL66" s="152">
        <v>74.430000000000007</v>
      </c>
      <c r="DM66" s="151">
        <v>1.97</v>
      </c>
      <c r="DN66" s="151" t="s">
        <v>1675</v>
      </c>
      <c r="DO66" s="151">
        <v>1332</v>
      </c>
      <c r="DP66" s="151" t="s">
        <v>1718</v>
      </c>
      <c r="DQ66" s="151">
        <v>1526</v>
      </c>
      <c r="DR66" t="s">
        <v>1718</v>
      </c>
      <c r="DT66" s="155">
        <f t="shared" si="15"/>
        <v>1.5</v>
      </c>
      <c r="DU66" s="156">
        <f t="shared" si="18"/>
        <v>1.97</v>
      </c>
      <c r="DW66" s="401">
        <v>1.5</v>
      </c>
      <c r="DX66" s="401" t="s">
        <v>593</v>
      </c>
      <c r="DY66" s="402">
        <v>576.70000000000005</v>
      </c>
      <c r="DZ66" s="402">
        <v>1.2390000000000001</v>
      </c>
      <c r="EA66" s="401">
        <v>4.1500000000000004</v>
      </c>
      <c r="EB66" s="401" t="s">
        <v>1675</v>
      </c>
      <c r="EC66" s="401">
        <v>1746</v>
      </c>
      <c r="ED66" s="401" t="s">
        <v>1718</v>
      </c>
      <c r="EE66" s="401">
        <v>2256</v>
      </c>
      <c r="EF66" s="403" t="s">
        <v>1718</v>
      </c>
      <c r="EH66" s="155">
        <f t="shared" si="16"/>
        <v>1.5</v>
      </c>
      <c r="EI66" s="156">
        <f t="shared" si="19"/>
        <v>4.1500000000000004</v>
      </c>
    </row>
    <row r="67" spans="1:139" x14ac:dyDescent="0.2">
      <c r="A67" s="150">
        <v>1.6</v>
      </c>
      <c r="B67" s="151" t="s">
        <v>593</v>
      </c>
      <c r="C67" s="152">
        <v>871.1</v>
      </c>
      <c r="D67" s="152">
        <v>18.440000000000001</v>
      </c>
      <c r="E67" s="151">
        <v>2.96</v>
      </c>
      <c r="F67" s="151" t="s">
        <v>1675</v>
      </c>
      <c r="G67" s="151">
        <v>1844</v>
      </c>
      <c r="H67" s="151" t="s">
        <v>1718</v>
      </c>
      <c r="I67" s="151">
        <v>2327</v>
      </c>
      <c r="J67" s="151" t="s">
        <v>1718</v>
      </c>
      <c r="L67" s="155">
        <f t="shared" si="1"/>
        <v>1.6</v>
      </c>
      <c r="M67" s="156">
        <f t="shared" si="2"/>
        <v>2.96</v>
      </c>
      <c r="N67" s="275"/>
      <c r="O67" s="150">
        <v>1.6</v>
      </c>
      <c r="P67" s="151" t="s">
        <v>593</v>
      </c>
      <c r="Q67" s="152">
        <v>918.5</v>
      </c>
      <c r="R67" s="152">
        <v>13.73</v>
      </c>
      <c r="S67" s="151">
        <v>2.77</v>
      </c>
      <c r="T67" s="151" t="s">
        <v>1675</v>
      </c>
      <c r="U67" s="151">
        <v>1602</v>
      </c>
      <c r="V67" s="151" t="s">
        <v>1718</v>
      </c>
      <c r="W67" s="151">
        <v>2030</v>
      </c>
      <c r="X67" s="151" t="s">
        <v>1718</v>
      </c>
      <c r="Z67" s="155">
        <f t="shared" si="3"/>
        <v>1.6</v>
      </c>
      <c r="AA67" s="156">
        <f t="shared" si="4"/>
        <v>2.77</v>
      </c>
      <c r="AB67" s="275"/>
      <c r="AC67" s="150">
        <v>1.6</v>
      </c>
      <c r="AD67" s="151" t="s">
        <v>593</v>
      </c>
      <c r="AE67" s="152">
        <v>192.5</v>
      </c>
      <c r="AF67" s="152">
        <v>0.19370000000000001</v>
      </c>
      <c r="AG67" s="151">
        <v>7.62</v>
      </c>
      <c r="AH67" s="151" t="s">
        <v>1675</v>
      </c>
      <c r="AI67" s="151">
        <v>2537</v>
      </c>
      <c r="AJ67" s="151" t="s">
        <v>1718</v>
      </c>
      <c r="AK67" s="151">
        <v>2441</v>
      </c>
      <c r="AL67" s="151" t="s">
        <v>1718</v>
      </c>
      <c r="AN67" s="155">
        <f t="shared" si="5"/>
        <v>1.6</v>
      </c>
      <c r="AO67" s="156">
        <f t="shared" si="6"/>
        <v>7.62</v>
      </c>
      <c r="AP67" s="275"/>
      <c r="AQ67" s="150">
        <v>1.6</v>
      </c>
      <c r="AR67" s="151" t="s">
        <v>593</v>
      </c>
      <c r="AS67" s="152">
        <v>19.78</v>
      </c>
      <c r="AT67" s="152">
        <v>1.426E-2</v>
      </c>
      <c r="AU67" s="151">
        <v>49.02</v>
      </c>
      <c r="AV67" s="151" t="s">
        <v>1675</v>
      </c>
      <c r="AW67" s="151">
        <v>1.87</v>
      </c>
      <c r="AX67" s="151" t="s">
        <v>1675</v>
      </c>
      <c r="AY67" s="151">
        <v>1.36</v>
      </c>
      <c r="AZ67" s="151" t="s">
        <v>1675</v>
      </c>
      <c r="BB67" s="155">
        <f t="shared" si="7"/>
        <v>1.6</v>
      </c>
      <c r="BC67" s="156">
        <f t="shared" si="8"/>
        <v>49.02</v>
      </c>
      <c r="BE67" s="150">
        <v>1.6</v>
      </c>
      <c r="BF67" s="151" t="s">
        <v>593</v>
      </c>
      <c r="BG67" s="152">
        <v>775.5</v>
      </c>
      <c r="BH67" s="152">
        <v>3.9089999999999998</v>
      </c>
      <c r="BI67" s="151">
        <v>3.26</v>
      </c>
      <c r="BJ67" s="151" t="s">
        <v>1675</v>
      </c>
      <c r="BK67" s="151">
        <v>1448</v>
      </c>
      <c r="BL67" s="151" t="s">
        <v>1718</v>
      </c>
      <c r="BM67" s="151">
        <v>1834</v>
      </c>
      <c r="BN67" s="151" t="s">
        <v>1718</v>
      </c>
      <c r="BP67" s="155">
        <f t="shared" si="9"/>
        <v>1.6</v>
      </c>
      <c r="BQ67" s="156">
        <f t="shared" si="10"/>
        <v>3.26</v>
      </c>
      <c r="BS67" s="150">
        <v>1.6</v>
      </c>
      <c r="BT67" s="151" t="s">
        <v>593</v>
      </c>
      <c r="BU67" s="152">
        <v>910.9</v>
      </c>
      <c r="BV67" s="152">
        <v>11.41</v>
      </c>
      <c r="BW67" s="151">
        <v>2.8</v>
      </c>
      <c r="BX67" s="151" t="s">
        <v>1675</v>
      </c>
      <c r="BY67" s="151">
        <v>1510</v>
      </c>
      <c r="BZ67" s="151" t="s">
        <v>1718</v>
      </c>
      <c r="CA67" s="151">
        <v>1905</v>
      </c>
      <c r="CB67" s="151" t="s">
        <v>1718</v>
      </c>
      <c r="CD67" s="155">
        <f t="shared" si="11"/>
        <v>1.6</v>
      </c>
      <c r="CE67" s="156">
        <f t="shared" si="12"/>
        <v>2.8</v>
      </c>
      <c r="CG67" s="150">
        <v>1.6</v>
      </c>
      <c r="CH67" s="151" t="s">
        <v>593</v>
      </c>
      <c r="CI67" s="152">
        <v>845.1</v>
      </c>
      <c r="CJ67" s="152">
        <v>15.61</v>
      </c>
      <c r="CK67" s="151">
        <v>2.93</v>
      </c>
      <c r="CL67" s="151" t="s">
        <v>1675</v>
      </c>
      <c r="CM67" s="151">
        <v>1691</v>
      </c>
      <c r="CN67" s="151" t="s">
        <v>1718</v>
      </c>
      <c r="CO67" s="151">
        <v>2132</v>
      </c>
      <c r="CP67" s="151" t="s">
        <v>1718</v>
      </c>
      <c r="CR67" s="155">
        <f t="shared" si="20"/>
        <v>1.6</v>
      </c>
      <c r="CS67" s="156">
        <f t="shared" si="13"/>
        <v>2.93</v>
      </c>
      <c r="CU67" s="151">
        <v>1.6</v>
      </c>
      <c r="CV67" s="152" t="s">
        <v>593</v>
      </c>
      <c r="CW67" s="152">
        <v>952.1</v>
      </c>
      <c r="CX67" s="152">
        <v>73.41</v>
      </c>
      <c r="CY67" s="151">
        <v>2</v>
      </c>
      <c r="CZ67" s="151" t="s">
        <v>1675</v>
      </c>
      <c r="DA67" s="151">
        <v>1382</v>
      </c>
      <c r="DB67" s="151" t="s">
        <v>1718</v>
      </c>
      <c r="DC67" s="151">
        <v>1601</v>
      </c>
      <c r="DD67" t="s">
        <v>1718</v>
      </c>
      <c r="DF67" s="155">
        <f t="shared" si="14"/>
        <v>1.6</v>
      </c>
      <c r="DG67" s="156">
        <f t="shared" si="17"/>
        <v>2</v>
      </c>
      <c r="DI67" s="151">
        <v>1.6</v>
      </c>
      <c r="DJ67" s="152" t="s">
        <v>593</v>
      </c>
      <c r="DK67" s="152">
        <v>880</v>
      </c>
      <c r="DL67" s="152">
        <v>71.13</v>
      </c>
      <c r="DM67" s="151">
        <v>2.0699999999999998</v>
      </c>
      <c r="DN67" s="151" t="s">
        <v>1675</v>
      </c>
      <c r="DO67" s="151">
        <v>1366</v>
      </c>
      <c r="DP67" s="151" t="s">
        <v>1718</v>
      </c>
      <c r="DQ67" s="151">
        <v>1577</v>
      </c>
      <c r="DR67" t="s">
        <v>1718</v>
      </c>
      <c r="DT67" s="155">
        <f t="shared" si="15"/>
        <v>1.6</v>
      </c>
      <c r="DU67" s="156">
        <f t="shared" si="18"/>
        <v>2.0699999999999998</v>
      </c>
      <c r="DW67" s="401">
        <v>1.6</v>
      </c>
      <c r="DX67" s="401" t="s">
        <v>593</v>
      </c>
      <c r="DY67" s="402">
        <v>584.9</v>
      </c>
      <c r="DZ67" s="402">
        <v>1.1739999999999999</v>
      </c>
      <c r="EA67" s="401">
        <v>4.32</v>
      </c>
      <c r="EB67" s="401" t="s">
        <v>1675</v>
      </c>
      <c r="EC67" s="401">
        <v>1770</v>
      </c>
      <c r="ED67" s="401" t="s">
        <v>1718</v>
      </c>
      <c r="EE67" s="401">
        <v>2281</v>
      </c>
      <c r="EF67" s="403" t="s">
        <v>1718</v>
      </c>
      <c r="EH67" s="155">
        <f t="shared" si="16"/>
        <v>1.6</v>
      </c>
      <c r="EI67" s="156">
        <f t="shared" si="19"/>
        <v>4.32</v>
      </c>
    </row>
    <row r="68" spans="1:139" x14ac:dyDescent="0.2">
      <c r="A68" s="150">
        <v>1.7</v>
      </c>
      <c r="B68" s="151" t="s">
        <v>593</v>
      </c>
      <c r="C68" s="152">
        <v>907.8</v>
      </c>
      <c r="D68" s="152">
        <v>17.600000000000001</v>
      </c>
      <c r="E68" s="151">
        <v>3.07</v>
      </c>
      <c r="F68" s="151" t="s">
        <v>1675</v>
      </c>
      <c r="G68" s="151">
        <v>1864</v>
      </c>
      <c r="H68" s="151" t="s">
        <v>1718</v>
      </c>
      <c r="I68" s="151">
        <v>2364</v>
      </c>
      <c r="J68" s="151" t="s">
        <v>1718</v>
      </c>
      <c r="L68" s="155">
        <f t="shared" si="1"/>
        <v>1.7</v>
      </c>
      <c r="M68" s="156">
        <f t="shared" si="2"/>
        <v>3.07</v>
      </c>
      <c r="N68" s="275"/>
      <c r="O68" s="150">
        <v>1.7</v>
      </c>
      <c r="P68" s="151" t="s">
        <v>593</v>
      </c>
      <c r="Q68" s="152">
        <v>949.5</v>
      </c>
      <c r="R68" s="152">
        <v>13.09</v>
      </c>
      <c r="S68" s="151">
        <v>2.87</v>
      </c>
      <c r="T68" s="151" t="s">
        <v>1675</v>
      </c>
      <c r="U68" s="151">
        <v>1620</v>
      </c>
      <c r="V68" s="151" t="s">
        <v>1718</v>
      </c>
      <c r="W68" s="151">
        <v>2061</v>
      </c>
      <c r="X68" s="151" t="s">
        <v>1718</v>
      </c>
      <c r="Z68" s="155">
        <f t="shared" si="3"/>
        <v>1.7</v>
      </c>
      <c r="AA68" s="156">
        <f t="shared" si="4"/>
        <v>2.87</v>
      </c>
      <c r="AB68" s="275"/>
      <c r="AC68" s="150">
        <v>1.7</v>
      </c>
      <c r="AD68" s="151" t="s">
        <v>593</v>
      </c>
      <c r="AE68" s="152">
        <v>186.8</v>
      </c>
      <c r="AF68" s="152">
        <v>0.18379999999999999</v>
      </c>
      <c r="AG68" s="151">
        <v>8.15</v>
      </c>
      <c r="AH68" s="151" t="s">
        <v>1675</v>
      </c>
      <c r="AI68" s="151">
        <v>2657</v>
      </c>
      <c r="AJ68" s="151" t="s">
        <v>1718</v>
      </c>
      <c r="AK68" s="151">
        <v>2502</v>
      </c>
      <c r="AL68" s="151" t="s">
        <v>1718</v>
      </c>
      <c r="AN68" s="155">
        <f t="shared" si="5"/>
        <v>1.7</v>
      </c>
      <c r="AO68" s="156">
        <f t="shared" si="6"/>
        <v>8.15</v>
      </c>
      <c r="AP68" s="275"/>
      <c r="AQ68" s="150">
        <v>1.7</v>
      </c>
      <c r="AR68" s="151" t="s">
        <v>593</v>
      </c>
      <c r="AS68" s="152">
        <v>18.899999999999999</v>
      </c>
      <c r="AT68" s="152">
        <v>1.3520000000000001E-2</v>
      </c>
      <c r="AU68" s="151">
        <v>54.18</v>
      </c>
      <c r="AV68" s="151" t="s">
        <v>1675</v>
      </c>
      <c r="AW68" s="151">
        <v>2.0299999999999998</v>
      </c>
      <c r="AX68" s="151" t="s">
        <v>1675</v>
      </c>
      <c r="AY68" s="151">
        <v>1.49</v>
      </c>
      <c r="AZ68" s="151" t="s">
        <v>1675</v>
      </c>
      <c r="BB68" s="155">
        <f t="shared" si="7"/>
        <v>1.7</v>
      </c>
      <c r="BC68" s="156">
        <f t="shared" si="8"/>
        <v>54.18</v>
      </c>
      <c r="BE68" s="150">
        <v>1.7</v>
      </c>
      <c r="BF68" s="151" t="s">
        <v>593</v>
      </c>
      <c r="BG68" s="152">
        <v>795.9</v>
      </c>
      <c r="BH68" s="152">
        <v>3.72</v>
      </c>
      <c r="BI68" s="151">
        <v>3.39</v>
      </c>
      <c r="BJ68" s="151" t="s">
        <v>1675</v>
      </c>
      <c r="BK68" s="151">
        <v>1466</v>
      </c>
      <c r="BL68" s="151" t="s">
        <v>1718</v>
      </c>
      <c r="BM68" s="151">
        <v>1858</v>
      </c>
      <c r="BN68" s="151" t="s">
        <v>1718</v>
      </c>
      <c r="BP68" s="155">
        <f t="shared" si="9"/>
        <v>1.7</v>
      </c>
      <c r="BQ68" s="156">
        <f t="shared" si="10"/>
        <v>3.39</v>
      </c>
      <c r="BS68" s="150">
        <v>1.7</v>
      </c>
      <c r="BT68" s="151" t="s">
        <v>593</v>
      </c>
      <c r="BU68" s="152">
        <v>945.9</v>
      </c>
      <c r="BV68" s="152">
        <v>10.87</v>
      </c>
      <c r="BW68" s="151">
        <v>2.91</v>
      </c>
      <c r="BX68" s="151" t="s">
        <v>1675</v>
      </c>
      <c r="BY68" s="151">
        <v>1527</v>
      </c>
      <c r="BZ68" s="151" t="s">
        <v>1718</v>
      </c>
      <c r="CA68" s="151">
        <v>1934</v>
      </c>
      <c r="CB68" s="151" t="s">
        <v>1718</v>
      </c>
      <c r="CD68" s="155">
        <f t="shared" si="11"/>
        <v>1.7</v>
      </c>
      <c r="CE68" s="156">
        <f t="shared" si="12"/>
        <v>2.91</v>
      </c>
      <c r="CG68" s="150">
        <v>1.7</v>
      </c>
      <c r="CH68" s="151" t="s">
        <v>593</v>
      </c>
      <c r="CI68" s="152">
        <v>873.3</v>
      </c>
      <c r="CJ68" s="152">
        <v>14.89</v>
      </c>
      <c r="CK68" s="151">
        <v>3.05</v>
      </c>
      <c r="CL68" s="151" t="s">
        <v>1675</v>
      </c>
      <c r="CM68" s="151">
        <v>1711</v>
      </c>
      <c r="CN68" s="151" t="s">
        <v>1718</v>
      </c>
      <c r="CO68" s="151">
        <v>2167</v>
      </c>
      <c r="CP68" s="151" t="s">
        <v>1718</v>
      </c>
      <c r="CR68" s="155">
        <f t="shared" si="20"/>
        <v>1.7</v>
      </c>
      <c r="CS68" s="156">
        <f t="shared" si="13"/>
        <v>3.05</v>
      </c>
      <c r="CU68" s="151">
        <v>1.7</v>
      </c>
      <c r="CV68" s="152" t="s">
        <v>593</v>
      </c>
      <c r="CW68" s="152">
        <v>984</v>
      </c>
      <c r="CX68" s="152">
        <v>70.33</v>
      </c>
      <c r="CY68" s="151">
        <v>2.1</v>
      </c>
      <c r="CZ68" s="151" t="s">
        <v>1675</v>
      </c>
      <c r="DA68" s="151">
        <v>1411</v>
      </c>
      <c r="DB68" s="151" t="s">
        <v>1718</v>
      </c>
      <c r="DC68" s="151">
        <v>1647</v>
      </c>
      <c r="DD68" t="s">
        <v>1718</v>
      </c>
      <c r="DF68" s="155">
        <f t="shared" si="14"/>
        <v>1.7</v>
      </c>
      <c r="DG68" s="156">
        <f t="shared" si="17"/>
        <v>2.1</v>
      </c>
      <c r="DI68" s="151">
        <v>1.7</v>
      </c>
      <c r="DJ68" s="152" t="s">
        <v>593</v>
      </c>
      <c r="DK68" s="152">
        <v>903.9</v>
      </c>
      <c r="DL68" s="152">
        <v>68.14</v>
      </c>
      <c r="DM68" s="151">
        <v>2.17</v>
      </c>
      <c r="DN68" s="151" t="s">
        <v>1675</v>
      </c>
      <c r="DO68" s="151">
        <v>1397</v>
      </c>
      <c r="DP68" s="151" t="s">
        <v>1718</v>
      </c>
      <c r="DQ68" s="151">
        <v>1626</v>
      </c>
      <c r="DR68" t="s">
        <v>1718</v>
      </c>
      <c r="DT68" s="155">
        <f t="shared" si="15"/>
        <v>1.7</v>
      </c>
      <c r="DU68" s="156">
        <f t="shared" si="18"/>
        <v>2.17</v>
      </c>
      <c r="DW68" s="401">
        <v>1.7</v>
      </c>
      <c r="DX68" s="401" t="s">
        <v>593</v>
      </c>
      <c r="DY68" s="402">
        <v>591.29999999999995</v>
      </c>
      <c r="DZ68" s="402">
        <v>1.1160000000000001</v>
      </c>
      <c r="EA68" s="401">
        <v>4.49</v>
      </c>
      <c r="EB68" s="401" t="s">
        <v>1675</v>
      </c>
      <c r="EC68" s="401">
        <v>1792</v>
      </c>
      <c r="ED68" s="401" t="s">
        <v>1718</v>
      </c>
      <c r="EE68" s="401">
        <v>2305</v>
      </c>
      <c r="EF68" s="403" t="s">
        <v>1718</v>
      </c>
      <c r="EH68" s="155">
        <f t="shared" si="16"/>
        <v>1.7</v>
      </c>
      <c r="EI68" s="156">
        <f t="shared" si="19"/>
        <v>4.49</v>
      </c>
    </row>
    <row r="69" spans="1:139" x14ac:dyDescent="0.2">
      <c r="A69" s="150">
        <v>1.8</v>
      </c>
      <c r="B69" s="151" t="s">
        <v>593</v>
      </c>
      <c r="C69" s="152">
        <v>944.1</v>
      </c>
      <c r="D69" s="152">
        <v>16.829999999999998</v>
      </c>
      <c r="E69" s="151">
        <v>3.18</v>
      </c>
      <c r="F69" s="151" t="s">
        <v>1675</v>
      </c>
      <c r="G69" s="151">
        <v>1882</v>
      </c>
      <c r="H69" s="151" t="s">
        <v>1718</v>
      </c>
      <c r="I69" s="151">
        <v>2398</v>
      </c>
      <c r="J69" s="151" t="s">
        <v>1718</v>
      </c>
      <c r="L69" s="155">
        <f t="shared" si="1"/>
        <v>1.8</v>
      </c>
      <c r="M69" s="156">
        <f t="shared" si="2"/>
        <v>3.18</v>
      </c>
      <c r="N69" s="275"/>
      <c r="O69" s="150">
        <v>1.8</v>
      </c>
      <c r="P69" s="151" t="s">
        <v>593</v>
      </c>
      <c r="Q69" s="152">
        <v>979.7</v>
      </c>
      <c r="R69" s="152">
        <v>12.52</v>
      </c>
      <c r="S69" s="151">
        <v>2.97</v>
      </c>
      <c r="T69" s="151" t="s">
        <v>1675</v>
      </c>
      <c r="U69" s="151">
        <v>1636</v>
      </c>
      <c r="V69" s="151" t="s">
        <v>1718</v>
      </c>
      <c r="W69" s="151">
        <v>2089</v>
      </c>
      <c r="X69" s="151" t="s">
        <v>1718</v>
      </c>
      <c r="Z69" s="155">
        <f t="shared" si="3"/>
        <v>1.8</v>
      </c>
      <c r="AA69" s="156">
        <f t="shared" si="4"/>
        <v>2.97</v>
      </c>
      <c r="AB69" s="275"/>
      <c r="AC69" s="150">
        <v>1.8</v>
      </c>
      <c r="AD69" s="151" t="s">
        <v>593</v>
      </c>
      <c r="AE69" s="152">
        <v>181.3</v>
      </c>
      <c r="AF69" s="152">
        <v>0.1749</v>
      </c>
      <c r="AG69" s="151">
        <v>8.69</v>
      </c>
      <c r="AH69" s="151" t="s">
        <v>1675</v>
      </c>
      <c r="AI69" s="151">
        <v>2779</v>
      </c>
      <c r="AJ69" s="151" t="s">
        <v>1718</v>
      </c>
      <c r="AK69" s="151">
        <v>2564</v>
      </c>
      <c r="AL69" s="151" t="s">
        <v>1718</v>
      </c>
      <c r="AN69" s="155">
        <f t="shared" si="5"/>
        <v>1.8</v>
      </c>
      <c r="AO69" s="156">
        <f t="shared" si="6"/>
        <v>8.69</v>
      </c>
      <c r="AP69" s="275"/>
      <c r="AQ69" s="150">
        <v>1.8</v>
      </c>
      <c r="AR69" s="151" t="s">
        <v>593</v>
      </c>
      <c r="AS69" s="152">
        <v>18.100000000000001</v>
      </c>
      <c r="AT69" s="152">
        <v>1.285E-2</v>
      </c>
      <c r="AU69" s="151">
        <v>59.58</v>
      </c>
      <c r="AV69" s="151" t="s">
        <v>1675</v>
      </c>
      <c r="AW69" s="151">
        <v>2.1800000000000002</v>
      </c>
      <c r="AX69" s="151" t="s">
        <v>1675</v>
      </c>
      <c r="AY69" s="151">
        <v>1.62</v>
      </c>
      <c r="AZ69" s="151" t="s">
        <v>1675</v>
      </c>
      <c r="BB69" s="155">
        <f t="shared" si="7"/>
        <v>1.8</v>
      </c>
      <c r="BC69" s="156">
        <f t="shared" si="8"/>
        <v>59.58</v>
      </c>
      <c r="BE69" s="150">
        <v>1.8</v>
      </c>
      <c r="BF69" s="151" t="s">
        <v>593</v>
      </c>
      <c r="BG69" s="152">
        <v>814.9</v>
      </c>
      <c r="BH69" s="152">
        <v>3.5489999999999999</v>
      </c>
      <c r="BI69" s="151">
        <v>3.51</v>
      </c>
      <c r="BJ69" s="151" t="s">
        <v>1675</v>
      </c>
      <c r="BK69" s="151">
        <v>1483</v>
      </c>
      <c r="BL69" s="151" t="s">
        <v>1718</v>
      </c>
      <c r="BM69" s="151">
        <v>1881</v>
      </c>
      <c r="BN69" s="151" t="s">
        <v>1718</v>
      </c>
      <c r="BP69" s="155">
        <f t="shared" si="9"/>
        <v>1.8</v>
      </c>
      <c r="BQ69" s="156">
        <f t="shared" si="10"/>
        <v>3.51</v>
      </c>
      <c r="BS69" s="150">
        <v>1.8</v>
      </c>
      <c r="BT69" s="151" t="s">
        <v>593</v>
      </c>
      <c r="BU69" s="152">
        <v>980.2</v>
      </c>
      <c r="BV69" s="152">
        <v>10.39</v>
      </c>
      <c r="BW69" s="151">
        <v>3.01</v>
      </c>
      <c r="BX69" s="151" t="s">
        <v>1675</v>
      </c>
      <c r="BY69" s="151">
        <v>1542</v>
      </c>
      <c r="BZ69" s="151" t="s">
        <v>1718</v>
      </c>
      <c r="CA69" s="151">
        <v>1960</v>
      </c>
      <c r="CB69" s="151" t="s">
        <v>1718</v>
      </c>
      <c r="CD69" s="155">
        <f t="shared" si="11"/>
        <v>1.8</v>
      </c>
      <c r="CE69" s="156">
        <f t="shared" si="12"/>
        <v>3.01</v>
      </c>
      <c r="CG69" s="150">
        <v>1.8</v>
      </c>
      <c r="CH69" s="151" t="s">
        <v>593</v>
      </c>
      <c r="CI69" s="152">
        <v>900.8</v>
      </c>
      <c r="CJ69" s="152">
        <v>14.24</v>
      </c>
      <c r="CK69" s="151">
        <v>3.16</v>
      </c>
      <c r="CL69" s="151" t="s">
        <v>1675</v>
      </c>
      <c r="CM69" s="151">
        <v>1730</v>
      </c>
      <c r="CN69" s="151" t="s">
        <v>1718</v>
      </c>
      <c r="CO69" s="151">
        <v>2199</v>
      </c>
      <c r="CP69" s="151" t="s">
        <v>1718</v>
      </c>
      <c r="CR69" s="155">
        <f t="shared" si="20"/>
        <v>1.8</v>
      </c>
      <c r="CS69" s="156">
        <f t="shared" si="13"/>
        <v>3.16</v>
      </c>
      <c r="CU69" s="151">
        <v>1.8</v>
      </c>
      <c r="CV69" s="152" t="s">
        <v>593</v>
      </c>
      <c r="CW69" s="152">
        <v>1016</v>
      </c>
      <c r="CX69" s="152">
        <v>67.52</v>
      </c>
      <c r="CY69" s="151">
        <v>2.19</v>
      </c>
      <c r="CZ69" s="151" t="s">
        <v>1675</v>
      </c>
      <c r="DA69" s="151">
        <v>1438</v>
      </c>
      <c r="DB69" s="151" t="s">
        <v>1718</v>
      </c>
      <c r="DC69" s="151">
        <v>1691</v>
      </c>
      <c r="DD69" t="s">
        <v>1718</v>
      </c>
      <c r="DF69" s="155">
        <f t="shared" si="14"/>
        <v>1.8</v>
      </c>
      <c r="DG69" s="156">
        <f t="shared" si="17"/>
        <v>2.19</v>
      </c>
      <c r="DI69" s="151">
        <v>1.8</v>
      </c>
      <c r="DJ69" s="152" t="s">
        <v>593</v>
      </c>
      <c r="DK69" s="152">
        <v>927.2</v>
      </c>
      <c r="DL69" s="152">
        <v>65.42</v>
      </c>
      <c r="DM69" s="151">
        <v>2.2799999999999998</v>
      </c>
      <c r="DN69" s="151" t="s">
        <v>1675</v>
      </c>
      <c r="DO69" s="151">
        <v>1427</v>
      </c>
      <c r="DP69" s="151" t="s">
        <v>1718</v>
      </c>
      <c r="DQ69" s="151">
        <v>1672</v>
      </c>
      <c r="DR69" t="s">
        <v>1718</v>
      </c>
      <c r="DT69" s="155">
        <f t="shared" si="15"/>
        <v>1.8</v>
      </c>
      <c r="DU69" s="156">
        <f t="shared" si="18"/>
        <v>2.2799999999999998</v>
      </c>
      <c r="DW69" s="401">
        <v>1.8</v>
      </c>
      <c r="DX69" s="401" t="s">
        <v>593</v>
      </c>
      <c r="DY69" s="402">
        <v>596.4</v>
      </c>
      <c r="DZ69" s="402">
        <v>1.0629999999999999</v>
      </c>
      <c r="EA69" s="401">
        <v>4.66</v>
      </c>
      <c r="EB69" s="401" t="s">
        <v>1675</v>
      </c>
      <c r="EC69" s="401">
        <v>1814</v>
      </c>
      <c r="ED69" s="401" t="s">
        <v>1718</v>
      </c>
      <c r="EE69" s="401">
        <v>2328</v>
      </c>
      <c r="EF69" s="403" t="s">
        <v>1718</v>
      </c>
      <c r="EH69" s="155">
        <f t="shared" si="16"/>
        <v>1.8</v>
      </c>
      <c r="EI69" s="156">
        <f t="shared" si="19"/>
        <v>4.66</v>
      </c>
    </row>
    <row r="70" spans="1:139" x14ac:dyDescent="0.2">
      <c r="A70" s="150">
        <v>2</v>
      </c>
      <c r="B70" s="151" t="s">
        <v>593</v>
      </c>
      <c r="C70" s="152">
        <v>1015</v>
      </c>
      <c r="D70" s="152">
        <v>15.5</v>
      </c>
      <c r="E70" s="151">
        <v>3.38</v>
      </c>
      <c r="F70" s="151" t="s">
        <v>1675</v>
      </c>
      <c r="G70" s="151">
        <v>1924</v>
      </c>
      <c r="H70" s="151" t="s">
        <v>1718</v>
      </c>
      <c r="I70" s="151">
        <v>2458</v>
      </c>
      <c r="J70" s="151" t="s">
        <v>1718</v>
      </c>
      <c r="L70" s="155">
        <f t="shared" si="1"/>
        <v>2</v>
      </c>
      <c r="M70" s="156">
        <f t="shared" si="2"/>
        <v>3.38</v>
      </c>
      <c r="N70" s="275"/>
      <c r="O70" s="150">
        <v>2</v>
      </c>
      <c r="P70" s="151" t="s">
        <v>593</v>
      </c>
      <c r="Q70" s="152">
        <v>1038</v>
      </c>
      <c r="R70" s="152">
        <v>11.52</v>
      </c>
      <c r="S70" s="151">
        <v>3.17</v>
      </c>
      <c r="T70" s="151" t="s">
        <v>1675</v>
      </c>
      <c r="U70" s="151">
        <v>1677</v>
      </c>
      <c r="V70" s="151" t="s">
        <v>1718</v>
      </c>
      <c r="W70" s="151">
        <v>2141</v>
      </c>
      <c r="X70" s="151" t="s">
        <v>1718</v>
      </c>
      <c r="Z70" s="155">
        <f t="shared" si="3"/>
        <v>2</v>
      </c>
      <c r="AA70" s="156">
        <f t="shared" si="4"/>
        <v>3.17</v>
      </c>
      <c r="AB70" s="275"/>
      <c r="AC70" s="150">
        <v>2</v>
      </c>
      <c r="AD70" s="151" t="s">
        <v>593</v>
      </c>
      <c r="AE70" s="152">
        <v>171.4</v>
      </c>
      <c r="AF70" s="152">
        <v>0.15959999999999999</v>
      </c>
      <c r="AG70" s="151">
        <v>9.83</v>
      </c>
      <c r="AH70" s="151" t="s">
        <v>1675</v>
      </c>
      <c r="AI70" s="151">
        <v>3232</v>
      </c>
      <c r="AJ70" s="151" t="s">
        <v>1718</v>
      </c>
      <c r="AK70" s="151">
        <v>2694</v>
      </c>
      <c r="AL70" s="151" t="s">
        <v>1718</v>
      </c>
      <c r="AN70" s="155">
        <f t="shared" si="5"/>
        <v>2</v>
      </c>
      <c r="AO70" s="156">
        <f t="shared" si="6"/>
        <v>9.83</v>
      </c>
      <c r="AP70" s="275"/>
      <c r="AQ70" s="150">
        <v>2</v>
      </c>
      <c r="AR70" s="151" t="s">
        <v>593</v>
      </c>
      <c r="AS70" s="152">
        <v>16.71</v>
      </c>
      <c r="AT70" s="152">
        <v>1.17E-2</v>
      </c>
      <c r="AU70" s="151">
        <v>71.06</v>
      </c>
      <c r="AV70" s="151" t="s">
        <v>1675</v>
      </c>
      <c r="AW70" s="151">
        <v>2.75</v>
      </c>
      <c r="AX70" s="151" t="s">
        <v>1675</v>
      </c>
      <c r="AY70" s="151">
        <v>1.91</v>
      </c>
      <c r="AZ70" s="151" t="s">
        <v>1675</v>
      </c>
      <c r="BB70" s="155">
        <f t="shared" si="7"/>
        <v>2</v>
      </c>
      <c r="BC70" s="156">
        <f t="shared" si="8"/>
        <v>71.06</v>
      </c>
      <c r="BE70" s="150">
        <v>2</v>
      </c>
      <c r="BF70" s="151" t="s">
        <v>593</v>
      </c>
      <c r="BG70" s="152">
        <v>848.6</v>
      </c>
      <c r="BH70" s="152">
        <v>3.254</v>
      </c>
      <c r="BI70" s="151">
        <v>3.75</v>
      </c>
      <c r="BJ70" s="151" t="s">
        <v>1675</v>
      </c>
      <c r="BK70" s="151">
        <v>1533</v>
      </c>
      <c r="BL70" s="151" t="s">
        <v>1718</v>
      </c>
      <c r="BM70" s="151">
        <v>1922</v>
      </c>
      <c r="BN70" s="151" t="s">
        <v>1718</v>
      </c>
      <c r="BP70" s="155">
        <f t="shared" si="9"/>
        <v>2</v>
      </c>
      <c r="BQ70" s="156">
        <f t="shared" si="10"/>
        <v>3.75</v>
      </c>
      <c r="BS70" s="150">
        <v>2</v>
      </c>
      <c r="BT70" s="151" t="s">
        <v>593</v>
      </c>
      <c r="BU70" s="152">
        <v>1047</v>
      </c>
      <c r="BV70" s="152">
        <v>9.5549999999999997</v>
      </c>
      <c r="BW70" s="151">
        <v>3.2</v>
      </c>
      <c r="BX70" s="151" t="s">
        <v>1675</v>
      </c>
      <c r="BY70" s="151">
        <v>1581</v>
      </c>
      <c r="BZ70" s="151" t="s">
        <v>1718</v>
      </c>
      <c r="CA70" s="151">
        <v>2006</v>
      </c>
      <c r="CB70" s="151" t="s">
        <v>1718</v>
      </c>
      <c r="CD70" s="155">
        <f t="shared" si="11"/>
        <v>2</v>
      </c>
      <c r="CE70" s="156">
        <f t="shared" si="12"/>
        <v>3.2</v>
      </c>
      <c r="CG70" s="150">
        <v>2</v>
      </c>
      <c r="CH70" s="151" t="s">
        <v>593</v>
      </c>
      <c r="CI70" s="152">
        <v>954.2</v>
      </c>
      <c r="CJ70" s="152">
        <v>13.11</v>
      </c>
      <c r="CK70" s="151">
        <v>3.37</v>
      </c>
      <c r="CL70" s="151" t="s">
        <v>1675</v>
      </c>
      <c r="CM70" s="151">
        <v>1775</v>
      </c>
      <c r="CN70" s="151" t="s">
        <v>1718</v>
      </c>
      <c r="CO70" s="151">
        <v>2257</v>
      </c>
      <c r="CP70" s="151" t="s">
        <v>1718</v>
      </c>
      <c r="CR70" s="155">
        <f t="shared" si="20"/>
        <v>2</v>
      </c>
      <c r="CS70" s="156">
        <f t="shared" si="13"/>
        <v>3.37</v>
      </c>
      <c r="CU70" s="151">
        <v>2</v>
      </c>
      <c r="CV70" s="152" t="s">
        <v>593</v>
      </c>
      <c r="CW70" s="152">
        <v>1078</v>
      </c>
      <c r="CX70" s="152">
        <v>62.59</v>
      </c>
      <c r="CY70" s="151">
        <v>2.37</v>
      </c>
      <c r="CZ70" s="151" t="s">
        <v>1675</v>
      </c>
      <c r="DA70" s="151">
        <v>1496</v>
      </c>
      <c r="DB70" s="151" t="s">
        <v>1718</v>
      </c>
      <c r="DC70" s="151">
        <v>1771</v>
      </c>
      <c r="DD70" t="s">
        <v>1718</v>
      </c>
      <c r="DF70" s="155">
        <f t="shared" si="14"/>
        <v>2</v>
      </c>
      <c r="DG70" s="156">
        <f t="shared" si="17"/>
        <v>2.37</v>
      </c>
      <c r="DI70" s="151">
        <v>2</v>
      </c>
      <c r="DJ70" s="152" t="s">
        <v>593</v>
      </c>
      <c r="DK70" s="152">
        <v>972.9</v>
      </c>
      <c r="DL70" s="152">
        <v>60.65</v>
      </c>
      <c r="DM70" s="151">
        <v>2.4700000000000002</v>
      </c>
      <c r="DN70" s="151" t="s">
        <v>1675</v>
      </c>
      <c r="DO70" s="151">
        <v>1493</v>
      </c>
      <c r="DP70" s="151" t="s">
        <v>1718</v>
      </c>
      <c r="DQ70" s="151">
        <v>1758</v>
      </c>
      <c r="DR70" t="s">
        <v>1718</v>
      </c>
      <c r="DT70" s="155">
        <f t="shared" si="15"/>
        <v>2</v>
      </c>
      <c r="DU70" s="156">
        <f t="shared" si="18"/>
        <v>2.4700000000000002</v>
      </c>
      <c r="DW70" s="401">
        <v>2</v>
      </c>
      <c r="DX70" s="401" t="s">
        <v>593</v>
      </c>
      <c r="DY70" s="402">
        <v>602.9</v>
      </c>
      <c r="DZ70" s="402">
        <v>0.97260000000000002</v>
      </c>
      <c r="EA70" s="401">
        <v>4.99</v>
      </c>
      <c r="EB70" s="401" t="s">
        <v>1675</v>
      </c>
      <c r="EC70" s="401">
        <v>1884</v>
      </c>
      <c r="ED70" s="401" t="s">
        <v>1718</v>
      </c>
      <c r="EE70" s="401">
        <v>2370</v>
      </c>
      <c r="EF70" s="403" t="s">
        <v>1718</v>
      </c>
      <c r="EH70" s="155">
        <f t="shared" si="16"/>
        <v>2</v>
      </c>
      <c r="EI70" s="156">
        <f t="shared" si="19"/>
        <v>4.99</v>
      </c>
    </row>
    <row r="71" spans="1:139" x14ac:dyDescent="0.2">
      <c r="A71" s="150">
        <v>2.25</v>
      </c>
      <c r="B71" s="151" t="s">
        <v>593</v>
      </c>
      <c r="C71" s="152">
        <v>1101</v>
      </c>
      <c r="D71" s="152">
        <v>14.13</v>
      </c>
      <c r="E71" s="151">
        <v>3.61</v>
      </c>
      <c r="F71" s="151" t="s">
        <v>1675</v>
      </c>
      <c r="G71" s="151">
        <v>1973</v>
      </c>
      <c r="H71" s="151" t="s">
        <v>1718</v>
      </c>
      <c r="I71" s="151">
        <v>2522</v>
      </c>
      <c r="J71" s="151" t="s">
        <v>1718</v>
      </c>
      <c r="L71" s="155">
        <f t="shared" si="1"/>
        <v>2.25</v>
      </c>
      <c r="M71" s="156">
        <f t="shared" si="2"/>
        <v>3.61</v>
      </c>
      <c r="N71" s="275"/>
      <c r="O71" s="150">
        <v>2.25</v>
      </c>
      <c r="P71" s="151" t="s">
        <v>593</v>
      </c>
      <c r="Q71" s="152">
        <v>1107</v>
      </c>
      <c r="R71" s="152">
        <v>10.49</v>
      </c>
      <c r="S71" s="151">
        <v>3.4</v>
      </c>
      <c r="T71" s="151" t="s">
        <v>1675</v>
      </c>
      <c r="U71" s="151">
        <v>1726</v>
      </c>
      <c r="V71" s="151" t="s">
        <v>1718</v>
      </c>
      <c r="W71" s="151">
        <v>2196</v>
      </c>
      <c r="X71" s="151" t="s">
        <v>1718</v>
      </c>
      <c r="Z71" s="155">
        <f t="shared" si="3"/>
        <v>2.25</v>
      </c>
      <c r="AA71" s="156">
        <f t="shared" si="4"/>
        <v>3.4</v>
      </c>
      <c r="AB71" s="275"/>
      <c r="AC71" s="150">
        <v>2.25</v>
      </c>
      <c r="AD71" s="151" t="s">
        <v>593</v>
      </c>
      <c r="AE71" s="152">
        <v>160.30000000000001</v>
      </c>
      <c r="AF71" s="152">
        <v>0.14410000000000001</v>
      </c>
      <c r="AG71" s="151">
        <v>11.33</v>
      </c>
      <c r="AH71" s="151" t="s">
        <v>1675</v>
      </c>
      <c r="AI71" s="151">
        <v>3900</v>
      </c>
      <c r="AJ71" s="151" t="s">
        <v>1718</v>
      </c>
      <c r="AK71" s="151">
        <v>2866</v>
      </c>
      <c r="AL71" s="151" t="s">
        <v>1718</v>
      </c>
      <c r="AN71" s="155">
        <f t="shared" si="5"/>
        <v>2.25</v>
      </c>
      <c r="AO71" s="156">
        <f t="shared" si="6"/>
        <v>11.33</v>
      </c>
      <c r="AP71" s="275"/>
      <c r="AQ71" s="150">
        <v>2.25</v>
      </c>
      <c r="AR71" s="151" t="s">
        <v>593</v>
      </c>
      <c r="AS71" s="152">
        <v>15.26</v>
      </c>
      <c r="AT71" s="152">
        <v>1.0540000000000001E-2</v>
      </c>
      <c r="AU71" s="151">
        <v>86.69</v>
      </c>
      <c r="AV71" s="151" t="s">
        <v>1675</v>
      </c>
      <c r="AW71" s="151">
        <v>3.57</v>
      </c>
      <c r="AX71" s="151" t="s">
        <v>1675</v>
      </c>
      <c r="AY71" s="151">
        <v>2.2999999999999998</v>
      </c>
      <c r="AZ71" s="151" t="s">
        <v>1675</v>
      </c>
      <c r="BB71" s="155">
        <f t="shared" si="7"/>
        <v>2.25</v>
      </c>
      <c r="BC71" s="156">
        <f t="shared" si="8"/>
        <v>86.69</v>
      </c>
      <c r="BE71" s="150">
        <v>2.25</v>
      </c>
      <c r="BF71" s="151" t="s">
        <v>593</v>
      </c>
      <c r="BG71" s="152">
        <v>883.6</v>
      </c>
      <c r="BH71" s="152">
        <v>2.952</v>
      </c>
      <c r="BI71" s="151">
        <v>4.04</v>
      </c>
      <c r="BJ71" s="151" t="s">
        <v>1675</v>
      </c>
      <c r="BK71" s="151">
        <v>1598</v>
      </c>
      <c r="BL71" s="151" t="s">
        <v>1718</v>
      </c>
      <c r="BM71" s="151">
        <v>1968</v>
      </c>
      <c r="BN71" s="151" t="s">
        <v>1718</v>
      </c>
      <c r="BP71" s="155">
        <f t="shared" si="9"/>
        <v>2.25</v>
      </c>
      <c r="BQ71" s="156">
        <f t="shared" si="10"/>
        <v>4.04</v>
      </c>
      <c r="BS71" s="150">
        <v>2.25</v>
      </c>
      <c r="BT71" s="151" t="s">
        <v>593</v>
      </c>
      <c r="BU71" s="152">
        <v>1125</v>
      </c>
      <c r="BV71" s="152">
        <v>8.6950000000000003</v>
      </c>
      <c r="BW71" s="151">
        <v>3.43</v>
      </c>
      <c r="BX71" s="151" t="s">
        <v>1675</v>
      </c>
      <c r="BY71" s="151">
        <v>1629</v>
      </c>
      <c r="BZ71" s="151" t="s">
        <v>1718</v>
      </c>
      <c r="CA71" s="151">
        <v>2056</v>
      </c>
      <c r="CB71" s="151" t="s">
        <v>1718</v>
      </c>
      <c r="CD71" s="155">
        <f t="shared" si="11"/>
        <v>2.25</v>
      </c>
      <c r="CE71" s="156">
        <f t="shared" si="12"/>
        <v>3.43</v>
      </c>
      <c r="CG71" s="150">
        <v>2.25</v>
      </c>
      <c r="CH71" s="151" t="s">
        <v>593</v>
      </c>
      <c r="CI71" s="152">
        <v>1018</v>
      </c>
      <c r="CJ71" s="152">
        <v>11.94</v>
      </c>
      <c r="CK71" s="151">
        <v>3.62</v>
      </c>
      <c r="CL71" s="151" t="s">
        <v>1675</v>
      </c>
      <c r="CM71" s="151">
        <v>1831</v>
      </c>
      <c r="CN71" s="151" t="s">
        <v>1718</v>
      </c>
      <c r="CO71" s="151">
        <v>2320</v>
      </c>
      <c r="CP71" s="151" t="s">
        <v>1718</v>
      </c>
      <c r="CR71" s="155">
        <f t="shared" si="20"/>
        <v>2.25</v>
      </c>
      <c r="CS71" s="156">
        <f t="shared" si="13"/>
        <v>3.62</v>
      </c>
      <c r="CU71" s="151">
        <v>2.25</v>
      </c>
      <c r="CV71" s="152" t="s">
        <v>593</v>
      </c>
      <c r="CW71" s="152">
        <v>1154</v>
      </c>
      <c r="CX71" s="152">
        <v>57.46</v>
      </c>
      <c r="CY71" s="151">
        <v>2.58</v>
      </c>
      <c r="CZ71" s="151" t="s">
        <v>1675</v>
      </c>
      <c r="DA71" s="151">
        <v>1564</v>
      </c>
      <c r="DB71" s="151" t="s">
        <v>1718</v>
      </c>
      <c r="DC71" s="151">
        <v>1859</v>
      </c>
      <c r="DD71" t="s">
        <v>1718</v>
      </c>
      <c r="DF71" s="155">
        <f t="shared" si="14"/>
        <v>2.25</v>
      </c>
      <c r="DG71" s="156">
        <f t="shared" si="17"/>
        <v>2.58</v>
      </c>
      <c r="DI71" s="151">
        <v>2.25</v>
      </c>
      <c r="DJ71" s="152" t="s">
        <v>593</v>
      </c>
      <c r="DK71" s="152">
        <v>1029</v>
      </c>
      <c r="DL71" s="152">
        <v>55.67</v>
      </c>
      <c r="DM71" s="151">
        <v>2.71</v>
      </c>
      <c r="DN71" s="151" t="s">
        <v>1675</v>
      </c>
      <c r="DO71" s="151">
        <v>1572</v>
      </c>
      <c r="DP71" s="151" t="s">
        <v>1718</v>
      </c>
      <c r="DQ71" s="151">
        <v>1854</v>
      </c>
      <c r="DR71" t="s">
        <v>1718</v>
      </c>
      <c r="DT71" s="155">
        <f t="shared" si="15"/>
        <v>2.25</v>
      </c>
      <c r="DU71" s="156">
        <f t="shared" si="18"/>
        <v>2.71</v>
      </c>
      <c r="DW71" s="401">
        <v>2.25</v>
      </c>
      <c r="DX71" s="401" t="s">
        <v>593</v>
      </c>
      <c r="DY71" s="402">
        <v>605.9</v>
      </c>
      <c r="DZ71" s="402">
        <v>0.88019999999999998</v>
      </c>
      <c r="EA71" s="401">
        <v>5.4</v>
      </c>
      <c r="EB71" s="401" t="s">
        <v>1675</v>
      </c>
      <c r="EC71" s="401">
        <v>1984</v>
      </c>
      <c r="ED71" s="401" t="s">
        <v>1718</v>
      </c>
      <c r="EE71" s="401">
        <v>2418</v>
      </c>
      <c r="EF71" s="403" t="s">
        <v>1718</v>
      </c>
      <c r="EH71" s="155">
        <f t="shared" si="16"/>
        <v>2.25</v>
      </c>
      <c r="EI71" s="156">
        <f t="shared" si="19"/>
        <v>5.4</v>
      </c>
    </row>
    <row r="72" spans="1:139" x14ac:dyDescent="0.2">
      <c r="A72" s="150">
        <v>2.5</v>
      </c>
      <c r="B72" s="151" t="s">
        <v>593</v>
      </c>
      <c r="C72" s="152">
        <v>1184</v>
      </c>
      <c r="D72" s="152">
        <v>13</v>
      </c>
      <c r="E72" s="151">
        <v>3.82</v>
      </c>
      <c r="F72" s="151" t="s">
        <v>1675</v>
      </c>
      <c r="G72" s="151">
        <v>2013</v>
      </c>
      <c r="H72" s="151" t="s">
        <v>1718</v>
      </c>
      <c r="I72" s="151">
        <v>2576</v>
      </c>
      <c r="J72" s="151" t="s">
        <v>1718</v>
      </c>
      <c r="L72" s="155">
        <f t="shared" si="1"/>
        <v>2.5</v>
      </c>
      <c r="M72" s="156">
        <f t="shared" si="2"/>
        <v>3.82</v>
      </c>
      <c r="N72" s="275"/>
      <c r="O72" s="150">
        <v>2.5</v>
      </c>
      <c r="P72" s="151" t="s">
        <v>593</v>
      </c>
      <c r="Q72" s="152">
        <v>1171</v>
      </c>
      <c r="R72" s="152">
        <v>9.6370000000000005</v>
      </c>
      <c r="S72" s="151">
        <v>3.62</v>
      </c>
      <c r="T72" s="151" t="s">
        <v>1675</v>
      </c>
      <c r="U72" s="151">
        <v>1768</v>
      </c>
      <c r="V72" s="151" t="s">
        <v>1718</v>
      </c>
      <c r="W72" s="151">
        <v>2244</v>
      </c>
      <c r="X72" s="151" t="s">
        <v>1718</v>
      </c>
      <c r="Z72" s="155">
        <f t="shared" si="3"/>
        <v>2.5</v>
      </c>
      <c r="AA72" s="156">
        <f t="shared" si="4"/>
        <v>3.62</v>
      </c>
      <c r="AB72" s="275"/>
      <c r="AC72" s="150">
        <v>2.5</v>
      </c>
      <c r="AD72" s="151" t="s">
        <v>593</v>
      </c>
      <c r="AE72" s="152">
        <v>150.69999999999999</v>
      </c>
      <c r="AF72" s="152">
        <v>0.13139999999999999</v>
      </c>
      <c r="AG72" s="151">
        <v>12.94</v>
      </c>
      <c r="AH72" s="151" t="s">
        <v>1675</v>
      </c>
      <c r="AI72" s="151">
        <v>4541</v>
      </c>
      <c r="AJ72" s="151" t="s">
        <v>1718</v>
      </c>
      <c r="AK72" s="151">
        <v>3050</v>
      </c>
      <c r="AL72" s="151" t="s">
        <v>1718</v>
      </c>
      <c r="AN72" s="155">
        <f t="shared" si="5"/>
        <v>2.5</v>
      </c>
      <c r="AO72" s="156">
        <f t="shared" si="6"/>
        <v>12.94</v>
      </c>
      <c r="AP72" s="275"/>
      <c r="AQ72" s="150">
        <v>2.5</v>
      </c>
      <c r="AR72" s="151" t="s">
        <v>593</v>
      </c>
      <c r="AS72" s="152">
        <v>14.06</v>
      </c>
      <c r="AT72" s="152">
        <v>9.5969999999999996E-3</v>
      </c>
      <c r="AU72" s="151">
        <v>103.73</v>
      </c>
      <c r="AV72" s="151" t="s">
        <v>1675</v>
      </c>
      <c r="AW72" s="151">
        <v>4.3499999999999996</v>
      </c>
      <c r="AX72" s="151" t="s">
        <v>1675</v>
      </c>
      <c r="AY72" s="151">
        <v>2.71</v>
      </c>
      <c r="AZ72" s="151" t="s">
        <v>1675</v>
      </c>
      <c r="BB72" s="155">
        <f t="shared" si="7"/>
        <v>2.5</v>
      </c>
      <c r="BC72" s="156">
        <f t="shared" si="8"/>
        <v>103.73</v>
      </c>
      <c r="BE72" s="150">
        <v>2.5</v>
      </c>
      <c r="BF72" s="151" t="s">
        <v>593</v>
      </c>
      <c r="BG72" s="152">
        <v>911.6</v>
      </c>
      <c r="BH72" s="152">
        <v>2.7050000000000001</v>
      </c>
      <c r="BI72" s="151">
        <v>4.3099999999999996</v>
      </c>
      <c r="BJ72" s="151" t="s">
        <v>1675</v>
      </c>
      <c r="BK72" s="151">
        <v>1656</v>
      </c>
      <c r="BL72" s="151" t="s">
        <v>1718</v>
      </c>
      <c r="BM72" s="151">
        <v>2009</v>
      </c>
      <c r="BN72" s="151" t="s">
        <v>1718</v>
      </c>
      <c r="BP72" s="155">
        <f t="shared" si="9"/>
        <v>2.5</v>
      </c>
      <c r="BQ72" s="156">
        <f t="shared" si="10"/>
        <v>4.3099999999999996</v>
      </c>
      <c r="BS72" s="150">
        <v>2.5</v>
      </c>
      <c r="BT72" s="151" t="s">
        <v>593</v>
      </c>
      <c r="BU72" s="152">
        <v>1196</v>
      </c>
      <c r="BV72" s="152">
        <v>7.9880000000000004</v>
      </c>
      <c r="BW72" s="151">
        <v>3.64</v>
      </c>
      <c r="BX72" s="151" t="s">
        <v>1675</v>
      </c>
      <c r="BY72" s="151">
        <v>1669</v>
      </c>
      <c r="BZ72" s="151" t="s">
        <v>1718</v>
      </c>
      <c r="CA72" s="151">
        <v>2099</v>
      </c>
      <c r="CB72" s="151" t="s">
        <v>1718</v>
      </c>
      <c r="CD72" s="155">
        <f t="shared" si="11"/>
        <v>2.5</v>
      </c>
      <c r="CE72" s="156">
        <f t="shared" si="12"/>
        <v>3.64</v>
      </c>
      <c r="CG72" s="150">
        <v>2.5</v>
      </c>
      <c r="CH72" s="151" t="s">
        <v>593</v>
      </c>
      <c r="CI72" s="152">
        <v>1078</v>
      </c>
      <c r="CJ72" s="152">
        <v>10.98</v>
      </c>
      <c r="CK72" s="151">
        <v>3.85</v>
      </c>
      <c r="CL72" s="151" t="s">
        <v>1675</v>
      </c>
      <c r="CM72" s="151">
        <v>1878</v>
      </c>
      <c r="CN72" s="151" t="s">
        <v>1718</v>
      </c>
      <c r="CO72" s="151">
        <v>2375</v>
      </c>
      <c r="CP72" s="151" t="s">
        <v>1718</v>
      </c>
      <c r="CR72" s="155">
        <f t="shared" si="20"/>
        <v>2.5</v>
      </c>
      <c r="CS72" s="156">
        <f t="shared" si="13"/>
        <v>3.85</v>
      </c>
      <c r="CU72" s="151">
        <v>2.5</v>
      </c>
      <c r="CV72" s="152" t="s">
        <v>593</v>
      </c>
      <c r="CW72" s="152">
        <v>1230</v>
      </c>
      <c r="CX72" s="152">
        <v>53.18</v>
      </c>
      <c r="CY72" s="151">
        <v>2.78</v>
      </c>
      <c r="CZ72" s="151" t="s">
        <v>1675</v>
      </c>
      <c r="DA72" s="151">
        <v>1622</v>
      </c>
      <c r="DB72" s="151" t="s">
        <v>1718</v>
      </c>
      <c r="DC72" s="151">
        <v>1937</v>
      </c>
      <c r="DD72" t="s">
        <v>1718</v>
      </c>
      <c r="DF72" s="155">
        <f t="shared" si="14"/>
        <v>2.5</v>
      </c>
      <c r="DG72" s="156">
        <f t="shared" si="17"/>
        <v>2.78</v>
      </c>
      <c r="DI72" s="151">
        <v>2.5</v>
      </c>
      <c r="DJ72" s="152" t="s">
        <v>593</v>
      </c>
      <c r="DK72" s="152">
        <v>1084</v>
      </c>
      <c r="DL72" s="152">
        <v>51.53</v>
      </c>
      <c r="DM72" s="151">
        <v>2.93</v>
      </c>
      <c r="DN72" s="151" t="s">
        <v>1675</v>
      </c>
      <c r="DO72" s="151">
        <v>1640</v>
      </c>
      <c r="DP72" s="151" t="s">
        <v>1718</v>
      </c>
      <c r="DQ72" s="151">
        <v>1940</v>
      </c>
      <c r="DR72" t="s">
        <v>1718</v>
      </c>
      <c r="DT72" s="155">
        <f t="shared" si="15"/>
        <v>2.5</v>
      </c>
      <c r="DU72" s="156">
        <f t="shared" si="18"/>
        <v>2.93</v>
      </c>
      <c r="DW72" s="401">
        <v>2.5</v>
      </c>
      <c r="DX72" s="401" t="s">
        <v>593</v>
      </c>
      <c r="DY72" s="402">
        <v>604.79999999999995</v>
      </c>
      <c r="DZ72" s="402">
        <v>0.80479999999999996</v>
      </c>
      <c r="EA72" s="401">
        <v>5.82</v>
      </c>
      <c r="EB72" s="401" t="s">
        <v>1675</v>
      </c>
      <c r="EC72" s="401">
        <v>2078</v>
      </c>
      <c r="ED72" s="401" t="s">
        <v>1718</v>
      </c>
      <c r="EE72" s="401">
        <v>2463</v>
      </c>
      <c r="EF72" s="403" t="s">
        <v>1718</v>
      </c>
      <c r="EH72" s="155">
        <f t="shared" si="16"/>
        <v>2.5</v>
      </c>
      <c r="EI72" s="156">
        <f t="shared" si="19"/>
        <v>5.82</v>
      </c>
    </row>
    <row r="73" spans="1:139" x14ac:dyDescent="0.2">
      <c r="A73" s="150">
        <v>2.75</v>
      </c>
      <c r="B73" s="151" t="s">
        <v>593</v>
      </c>
      <c r="C73" s="152">
        <v>1262</v>
      </c>
      <c r="D73" s="152">
        <v>12.05</v>
      </c>
      <c r="E73" s="151">
        <v>4.0199999999999996</v>
      </c>
      <c r="F73" s="151" t="s">
        <v>1675</v>
      </c>
      <c r="G73" s="151">
        <v>2048</v>
      </c>
      <c r="H73" s="151" t="s">
        <v>1718</v>
      </c>
      <c r="I73" s="151">
        <v>2623</v>
      </c>
      <c r="J73" s="151" t="s">
        <v>1718</v>
      </c>
      <c r="L73" s="155">
        <f t="shared" si="1"/>
        <v>2.75</v>
      </c>
      <c r="M73" s="156">
        <f t="shared" si="2"/>
        <v>4.0199999999999996</v>
      </c>
      <c r="N73" s="275"/>
      <c r="O73" s="150">
        <v>2.75</v>
      </c>
      <c r="P73" s="151" t="s">
        <v>593</v>
      </c>
      <c r="Q73" s="152">
        <v>1231</v>
      </c>
      <c r="R73" s="152">
        <v>8.9260000000000002</v>
      </c>
      <c r="S73" s="151">
        <v>3.82</v>
      </c>
      <c r="T73" s="151" t="s">
        <v>1675</v>
      </c>
      <c r="U73" s="151">
        <v>1804</v>
      </c>
      <c r="V73" s="151" t="s">
        <v>1718</v>
      </c>
      <c r="W73" s="151">
        <v>2286</v>
      </c>
      <c r="X73" s="151" t="s">
        <v>1718</v>
      </c>
      <c r="Z73" s="155">
        <f t="shared" si="3"/>
        <v>2.75</v>
      </c>
      <c r="AA73" s="156">
        <f t="shared" si="4"/>
        <v>3.82</v>
      </c>
      <c r="AB73" s="275"/>
      <c r="AC73" s="150">
        <v>2.75</v>
      </c>
      <c r="AD73" s="151" t="s">
        <v>593</v>
      </c>
      <c r="AE73" s="152">
        <v>142.1</v>
      </c>
      <c r="AF73" s="152">
        <v>0.121</v>
      </c>
      <c r="AG73" s="151">
        <v>14.65</v>
      </c>
      <c r="AH73" s="151" t="s">
        <v>1675</v>
      </c>
      <c r="AI73" s="151">
        <v>5171</v>
      </c>
      <c r="AJ73" s="151" t="s">
        <v>1718</v>
      </c>
      <c r="AK73" s="151">
        <v>3246</v>
      </c>
      <c r="AL73" s="151" t="s">
        <v>1718</v>
      </c>
      <c r="AN73" s="155">
        <f t="shared" si="5"/>
        <v>2.75</v>
      </c>
      <c r="AO73" s="156">
        <f t="shared" si="6"/>
        <v>14.65</v>
      </c>
      <c r="AP73" s="275"/>
      <c r="AQ73" s="150">
        <v>2.75</v>
      </c>
      <c r="AR73" s="151" t="s">
        <v>593</v>
      </c>
      <c r="AS73" s="152">
        <v>13.06</v>
      </c>
      <c r="AT73" s="152">
        <v>8.8149999999999999E-3</v>
      </c>
      <c r="AU73" s="151">
        <v>122.15</v>
      </c>
      <c r="AV73" s="151" t="s">
        <v>1675</v>
      </c>
      <c r="AW73" s="151">
        <v>5.1100000000000003</v>
      </c>
      <c r="AX73" s="151" t="s">
        <v>1675</v>
      </c>
      <c r="AY73" s="151">
        <v>3.17</v>
      </c>
      <c r="AZ73" s="151" t="s">
        <v>1675</v>
      </c>
      <c r="BB73" s="155">
        <f t="shared" si="7"/>
        <v>2.75</v>
      </c>
      <c r="BC73" s="156">
        <f t="shared" si="8"/>
        <v>122.15</v>
      </c>
      <c r="BE73" s="150">
        <v>2.75</v>
      </c>
      <c r="BF73" s="151" t="s">
        <v>593</v>
      </c>
      <c r="BG73" s="152">
        <v>933.6</v>
      </c>
      <c r="BH73" s="152">
        <v>2.4990000000000001</v>
      </c>
      <c r="BI73" s="151">
        <v>4.58</v>
      </c>
      <c r="BJ73" s="151" t="s">
        <v>1675</v>
      </c>
      <c r="BK73" s="151">
        <v>1708</v>
      </c>
      <c r="BL73" s="151" t="s">
        <v>1718</v>
      </c>
      <c r="BM73" s="151">
        <v>2046</v>
      </c>
      <c r="BN73" s="151" t="s">
        <v>1718</v>
      </c>
      <c r="BP73" s="155">
        <f t="shared" si="9"/>
        <v>2.75</v>
      </c>
      <c r="BQ73" s="156">
        <f t="shared" si="10"/>
        <v>4.58</v>
      </c>
      <c r="BS73" s="150">
        <v>2.75</v>
      </c>
      <c r="BT73" s="151" t="s">
        <v>593</v>
      </c>
      <c r="BU73" s="152">
        <v>1261</v>
      </c>
      <c r="BV73" s="152">
        <v>7.3949999999999996</v>
      </c>
      <c r="BW73" s="151">
        <v>3.85</v>
      </c>
      <c r="BX73" s="151" t="s">
        <v>1675</v>
      </c>
      <c r="BY73" s="151">
        <v>1704</v>
      </c>
      <c r="BZ73" s="151" t="s">
        <v>1718</v>
      </c>
      <c r="CA73" s="151">
        <v>2136</v>
      </c>
      <c r="CB73" s="151" t="s">
        <v>1718</v>
      </c>
      <c r="CD73" s="155">
        <f t="shared" si="11"/>
        <v>2.75</v>
      </c>
      <c r="CE73" s="156">
        <f t="shared" si="12"/>
        <v>3.85</v>
      </c>
      <c r="CG73" s="150">
        <v>2.75</v>
      </c>
      <c r="CH73" s="151" t="s">
        <v>593</v>
      </c>
      <c r="CI73" s="152">
        <v>1135</v>
      </c>
      <c r="CJ73" s="152">
        <v>10.17</v>
      </c>
      <c r="CK73" s="151">
        <v>4.08</v>
      </c>
      <c r="CL73" s="151" t="s">
        <v>1675</v>
      </c>
      <c r="CM73" s="151">
        <v>1919</v>
      </c>
      <c r="CN73" s="151" t="s">
        <v>1718</v>
      </c>
      <c r="CO73" s="151">
        <v>2422</v>
      </c>
      <c r="CP73" s="151" t="s">
        <v>1718</v>
      </c>
      <c r="CR73" s="155">
        <f t="shared" ref="CR73:CR104" si="21">IF((CH73="GeV"),CG73*1000,IF((CH73="keV"),CG73*0.001,CG73))</f>
        <v>2.75</v>
      </c>
      <c r="CS73" s="156">
        <f t="shared" si="13"/>
        <v>4.08</v>
      </c>
      <c r="CU73" s="151">
        <v>2.75</v>
      </c>
      <c r="CV73" s="152" t="s">
        <v>593</v>
      </c>
      <c r="CW73" s="152">
        <v>1305</v>
      </c>
      <c r="CX73" s="152">
        <v>49.56</v>
      </c>
      <c r="CY73" s="151">
        <v>2.97</v>
      </c>
      <c r="CZ73" s="151" t="s">
        <v>1675</v>
      </c>
      <c r="DA73" s="151">
        <v>1671</v>
      </c>
      <c r="DB73" s="151" t="s">
        <v>1718</v>
      </c>
      <c r="DC73" s="151">
        <v>2006</v>
      </c>
      <c r="DD73" t="s">
        <v>1718</v>
      </c>
      <c r="DF73" s="155">
        <f t="shared" si="14"/>
        <v>2.75</v>
      </c>
      <c r="DG73" s="156">
        <f t="shared" si="17"/>
        <v>2.97</v>
      </c>
      <c r="DI73" s="151">
        <v>2.75</v>
      </c>
      <c r="DJ73" s="152" t="s">
        <v>593</v>
      </c>
      <c r="DK73" s="152">
        <v>1140</v>
      </c>
      <c r="DL73" s="152">
        <v>48.02</v>
      </c>
      <c r="DM73" s="151">
        <v>3.14</v>
      </c>
      <c r="DN73" s="151" t="s">
        <v>1675</v>
      </c>
      <c r="DO73" s="151">
        <v>1699</v>
      </c>
      <c r="DP73" s="151" t="s">
        <v>1718</v>
      </c>
      <c r="DQ73" s="151">
        <v>2017</v>
      </c>
      <c r="DR73" t="s">
        <v>1718</v>
      </c>
      <c r="DT73" s="155">
        <f t="shared" si="15"/>
        <v>2.75</v>
      </c>
      <c r="DU73" s="156">
        <f t="shared" si="18"/>
        <v>3.14</v>
      </c>
      <c r="DW73" s="401">
        <v>2.75</v>
      </c>
      <c r="DX73" s="401" t="s">
        <v>593</v>
      </c>
      <c r="DY73" s="402">
        <v>600.9</v>
      </c>
      <c r="DZ73" s="402">
        <v>0.7419</v>
      </c>
      <c r="EA73" s="401">
        <v>6.23</v>
      </c>
      <c r="EB73" s="401" t="s">
        <v>1675</v>
      </c>
      <c r="EC73" s="401">
        <v>2169</v>
      </c>
      <c r="ED73" s="401" t="s">
        <v>1718</v>
      </c>
      <c r="EE73" s="401">
        <v>2506</v>
      </c>
      <c r="EF73" s="403" t="s">
        <v>1718</v>
      </c>
      <c r="EH73" s="155">
        <f t="shared" si="16"/>
        <v>2.75</v>
      </c>
      <c r="EI73" s="156">
        <f t="shared" si="19"/>
        <v>6.23</v>
      </c>
    </row>
    <row r="74" spans="1:139" x14ac:dyDescent="0.2">
      <c r="A74" s="150">
        <v>3</v>
      </c>
      <c r="B74" s="151" t="s">
        <v>593</v>
      </c>
      <c r="C74" s="152">
        <v>1335</v>
      </c>
      <c r="D74" s="152">
        <v>11.24</v>
      </c>
      <c r="E74" s="151">
        <v>4.21</v>
      </c>
      <c r="F74" s="151" t="s">
        <v>1675</v>
      </c>
      <c r="G74" s="151">
        <v>2077</v>
      </c>
      <c r="H74" s="151" t="s">
        <v>1718</v>
      </c>
      <c r="I74" s="151">
        <v>2663</v>
      </c>
      <c r="J74" s="151" t="s">
        <v>1718</v>
      </c>
      <c r="L74" s="155">
        <f t="shared" ref="L74:L137" si="22">IF((B74="GeV"),A74*1000,IF((B74="keV"),A74*0.001,A74))</f>
        <v>3</v>
      </c>
      <c r="M74" s="156">
        <f t="shared" ref="M74:M137" si="23">IF((F74="m"),E74*1000000,IF((F74="mm"),E74*1000,IF((F74="A"),E74*0.0001,E74)))</f>
        <v>4.21</v>
      </c>
      <c r="N74" s="275"/>
      <c r="O74" s="150">
        <v>3</v>
      </c>
      <c r="P74" s="151" t="s">
        <v>593</v>
      </c>
      <c r="Q74" s="152">
        <v>1286</v>
      </c>
      <c r="R74" s="152">
        <v>8.32</v>
      </c>
      <c r="S74" s="151">
        <v>4.0199999999999996</v>
      </c>
      <c r="T74" s="151" t="s">
        <v>1675</v>
      </c>
      <c r="U74" s="151">
        <v>1836</v>
      </c>
      <c r="V74" s="151" t="s">
        <v>1718</v>
      </c>
      <c r="W74" s="151">
        <v>2323</v>
      </c>
      <c r="X74" s="151" t="s">
        <v>1718</v>
      </c>
      <c r="Z74" s="155">
        <f t="shared" ref="Z74:Z137" si="24">IF((P74="GeV"),O74*1000,IF((P74="keV"),O74*0.001,O74))</f>
        <v>3</v>
      </c>
      <c r="AA74" s="156">
        <f t="shared" ref="AA74:AA137" si="25">IF((T74="m"),S74*1000000,IF((T74="mm"),S74*1000,IF((T74="A"),S74*0.0001,S74)))</f>
        <v>4.0199999999999996</v>
      </c>
      <c r="AB74" s="275"/>
      <c r="AC74" s="150">
        <v>3</v>
      </c>
      <c r="AD74" s="151" t="s">
        <v>593</v>
      </c>
      <c r="AE74" s="152">
        <v>134.5</v>
      </c>
      <c r="AF74" s="152">
        <v>0.11210000000000001</v>
      </c>
      <c r="AG74" s="151">
        <v>16.45</v>
      </c>
      <c r="AH74" s="151" t="s">
        <v>1675</v>
      </c>
      <c r="AI74" s="151">
        <v>5797</v>
      </c>
      <c r="AJ74" s="151" t="s">
        <v>1718</v>
      </c>
      <c r="AK74" s="151">
        <v>3455</v>
      </c>
      <c r="AL74" s="151" t="s">
        <v>1718</v>
      </c>
      <c r="AN74" s="155">
        <f t="shared" ref="AN74:AN137" si="26">IF((AD74="GeV"),AC74*1000,IF((AD74="keV"),AC74*0.001,AC74))</f>
        <v>3</v>
      </c>
      <c r="AO74" s="156">
        <f t="shared" ref="AO74:AO137" si="27">IF((AH74="m"),AG74*1000000,IF((AH74="mm"),AG74*1000,IF((AH74="A"),AG74*0.0001,AG74)))</f>
        <v>16.45</v>
      </c>
      <c r="AP74" s="275"/>
      <c r="AQ74" s="150">
        <v>3</v>
      </c>
      <c r="AR74" s="151" t="s">
        <v>593</v>
      </c>
      <c r="AS74" s="152">
        <v>12.2</v>
      </c>
      <c r="AT74" s="152">
        <v>8.1569999999999993E-3</v>
      </c>
      <c r="AU74" s="151">
        <v>141.93</v>
      </c>
      <c r="AV74" s="151" t="s">
        <v>1675</v>
      </c>
      <c r="AW74" s="151">
        <v>5.88</v>
      </c>
      <c r="AX74" s="151" t="s">
        <v>1675</v>
      </c>
      <c r="AY74" s="151">
        <v>3.65</v>
      </c>
      <c r="AZ74" s="151" t="s">
        <v>1675</v>
      </c>
      <c r="BB74" s="155">
        <f t="shared" ref="BB74:BB137" si="28">IF((AR74="GeV"),AQ74*1000,IF((AR74="keV"),AQ74*0.001,AQ74))</f>
        <v>3</v>
      </c>
      <c r="BC74" s="156">
        <f t="shared" ref="BC74:BC137" si="29">IF((AV74="m"),AU74*1000000,IF((AV74="mm"),AU74*1000,IF((AV74="A"),AU74*0.0001,AU74)))</f>
        <v>141.93</v>
      </c>
      <c r="BE74" s="150">
        <v>3</v>
      </c>
      <c r="BF74" s="151" t="s">
        <v>593</v>
      </c>
      <c r="BG74" s="152">
        <v>950.7</v>
      </c>
      <c r="BH74" s="152">
        <v>2.3239999999999998</v>
      </c>
      <c r="BI74" s="151">
        <v>4.8499999999999996</v>
      </c>
      <c r="BJ74" s="151" t="s">
        <v>1675</v>
      </c>
      <c r="BK74" s="151">
        <v>1757</v>
      </c>
      <c r="BL74" s="151" t="s">
        <v>1718</v>
      </c>
      <c r="BM74" s="151">
        <v>2080</v>
      </c>
      <c r="BN74" s="151" t="s">
        <v>1718</v>
      </c>
      <c r="BP74" s="155">
        <f t="shared" ref="BP74:BP137" si="30">IF((BF74="GeV"),BE74*1000,IF((BF74="keV"),BE74*0.001,BE74))</f>
        <v>3</v>
      </c>
      <c r="BQ74" s="156">
        <f t="shared" ref="BQ74:BQ137" si="31">IF((BJ74="m"),BI74*1000000,IF((BJ74="mm"),BI74*1000,IF((BJ74="A"),BI74*0.0001,BI74)))</f>
        <v>4.8499999999999996</v>
      </c>
      <c r="BS74" s="150">
        <v>3</v>
      </c>
      <c r="BT74" s="151" t="s">
        <v>593</v>
      </c>
      <c r="BU74" s="152">
        <v>1319</v>
      </c>
      <c r="BV74" s="152">
        <v>6.89</v>
      </c>
      <c r="BW74" s="151">
        <v>4.04</v>
      </c>
      <c r="BX74" s="151" t="s">
        <v>1675</v>
      </c>
      <c r="BY74" s="151">
        <v>1734</v>
      </c>
      <c r="BZ74" s="151" t="s">
        <v>1718</v>
      </c>
      <c r="CA74" s="151">
        <v>2169</v>
      </c>
      <c r="CB74" s="151" t="s">
        <v>1718</v>
      </c>
      <c r="CD74" s="155">
        <f t="shared" ref="CD74:CD137" si="32">IF((BT74="GeV"),BS74*1000,IF((BT74="keV"),BS74*0.001,BS74))</f>
        <v>3</v>
      </c>
      <c r="CE74" s="156">
        <f t="shared" ref="CE74:CE137" si="33">IF((BX74="m"),BW74*1000000,IF((BX74="mm"),BW74*1000,IF((BX74="A"),BW74*0.0001,BW74)))</f>
        <v>4.04</v>
      </c>
      <c r="CG74" s="150">
        <v>3</v>
      </c>
      <c r="CH74" s="151" t="s">
        <v>593</v>
      </c>
      <c r="CI74" s="152">
        <v>1189</v>
      </c>
      <c r="CJ74" s="152">
        <v>9.4870000000000001</v>
      </c>
      <c r="CK74" s="151">
        <v>4.29</v>
      </c>
      <c r="CL74" s="151" t="s">
        <v>1675</v>
      </c>
      <c r="CM74" s="151">
        <v>1955</v>
      </c>
      <c r="CN74" s="151" t="s">
        <v>1718</v>
      </c>
      <c r="CO74" s="151">
        <v>2465</v>
      </c>
      <c r="CP74" s="151" t="s">
        <v>1718</v>
      </c>
      <c r="CR74" s="155">
        <f t="shared" si="21"/>
        <v>3</v>
      </c>
      <c r="CS74" s="156">
        <f t="shared" ref="CS74:CS137" si="34">IF((CL74="m"),CK74*1000000,IF((CL74="mm"),CK74*1000,IF((CL74="A"),CK74*0.0001,CK74)))</f>
        <v>4.29</v>
      </c>
      <c r="CU74" s="151">
        <v>3</v>
      </c>
      <c r="CV74" s="152" t="s">
        <v>593</v>
      </c>
      <c r="CW74" s="152">
        <v>1378</v>
      </c>
      <c r="CX74" s="152">
        <v>46.44</v>
      </c>
      <c r="CY74" s="151">
        <v>3.15</v>
      </c>
      <c r="CZ74" s="151" t="s">
        <v>1675</v>
      </c>
      <c r="DA74" s="151">
        <v>1714</v>
      </c>
      <c r="DB74" s="151" t="s">
        <v>1718</v>
      </c>
      <c r="DC74" s="151">
        <v>2067</v>
      </c>
      <c r="DD74" t="s">
        <v>1718</v>
      </c>
      <c r="DF74" s="155">
        <f t="shared" ref="DF74:DF137" si="35">IF((CV74="GeV"),CU74*1000,IF((CV74="keV"),CU74*0.001,CU74))</f>
        <v>3</v>
      </c>
      <c r="DG74" s="156">
        <f t="shared" si="17"/>
        <v>3.15</v>
      </c>
      <c r="DI74" s="151">
        <v>3</v>
      </c>
      <c r="DJ74" s="152" t="s">
        <v>593</v>
      </c>
      <c r="DK74" s="152">
        <v>1196</v>
      </c>
      <c r="DL74" s="152">
        <v>45</v>
      </c>
      <c r="DM74" s="151">
        <v>3.35</v>
      </c>
      <c r="DN74" s="151" t="s">
        <v>1675</v>
      </c>
      <c r="DO74" s="151">
        <v>1751</v>
      </c>
      <c r="DP74" s="151" t="s">
        <v>1718</v>
      </c>
      <c r="DQ74" s="151">
        <v>2087</v>
      </c>
      <c r="DR74" t="s">
        <v>1718</v>
      </c>
      <c r="DT74" s="155">
        <f t="shared" ref="DT74:DT137" si="36">IF((DJ74="GeV"),DI74*1000,IF((DJ74="keV"),DI74*0.001,DI74))</f>
        <v>3</v>
      </c>
      <c r="DU74" s="156">
        <f t="shared" si="18"/>
        <v>3.35</v>
      </c>
      <c r="DW74" s="401">
        <v>3</v>
      </c>
      <c r="DX74" s="401" t="s">
        <v>593</v>
      </c>
      <c r="DY74" s="402">
        <v>595.1</v>
      </c>
      <c r="DZ74" s="402">
        <v>0.68879999999999997</v>
      </c>
      <c r="EA74" s="401">
        <v>6.65</v>
      </c>
      <c r="EB74" s="401" t="s">
        <v>1675</v>
      </c>
      <c r="EC74" s="401">
        <v>2257</v>
      </c>
      <c r="ED74" s="401" t="s">
        <v>1718</v>
      </c>
      <c r="EE74" s="401">
        <v>2546</v>
      </c>
      <c r="EF74" s="403" t="s">
        <v>1718</v>
      </c>
      <c r="EH74" s="155">
        <f t="shared" ref="EH74:EH137" si="37">IF((DX74="GeV"),DW74*1000,IF((DX74="keV"),DW74*0.001,DW74))</f>
        <v>3</v>
      </c>
      <c r="EI74" s="156">
        <f t="shared" si="19"/>
        <v>6.65</v>
      </c>
    </row>
    <row r="75" spans="1:139" x14ac:dyDescent="0.2">
      <c r="A75" s="150">
        <v>3.25</v>
      </c>
      <c r="B75" s="151" t="s">
        <v>593</v>
      </c>
      <c r="C75" s="152">
        <v>1403</v>
      </c>
      <c r="D75" s="152">
        <v>10.54</v>
      </c>
      <c r="E75" s="151">
        <v>4.4000000000000004</v>
      </c>
      <c r="F75" s="151" t="s">
        <v>1675</v>
      </c>
      <c r="G75" s="151">
        <v>2103</v>
      </c>
      <c r="H75" s="151" t="s">
        <v>1718</v>
      </c>
      <c r="I75" s="151">
        <v>2699</v>
      </c>
      <c r="J75" s="151" t="s">
        <v>1718</v>
      </c>
      <c r="L75" s="155">
        <f t="shared" si="22"/>
        <v>3.25</v>
      </c>
      <c r="M75" s="156">
        <f t="shared" si="23"/>
        <v>4.4000000000000004</v>
      </c>
      <c r="N75" s="275"/>
      <c r="O75" s="150">
        <v>3.25</v>
      </c>
      <c r="P75" s="151" t="s">
        <v>593</v>
      </c>
      <c r="Q75" s="152">
        <v>1336</v>
      </c>
      <c r="R75" s="152">
        <v>7.7969999999999997</v>
      </c>
      <c r="S75" s="151">
        <v>4.21</v>
      </c>
      <c r="T75" s="151" t="s">
        <v>1675</v>
      </c>
      <c r="U75" s="151">
        <v>1865</v>
      </c>
      <c r="V75" s="151" t="s">
        <v>1718</v>
      </c>
      <c r="W75" s="151">
        <v>2357</v>
      </c>
      <c r="X75" s="151" t="s">
        <v>1718</v>
      </c>
      <c r="Z75" s="155">
        <f t="shared" si="24"/>
        <v>3.25</v>
      </c>
      <c r="AA75" s="156">
        <f t="shared" si="25"/>
        <v>4.21</v>
      </c>
      <c r="AB75" s="275"/>
      <c r="AC75" s="150">
        <v>3.25</v>
      </c>
      <c r="AD75" s="151" t="s">
        <v>593</v>
      </c>
      <c r="AE75" s="152">
        <v>127.6</v>
      </c>
      <c r="AF75" s="152">
        <v>0.1045</v>
      </c>
      <c r="AG75" s="151">
        <v>18.36</v>
      </c>
      <c r="AH75" s="151" t="s">
        <v>1675</v>
      </c>
      <c r="AI75" s="151">
        <v>6422</v>
      </c>
      <c r="AJ75" s="151" t="s">
        <v>1718</v>
      </c>
      <c r="AK75" s="151">
        <v>3677</v>
      </c>
      <c r="AL75" s="151" t="s">
        <v>1718</v>
      </c>
      <c r="AN75" s="155">
        <f t="shared" si="26"/>
        <v>3.25</v>
      </c>
      <c r="AO75" s="156">
        <f t="shared" si="27"/>
        <v>18.36</v>
      </c>
      <c r="AP75" s="275"/>
      <c r="AQ75" s="150">
        <v>3.25</v>
      </c>
      <c r="AR75" s="151" t="s">
        <v>593</v>
      </c>
      <c r="AS75" s="152">
        <v>11.45</v>
      </c>
      <c r="AT75" s="152">
        <v>7.5940000000000001E-3</v>
      </c>
      <c r="AU75" s="151">
        <v>163.05000000000001</v>
      </c>
      <c r="AV75" s="151" t="s">
        <v>1675</v>
      </c>
      <c r="AW75" s="151">
        <v>6.64</v>
      </c>
      <c r="AX75" s="151" t="s">
        <v>1675</v>
      </c>
      <c r="AY75" s="151">
        <v>4.16</v>
      </c>
      <c r="AZ75" s="151" t="s">
        <v>1675</v>
      </c>
      <c r="BB75" s="155">
        <f t="shared" si="28"/>
        <v>3.25</v>
      </c>
      <c r="BC75" s="156">
        <f t="shared" si="29"/>
        <v>163.05000000000001</v>
      </c>
      <c r="BE75" s="150">
        <v>3.25</v>
      </c>
      <c r="BF75" s="151" t="s">
        <v>593</v>
      </c>
      <c r="BG75" s="152">
        <v>963.7</v>
      </c>
      <c r="BH75" s="152">
        <v>2.173</v>
      </c>
      <c r="BI75" s="151">
        <v>5.1100000000000003</v>
      </c>
      <c r="BJ75" s="151" t="s">
        <v>1675</v>
      </c>
      <c r="BK75" s="151">
        <v>1803</v>
      </c>
      <c r="BL75" s="151" t="s">
        <v>1718</v>
      </c>
      <c r="BM75" s="151">
        <v>2111</v>
      </c>
      <c r="BN75" s="151" t="s">
        <v>1718</v>
      </c>
      <c r="BP75" s="155">
        <f t="shared" si="30"/>
        <v>3.25</v>
      </c>
      <c r="BQ75" s="156">
        <f t="shared" si="31"/>
        <v>5.1100000000000003</v>
      </c>
      <c r="BS75" s="150">
        <v>3.25</v>
      </c>
      <c r="BT75" s="151" t="s">
        <v>593</v>
      </c>
      <c r="BU75" s="152">
        <v>1371</v>
      </c>
      <c r="BV75" s="152">
        <v>6.4550000000000001</v>
      </c>
      <c r="BW75" s="151">
        <v>4.22</v>
      </c>
      <c r="BX75" s="151" t="s">
        <v>1675</v>
      </c>
      <c r="BY75" s="151">
        <v>1762</v>
      </c>
      <c r="BZ75" s="151" t="s">
        <v>1718</v>
      </c>
      <c r="CA75" s="151">
        <v>2198</v>
      </c>
      <c r="CB75" s="151" t="s">
        <v>1718</v>
      </c>
      <c r="CD75" s="155">
        <f t="shared" si="32"/>
        <v>3.25</v>
      </c>
      <c r="CE75" s="156">
        <f t="shared" si="33"/>
        <v>4.22</v>
      </c>
      <c r="CG75" s="150">
        <v>3.25</v>
      </c>
      <c r="CH75" s="151" t="s">
        <v>593</v>
      </c>
      <c r="CI75" s="152">
        <v>1239</v>
      </c>
      <c r="CJ75" s="152">
        <v>8.8940000000000001</v>
      </c>
      <c r="CK75" s="151">
        <v>4.49</v>
      </c>
      <c r="CL75" s="151" t="s">
        <v>1675</v>
      </c>
      <c r="CM75" s="151">
        <v>1987</v>
      </c>
      <c r="CN75" s="151" t="s">
        <v>1718</v>
      </c>
      <c r="CO75" s="151">
        <v>2503</v>
      </c>
      <c r="CP75" s="151" t="s">
        <v>1718</v>
      </c>
      <c r="CR75" s="155">
        <f t="shared" si="21"/>
        <v>3.25</v>
      </c>
      <c r="CS75" s="156">
        <f t="shared" si="34"/>
        <v>4.49</v>
      </c>
      <c r="CU75" s="151">
        <v>3.25</v>
      </c>
      <c r="CV75" s="152" t="s">
        <v>593</v>
      </c>
      <c r="CW75" s="152">
        <v>1452</v>
      </c>
      <c r="CX75" s="152">
        <v>43.73</v>
      </c>
      <c r="CY75" s="151">
        <v>3.32</v>
      </c>
      <c r="CZ75" s="151" t="s">
        <v>1675</v>
      </c>
      <c r="DA75" s="151">
        <v>1752</v>
      </c>
      <c r="DB75" s="151" t="s">
        <v>1718</v>
      </c>
      <c r="DC75" s="151">
        <v>2123</v>
      </c>
      <c r="DD75" t="s">
        <v>1718</v>
      </c>
      <c r="DF75" s="155">
        <f t="shared" si="35"/>
        <v>3.25</v>
      </c>
      <c r="DG75" s="156">
        <f t="shared" ref="DG75:DG138" si="38">IF((CZ75="m"),CY75*1000000,IF((CZ75="mm"),CY75*1000,IF((CZ75="A"),CY75*0.0001,CY75)))</f>
        <v>3.32</v>
      </c>
      <c r="DI75" s="151">
        <v>3.25</v>
      </c>
      <c r="DJ75" s="152" t="s">
        <v>593</v>
      </c>
      <c r="DK75" s="152">
        <v>1253</v>
      </c>
      <c r="DL75" s="152">
        <v>42.38</v>
      </c>
      <c r="DM75" s="151">
        <v>3.54</v>
      </c>
      <c r="DN75" s="151" t="s">
        <v>1675</v>
      </c>
      <c r="DO75" s="151">
        <v>1798</v>
      </c>
      <c r="DP75" s="151" t="s">
        <v>1718</v>
      </c>
      <c r="DQ75" s="151">
        <v>2151</v>
      </c>
      <c r="DR75" t="s">
        <v>1718</v>
      </c>
      <c r="DT75" s="155">
        <f t="shared" si="36"/>
        <v>3.25</v>
      </c>
      <c r="DU75" s="156">
        <f t="shared" ref="DU75:DU138" si="39">IF((DN75="m"),DM75*1000000,IF((DN75="mm"),DM75*1000,IF((DN75="A"),DM75*0.0001,DM75)))</f>
        <v>3.54</v>
      </c>
      <c r="DW75" s="401">
        <v>3.25</v>
      </c>
      <c r="DX75" s="401" t="s">
        <v>593</v>
      </c>
      <c r="DY75" s="402">
        <v>587.79999999999995</v>
      </c>
      <c r="DZ75" s="402">
        <v>0.6431</v>
      </c>
      <c r="EA75" s="401">
        <v>7.07</v>
      </c>
      <c r="EB75" s="401" t="s">
        <v>1675</v>
      </c>
      <c r="EC75" s="401">
        <v>2343</v>
      </c>
      <c r="ED75" s="401" t="s">
        <v>1718</v>
      </c>
      <c r="EE75" s="401">
        <v>2585</v>
      </c>
      <c r="EF75" s="403" t="s">
        <v>1718</v>
      </c>
      <c r="EH75" s="155">
        <f t="shared" si="37"/>
        <v>3.25</v>
      </c>
      <c r="EI75" s="156">
        <f t="shared" ref="EI75:EI138" si="40">IF((EB75="m"),EA75*1000000,IF((EB75="mm"),EA75*1000,IF((EB75="A"),EA75*0.0001,EA75)))</f>
        <v>7.07</v>
      </c>
    </row>
    <row r="76" spans="1:139" x14ac:dyDescent="0.2">
      <c r="A76" s="150">
        <v>3.5</v>
      </c>
      <c r="B76" s="151" t="s">
        <v>593</v>
      </c>
      <c r="C76" s="152">
        <v>1467</v>
      </c>
      <c r="D76" s="152">
        <v>9.93</v>
      </c>
      <c r="E76" s="151">
        <v>4.57</v>
      </c>
      <c r="F76" s="151" t="s">
        <v>1675</v>
      </c>
      <c r="G76" s="151">
        <v>2127</v>
      </c>
      <c r="H76" s="151" t="s">
        <v>1718</v>
      </c>
      <c r="I76" s="151">
        <v>2731</v>
      </c>
      <c r="J76" s="151" t="s">
        <v>1718</v>
      </c>
      <c r="L76" s="155">
        <f t="shared" si="22"/>
        <v>3.5</v>
      </c>
      <c r="M76" s="156">
        <f t="shared" si="23"/>
        <v>4.57</v>
      </c>
      <c r="N76" s="275"/>
      <c r="O76" s="150">
        <v>3.5</v>
      </c>
      <c r="P76" s="151" t="s">
        <v>593</v>
      </c>
      <c r="Q76" s="152">
        <v>1382</v>
      </c>
      <c r="R76" s="152">
        <v>7.3410000000000002</v>
      </c>
      <c r="S76" s="151">
        <v>4.3899999999999997</v>
      </c>
      <c r="T76" s="151" t="s">
        <v>1675</v>
      </c>
      <c r="U76" s="151">
        <v>1891</v>
      </c>
      <c r="V76" s="151" t="s">
        <v>1718</v>
      </c>
      <c r="W76" s="151">
        <v>2387</v>
      </c>
      <c r="X76" s="151" t="s">
        <v>1718</v>
      </c>
      <c r="Z76" s="155">
        <f t="shared" si="24"/>
        <v>3.5</v>
      </c>
      <c r="AA76" s="156">
        <f t="shared" si="25"/>
        <v>4.3899999999999997</v>
      </c>
      <c r="AB76" s="275"/>
      <c r="AC76" s="150">
        <v>3.5</v>
      </c>
      <c r="AD76" s="151" t="s">
        <v>593</v>
      </c>
      <c r="AE76" s="152">
        <v>121.5</v>
      </c>
      <c r="AF76" s="152">
        <v>9.7919999999999993E-2</v>
      </c>
      <c r="AG76" s="151">
        <v>20.36</v>
      </c>
      <c r="AH76" s="151" t="s">
        <v>1675</v>
      </c>
      <c r="AI76" s="151">
        <v>7051</v>
      </c>
      <c r="AJ76" s="151" t="s">
        <v>1718</v>
      </c>
      <c r="AK76" s="151">
        <v>3912</v>
      </c>
      <c r="AL76" s="151" t="s">
        <v>1718</v>
      </c>
      <c r="AN76" s="155">
        <f t="shared" si="26"/>
        <v>3.5</v>
      </c>
      <c r="AO76" s="156">
        <f t="shared" si="27"/>
        <v>20.36</v>
      </c>
      <c r="AP76" s="275"/>
      <c r="AQ76" s="150">
        <v>3.5</v>
      </c>
      <c r="AR76" s="151" t="s">
        <v>593</v>
      </c>
      <c r="AS76" s="152">
        <v>10.8</v>
      </c>
      <c r="AT76" s="152">
        <v>7.1079999999999997E-3</v>
      </c>
      <c r="AU76" s="151">
        <v>185.5</v>
      </c>
      <c r="AV76" s="151" t="s">
        <v>1675</v>
      </c>
      <c r="AW76" s="151">
        <v>7.42</v>
      </c>
      <c r="AX76" s="151" t="s">
        <v>1675</v>
      </c>
      <c r="AY76" s="151">
        <v>4.7</v>
      </c>
      <c r="AZ76" s="151" t="s">
        <v>1675</v>
      </c>
      <c r="BB76" s="155">
        <f t="shared" si="28"/>
        <v>3.5</v>
      </c>
      <c r="BC76" s="156">
        <f t="shared" si="29"/>
        <v>185.5</v>
      </c>
      <c r="BE76" s="150">
        <v>3.5</v>
      </c>
      <c r="BF76" s="151" t="s">
        <v>593</v>
      </c>
      <c r="BG76" s="152">
        <v>973.3</v>
      </c>
      <c r="BH76" s="152">
        <v>2.0419999999999998</v>
      </c>
      <c r="BI76" s="151">
        <v>5.37</v>
      </c>
      <c r="BJ76" s="151" t="s">
        <v>1675</v>
      </c>
      <c r="BK76" s="151">
        <v>1846</v>
      </c>
      <c r="BL76" s="151" t="s">
        <v>1718</v>
      </c>
      <c r="BM76" s="151">
        <v>2140</v>
      </c>
      <c r="BN76" s="151" t="s">
        <v>1718</v>
      </c>
      <c r="BP76" s="155">
        <f t="shared" si="30"/>
        <v>3.5</v>
      </c>
      <c r="BQ76" s="156">
        <f t="shared" si="31"/>
        <v>5.37</v>
      </c>
      <c r="BS76" s="150">
        <v>3.5</v>
      </c>
      <c r="BT76" s="151" t="s">
        <v>593</v>
      </c>
      <c r="BU76" s="152">
        <v>1415</v>
      </c>
      <c r="BV76" s="152">
        <v>6.0759999999999996</v>
      </c>
      <c r="BW76" s="151">
        <v>4.4000000000000004</v>
      </c>
      <c r="BX76" s="151" t="s">
        <v>1675</v>
      </c>
      <c r="BY76" s="151">
        <v>1787</v>
      </c>
      <c r="BZ76" s="151" t="s">
        <v>1718</v>
      </c>
      <c r="CA76" s="151">
        <v>2225</v>
      </c>
      <c r="CB76" s="151" t="s">
        <v>1718</v>
      </c>
      <c r="CD76" s="155">
        <f t="shared" si="32"/>
        <v>3.5</v>
      </c>
      <c r="CE76" s="156">
        <f t="shared" si="33"/>
        <v>4.4000000000000004</v>
      </c>
      <c r="CG76" s="150">
        <v>3.5</v>
      </c>
      <c r="CH76" s="151" t="s">
        <v>593</v>
      </c>
      <c r="CI76" s="152">
        <v>1286</v>
      </c>
      <c r="CJ76" s="152">
        <v>8.3759999999999994</v>
      </c>
      <c r="CK76" s="151">
        <v>4.6900000000000004</v>
      </c>
      <c r="CL76" s="151" t="s">
        <v>1675</v>
      </c>
      <c r="CM76" s="151">
        <v>2016</v>
      </c>
      <c r="CN76" s="151" t="s">
        <v>1718</v>
      </c>
      <c r="CO76" s="151">
        <v>2537</v>
      </c>
      <c r="CP76" s="151" t="s">
        <v>1718</v>
      </c>
      <c r="CR76" s="155">
        <f t="shared" si="21"/>
        <v>3.5</v>
      </c>
      <c r="CS76" s="156">
        <f t="shared" si="34"/>
        <v>4.6900000000000004</v>
      </c>
      <c r="CU76" s="151">
        <v>3.5</v>
      </c>
      <c r="CV76" s="152" t="s">
        <v>593</v>
      </c>
      <c r="CW76" s="152">
        <v>1524</v>
      </c>
      <c r="CX76" s="152">
        <v>41.35</v>
      </c>
      <c r="CY76" s="151">
        <v>3.48</v>
      </c>
      <c r="CZ76" s="151" t="s">
        <v>1675</v>
      </c>
      <c r="DA76" s="151">
        <v>1786</v>
      </c>
      <c r="DB76" s="151" t="s">
        <v>1718</v>
      </c>
      <c r="DC76" s="151">
        <v>2172</v>
      </c>
      <c r="DD76" t="s">
        <v>1718</v>
      </c>
      <c r="DF76" s="155">
        <f t="shared" si="35"/>
        <v>3.5</v>
      </c>
      <c r="DG76" s="156">
        <f t="shared" si="38"/>
        <v>3.48</v>
      </c>
      <c r="DI76" s="151">
        <v>3.5</v>
      </c>
      <c r="DJ76" s="152" t="s">
        <v>593</v>
      </c>
      <c r="DK76" s="152">
        <v>1310</v>
      </c>
      <c r="DL76" s="152">
        <v>40.07</v>
      </c>
      <c r="DM76" s="151">
        <v>3.73</v>
      </c>
      <c r="DN76" s="151" t="s">
        <v>1675</v>
      </c>
      <c r="DO76" s="151">
        <v>1839</v>
      </c>
      <c r="DP76" s="151" t="s">
        <v>1718</v>
      </c>
      <c r="DQ76" s="151">
        <v>2209</v>
      </c>
      <c r="DR76" t="s">
        <v>1718</v>
      </c>
      <c r="DT76" s="155">
        <f t="shared" si="36"/>
        <v>3.5</v>
      </c>
      <c r="DU76" s="156">
        <f t="shared" si="39"/>
        <v>3.73</v>
      </c>
      <c r="DW76" s="401">
        <v>3.5</v>
      </c>
      <c r="DX76" s="401" t="s">
        <v>593</v>
      </c>
      <c r="DY76" s="402">
        <v>579.4</v>
      </c>
      <c r="DZ76" s="402">
        <v>0.60350000000000004</v>
      </c>
      <c r="EA76" s="401">
        <v>7.5</v>
      </c>
      <c r="EB76" s="401" t="s">
        <v>1675</v>
      </c>
      <c r="EC76" s="401">
        <v>2428</v>
      </c>
      <c r="ED76" s="401" t="s">
        <v>1718</v>
      </c>
      <c r="EE76" s="401">
        <v>2623</v>
      </c>
      <c r="EF76" s="403" t="s">
        <v>1718</v>
      </c>
      <c r="EH76" s="155">
        <f t="shared" si="37"/>
        <v>3.5</v>
      </c>
      <c r="EI76" s="156">
        <f t="shared" si="40"/>
        <v>7.5</v>
      </c>
    </row>
    <row r="77" spans="1:139" x14ac:dyDescent="0.2">
      <c r="A77" s="150">
        <v>3.75</v>
      </c>
      <c r="B77" s="151" t="s">
        <v>593</v>
      </c>
      <c r="C77" s="152">
        <v>1526</v>
      </c>
      <c r="D77" s="152">
        <v>9.3919999999999995</v>
      </c>
      <c r="E77" s="151">
        <v>4.7300000000000004</v>
      </c>
      <c r="F77" s="151" t="s">
        <v>1675</v>
      </c>
      <c r="G77" s="151">
        <v>2147</v>
      </c>
      <c r="H77" s="151" t="s">
        <v>1718</v>
      </c>
      <c r="I77" s="151">
        <v>2759</v>
      </c>
      <c r="J77" s="151" t="s">
        <v>1718</v>
      </c>
      <c r="L77" s="155">
        <f t="shared" si="22"/>
        <v>3.75</v>
      </c>
      <c r="M77" s="156">
        <f t="shared" si="23"/>
        <v>4.7300000000000004</v>
      </c>
      <c r="N77" s="275"/>
      <c r="O77" s="150">
        <v>3.75</v>
      </c>
      <c r="P77" s="151" t="s">
        <v>593</v>
      </c>
      <c r="Q77" s="152">
        <v>1424</v>
      </c>
      <c r="R77" s="152">
        <v>6.9390000000000001</v>
      </c>
      <c r="S77" s="151">
        <v>4.57</v>
      </c>
      <c r="T77" s="151" t="s">
        <v>1675</v>
      </c>
      <c r="U77" s="151">
        <v>1916</v>
      </c>
      <c r="V77" s="151" t="s">
        <v>1718</v>
      </c>
      <c r="W77" s="151">
        <v>2415</v>
      </c>
      <c r="X77" s="151" t="s">
        <v>1718</v>
      </c>
      <c r="Z77" s="155">
        <f t="shared" si="24"/>
        <v>3.75</v>
      </c>
      <c r="AA77" s="156">
        <f t="shared" si="25"/>
        <v>4.57</v>
      </c>
      <c r="AB77" s="275"/>
      <c r="AC77" s="150">
        <v>3.75</v>
      </c>
      <c r="AD77" s="151" t="s">
        <v>593</v>
      </c>
      <c r="AE77" s="152">
        <v>115.9</v>
      </c>
      <c r="AF77" s="152">
        <v>9.2170000000000002E-2</v>
      </c>
      <c r="AG77" s="151">
        <v>22.47</v>
      </c>
      <c r="AH77" s="151" t="s">
        <v>1675</v>
      </c>
      <c r="AI77" s="151">
        <v>7685</v>
      </c>
      <c r="AJ77" s="151" t="s">
        <v>1718</v>
      </c>
      <c r="AK77" s="151">
        <v>4159</v>
      </c>
      <c r="AL77" s="151" t="s">
        <v>1718</v>
      </c>
      <c r="AN77" s="155">
        <f t="shared" si="26"/>
        <v>3.75</v>
      </c>
      <c r="AO77" s="156">
        <f t="shared" si="27"/>
        <v>22.47</v>
      </c>
      <c r="AP77" s="275"/>
      <c r="AQ77" s="150">
        <v>3.75</v>
      </c>
      <c r="AR77" s="151" t="s">
        <v>593</v>
      </c>
      <c r="AS77" s="152">
        <v>10.23</v>
      </c>
      <c r="AT77" s="152">
        <v>6.6819999999999996E-3</v>
      </c>
      <c r="AU77" s="151">
        <v>209.25</v>
      </c>
      <c r="AV77" s="151" t="s">
        <v>1675</v>
      </c>
      <c r="AW77" s="151">
        <v>8.1999999999999993</v>
      </c>
      <c r="AX77" s="151" t="s">
        <v>1675</v>
      </c>
      <c r="AY77" s="151">
        <v>5.27</v>
      </c>
      <c r="AZ77" s="151" t="s">
        <v>1675</v>
      </c>
      <c r="BB77" s="155">
        <f t="shared" si="28"/>
        <v>3.75</v>
      </c>
      <c r="BC77" s="156">
        <f t="shared" si="29"/>
        <v>209.25</v>
      </c>
      <c r="BE77" s="150">
        <v>3.75</v>
      </c>
      <c r="BF77" s="151" t="s">
        <v>593</v>
      </c>
      <c r="BG77" s="152">
        <v>980.2</v>
      </c>
      <c r="BH77" s="152">
        <v>1.927</v>
      </c>
      <c r="BI77" s="151">
        <v>5.62</v>
      </c>
      <c r="BJ77" s="151" t="s">
        <v>1675</v>
      </c>
      <c r="BK77" s="151">
        <v>1887</v>
      </c>
      <c r="BL77" s="151" t="s">
        <v>1718</v>
      </c>
      <c r="BM77" s="151">
        <v>2168</v>
      </c>
      <c r="BN77" s="151" t="s">
        <v>1718</v>
      </c>
      <c r="BP77" s="155">
        <f t="shared" si="30"/>
        <v>3.75</v>
      </c>
      <c r="BQ77" s="156">
        <f t="shared" si="31"/>
        <v>5.62</v>
      </c>
      <c r="BS77" s="150">
        <v>3.75</v>
      </c>
      <c r="BT77" s="151" t="s">
        <v>593</v>
      </c>
      <c r="BU77" s="152">
        <v>1454</v>
      </c>
      <c r="BV77" s="152">
        <v>5.7409999999999997</v>
      </c>
      <c r="BW77" s="151">
        <v>4.57</v>
      </c>
      <c r="BX77" s="151" t="s">
        <v>1675</v>
      </c>
      <c r="BY77" s="151">
        <v>1810</v>
      </c>
      <c r="BZ77" s="151" t="s">
        <v>1718</v>
      </c>
      <c r="CA77" s="151">
        <v>2249</v>
      </c>
      <c r="CB77" s="151" t="s">
        <v>1718</v>
      </c>
      <c r="CD77" s="155">
        <f t="shared" si="32"/>
        <v>3.75</v>
      </c>
      <c r="CE77" s="156">
        <f t="shared" si="33"/>
        <v>4.57</v>
      </c>
      <c r="CG77" s="150">
        <v>3.75</v>
      </c>
      <c r="CH77" s="151" t="s">
        <v>593</v>
      </c>
      <c r="CI77" s="152">
        <v>1330</v>
      </c>
      <c r="CJ77" s="152">
        <v>7.92</v>
      </c>
      <c r="CK77" s="151">
        <v>4.88</v>
      </c>
      <c r="CL77" s="151" t="s">
        <v>1675</v>
      </c>
      <c r="CM77" s="151">
        <v>2043</v>
      </c>
      <c r="CN77" s="151" t="s">
        <v>1718</v>
      </c>
      <c r="CO77" s="151">
        <v>2568</v>
      </c>
      <c r="CP77" s="151" t="s">
        <v>1718</v>
      </c>
      <c r="CR77" s="155">
        <f t="shared" si="21"/>
        <v>3.75</v>
      </c>
      <c r="CS77" s="156">
        <f t="shared" si="34"/>
        <v>4.88</v>
      </c>
      <c r="CU77" s="151">
        <v>3.75</v>
      </c>
      <c r="CV77" s="152" t="s">
        <v>593</v>
      </c>
      <c r="CW77" s="152">
        <v>1595</v>
      </c>
      <c r="CX77" s="152">
        <v>39.24</v>
      </c>
      <c r="CY77" s="151">
        <v>3.63</v>
      </c>
      <c r="CZ77" s="151" t="s">
        <v>1675</v>
      </c>
      <c r="DA77" s="151">
        <v>1816</v>
      </c>
      <c r="DB77" s="151" t="s">
        <v>1718</v>
      </c>
      <c r="DC77" s="151">
        <v>2218</v>
      </c>
      <c r="DD77" t="s">
        <v>1718</v>
      </c>
      <c r="DF77" s="155">
        <f t="shared" si="35"/>
        <v>3.75</v>
      </c>
      <c r="DG77" s="156">
        <f t="shared" si="38"/>
        <v>3.63</v>
      </c>
      <c r="DI77" s="151">
        <v>3.75</v>
      </c>
      <c r="DJ77" s="152" t="s">
        <v>593</v>
      </c>
      <c r="DK77" s="152">
        <v>1368</v>
      </c>
      <c r="DL77" s="152">
        <v>38.03</v>
      </c>
      <c r="DM77" s="151">
        <v>3.91</v>
      </c>
      <c r="DN77" s="151" t="s">
        <v>1675</v>
      </c>
      <c r="DO77" s="151">
        <v>1876</v>
      </c>
      <c r="DP77" s="151" t="s">
        <v>1718</v>
      </c>
      <c r="DQ77" s="151">
        <v>2262</v>
      </c>
      <c r="DR77" t="s">
        <v>1718</v>
      </c>
      <c r="DT77" s="155">
        <f t="shared" si="36"/>
        <v>3.75</v>
      </c>
      <c r="DU77" s="156">
        <f t="shared" si="39"/>
        <v>3.91</v>
      </c>
      <c r="DW77" s="401">
        <v>3.75</v>
      </c>
      <c r="DX77" s="401" t="s">
        <v>593</v>
      </c>
      <c r="DY77" s="402">
        <v>570.4</v>
      </c>
      <c r="DZ77" s="402">
        <v>0.56879999999999997</v>
      </c>
      <c r="EA77" s="401">
        <v>7.93</v>
      </c>
      <c r="EB77" s="401" t="s">
        <v>1675</v>
      </c>
      <c r="EC77" s="401">
        <v>2513</v>
      </c>
      <c r="ED77" s="401" t="s">
        <v>1718</v>
      </c>
      <c r="EE77" s="401">
        <v>2661</v>
      </c>
      <c r="EF77" s="403" t="s">
        <v>1718</v>
      </c>
      <c r="EH77" s="155">
        <f t="shared" si="37"/>
        <v>3.75</v>
      </c>
      <c r="EI77" s="156">
        <f t="shared" si="40"/>
        <v>7.93</v>
      </c>
    </row>
    <row r="78" spans="1:139" x14ac:dyDescent="0.2">
      <c r="A78" s="150">
        <v>4</v>
      </c>
      <c r="B78" s="151" t="s">
        <v>593</v>
      </c>
      <c r="C78" s="152">
        <v>1580</v>
      </c>
      <c r="D78" s="152">
        <v>8.9130000000000003</v>
      </c>
      <c r="E78" s="151">
        <v>4.8899999999999997</v>
      </c>
      <c r="F78" s="151" t="s">
        <v>1675</v>
      </c>
      <c r="G78" s="151">
        <v>2166</v>
      </c>
      <c r="H78" s="151" t="s">
        <v>1718</v>
      </c>
      <c r="I78" s="151">
        <v>2785</v>
      </c>
      <c r="J78" s="151" t="s">
        <v>1718</v>
      </c>
      <c r="L78" s="155">
        <f t="shared" si="22"/>
        <v>4</v>
      </c>
      <c r="M78" s="156">
        <f t="shared" si="23"/>
        <v>4.8899999999999997</v>
      </c>
      <c r="N78" s="275"/>
      <c r="O78" s="150">
        <v>4</v>
      </c>
      <c r="P78" s="151" t="s">
        <v>593</v>
      </c>
      <c r="Q78" s="152">
        <v>1462</v>
      </c>
      <c r="R78" s="152">
        <v>6.5819999999999999</v>
      </c>
      <c r="S78" s="151">
        <v>4.74</v>
      </c>
      <c r="T78" s="151" t="s">
        <v>1675</v>
      </c>
      <c r="U78" s="151">
        <v>1938</v>
      </c>
      <c r="V78" s="151" t="s">
        <v>1718</v>
      </c>
      <c r="W78" s="151">
        <v>2440</v>
      </c>
      <c r="X78" s="151" t="s">
        <v>1718</v>
      </c>
      <c r="Z78" s="155">
        <f t="shared" si="24"/>
        <v>4</v>
      </c>
      <c r="AA78" s="156">
        <f t="shared" si="25"/>
        <v>4.74</v>
      </c>
      <c r="AB78" s="275"/>
      <c r="AC78" s="150">
        <v>4</v>
      </c>
      <c r="AD78" s="151" t="s">
        <v>593</v>
      </c>
      <c r="AE78" s="152">
        <v>110.9</v>
      </c>
      <c r="AF78" s="152">
        <v>8.7080000000000005E-2</v>
      </c>
      <c r="AG78" s="151">
        <v>24.67</v>
      </c>
      <c r="AH78" s="151" t="s">
        <v>1675</v>
      </c>
      <c r="AI78" s="151">
        <v>8324</v>
      </c>
      <c r="AJ78" s="151" t="s">
        <v>1718</v>
      </c>
      <c r="AK78" s="151">
        <v>4419</v>
      </c>
      <c r="AL78" s="151" t="s">
        <v>1718</v>
      </c>
      <c r="AN78" s="155">
        <f t="shared" si="26"/>
        <v>4</v>
      </c>
      <c r="AO78" s="156">
        <f t="shared" si="27"/>
        <v>24.67</v>
      </c>
      <c r="AP78" s="275"/>
      <c r="AQ78" s="150">
        <v>4</v>
      </c>
      <c r="AR78" s="151" t="s">
        <v>593</v>
      </c>
      <c r="AS78" s="152">
        <v>9.7170000000000005</v>
      </c>
      <c r="AT78" s="152">
        <v>6.3070000000000001E-3</v>
      </c>
      <c r="AU78" s="151">
        <v>234.29</v>
      </c>
      <c r="AV78" s="151" t="s">
        <v>1675</v>
      </c>
      <c r="AW78" s="151">
        <v>8.99</v>
      </c>
      <c r="AX78" s="151" t="s">
        <v>1675</v>
      </c>
      <c r="AY78" s="151">
        <v>5.87</v>
      </c>
      <c r="AZ78" s="151" t="s">
        <v>1675</v>
      </c>
      <c r="BB78" s="155">
        <f t="shared" si="28"/>
        <v>4</v>
      </c>
      <c r="BC78" s="156">
        <f t="shared" si="29"/>
        <v>234.29</v>
      </c>
      <c r="BE78" s="150">
        <v>4</v>
      </c>
      <c r="BF78" s="151" t="s">
        <v>593</v>
      </c>
      <c r="BG78" s="152">
        <v>984.7</v>
      </c>
      <c r="BH78" s="152">
        <v>1.825</v>
      </c>
      <c r="BI78" s="151">
        <v>5.87</v>
      </c>
      <c r="BJ78" s="151" t="s">
        <v>1675</v>
      </c>
      <c r="BK78" s="151">
        <v>1927</v>
      </c>
      <c r="BL78" s="151" t="s">
        <v>1718</v>
      </c>
      <c r="BM78" s="151">
        <v>2194</v>
      </c>
      <c r="BN78" s="151" t="s">
        <v>1718</v>
      </c>
      <c r="BP78" s="155">
        <f t="shared" si="30"/>
        <v>4</v>
      </c>
      <c r="BQ78" s="156">
        <f t="shared" si="31"/>
        <v>5.87</v>
      </c>
      <c r="BS78" s="150">
        <v>4</v>
      </c>
      <c r="BT78" s="151" t="s">
        <v>593</v>
      </c>
      <c r="BU78" s="152">
        <v>1488</v>
      </c>
      <c r="BV78" s="152">
        <v>5.4450000000000003</v>
      </c>
      <c r="BW78" s="151">
        <v>4.74</v>
      </c>
      <c r="BX78" s="151" t="s">
        <v>1675</v>
      </c>
      <c r="BY78" s="151">
        <v>1831</v>
      </c>
      <c r="BZ78" s="151" t="s">
        <v>1718</v>
      </c>
      <c r="CA78" s="151">
        <v>2271</v>
      </c>
      <c r="CB78" s="151" t="s">
        <v>1718</v>
      </c>
      <c r="CD78" s="155">
        <f t="shared" si="32"/>
        <v>4</v>
      </c>
      <c r="CE78" s="156">
        <f t="shared" si="33"/>
        <v>4.74</v>
      </c>
      <c r="CG78" s="150">
        <v>4</v>
      </c>
      <c r="CH78" s="151" t="s">
        <v>593</v>
      </c>
      <c r="CI78" s="152">
        <v>1370</v>
      </c>
      <c r="CJ78" s="152">
        <v>7.5140000000000002</v>
      </c>
      <c r="CK78" s="151">
        <v>5.0599999999999996</v>
      </c>
      <c r="CL78" s="151" t="s">
        <v>1675</v>
      </c>
      <c r="CM78" s="151">
        <v>2067</v>
      </c>
      <c r="CN78" s="151" t="s">
        <v>1718</v>
      </c>
      <c r="CO78" s="151">
        <v>2597</v>
      </c>
      <c r="CP78" s="151" t="s">
        <v>1718</v>
      </c>
      <c r="CR78" s="155">
        <f t="shared" si="21"/>
        <v>4</v>
      </c>
      <c r="CS78" s="156">
        <f t="shared" si="34"/>
        <v>5.0599999999999996</v>
      </c>
      <c r="CU78" s="151">
        <v>4</v>
      </c>
      <c r="CV78" s="152" t="s">
        <v>593</v>
      </c>
      <c r="CW78" s="152">
        <v>1665</v>
      </c>
      <c r="CX78" s="152">
        <v>37.35</v>
      </c>
      <c r="CY78" s="151">
        <v>3.78</v>
      </c>
      <c r="CZ78" s="151" t="s">
        <v>1675</v>
      </c>
      <c r="DA78" s="151">
        <v>1843</v>
      </c>
      <c r="DB78" s="151" t="s">
        <v>1718</v>
      </c>
      <c r="DC78" s="151">
        <v>2259</v>
      </c>
      <c r="DD78" t="s">
        <v>1718</v>
      </c>
      <c r="DF78" s="155">
        <f t="shared" si="35"/>
        <v>4</v>
      </c>
      <c r="DG78" s="156">
        <f t="shared" si="38"/>
        <v>3.78</v>
      </c>
      <c r="DI78" s="151">
        <v>4</v>
      </c>
      <c r="DJ78" s="152" t="s">
        <v>593</v>
      </c>
      <c r="DK78" s="152">
        <v>1426</v>
      </c>
      <c r="DL78" s="152">
        <v>36.200000000000003</v>
      </c>
      <c r="DM78" s="151">
        <v>4.09</v>
      </c>
      <c r="DN78" s="151" t="s">
        <v>1675</v>
      </c>
      <c r="DO78" s="151">
        <v>1910</v>
      </c>
      <c r="DP78" s="151" t="s">
        <v>1718</v>
      </c>
      <c r="DQ78" s="151">
        <v>2311</v>
      </c>
      <c r="DR78" t="s">
        <v>1718</v>
      </c>
      <c r="DT78" s="155">
        <f t="shared" si="36"/>
        <v>4</v>
      </c>
      <c r="DU78" s="156">
        <f t="shared" si="39"/>
        <v>4.09</v>
      </c>
      <c r="DW78" s="401">
        <v>4</v>
      </c>
      <c r="DX78" s="401" t="s">
        <v>593</v>
      </c>
      <c r="DY78" s="402">
        <v>560.79999999999995</v>
      </c>
      <c r="DZ78" s="402">
        <v>0.53800000000000003</v>
      </c>
      <c r="EA78" s="401">
        <v>8.3699999999999992</v>
      </c>
      <c r="EB78" s="401" t="s">
        <v>1675</v>
      </c>
      <c r="EC78" s="401">
        <v>2597</v>
      </c>
      <c r="ED78" s="401" t="s">
        <v>1718</v>
      </c>
      <c r="EE78" s="401">
        <v>2698</v>
      </c>
      <c r="EF78" s="403" t="s">
        <v>1718</v>
      </c>
      <c r="EH78" s="155">
        <f t="shared" si="37"/>
        <v>4</v>
      </c>
      <c r="EI78" s="156">
        <f t="shared" si="40"/>
        <v>8.3699999999999992</v>
      </c>
    </row>
    <row r="79" spans="1:139" x14ac:dyDescent="0.2">
      <c r="A79" s="150">
        <v>4.5</v>
      </c>
      <c r="B79" s="151" t="s">
        <v>593</v>
      </c>
      <c r="C79" s="152">
        <v>1674</v>
      </c>
      <c r="D79" s="152">
        <v>8.0980000000000008</v>
      </c>
      <c r="E79" s="151">
        <v>5.2</v>
      </c>
      <c r="F79" s="151" t="s">
        <v>1675</v>
      </c>
      <c r="G79" s="151">
        <v>2221</v>
      </c>
      <c r="H79" s="151" t="s">
        <v>1718</v>
      </c>
      <c r="I79" s="151">
        <v>2831</v>
      </c>
      <c r="J79" s="151" t="s">
        <v>1718</v>
      </c>
      <c r="L79" s="155">
        <f t="shared" si="22"/>
        <v>4.5</v>
      </c>
      <c r="M79" s="156">
        <f t="shared" si="23"/>
        <v>5.2</v>
      </c>
      <c r="N79" s="275"/>
      <c r="O79" s="150">
        <v>4.5</v>
      </c>
      <c r="P79" s="151" t="s">
        <v>593</v>
      </c>
      <c r="Q79" s="152">
        <v>1528</v>
      </c>
      <c r="R79" s="152">
        <v>5.9749999999999996</v>
      </c>
      <c r="S79" s="151">
        <v>5.07</v>
      </c>
      <c r="T79" s="151" t="s">
        <v>1675</v>
      </c>
      <c r="U79" s="151">
        <v>2006</v>
      </c>
      <c r="V79" s="151" t="s">
        <v>1718</v>
      </c>
      <c r="W79" s="151">
        <v>2486</v>
      </c>
      <c r="X79" s="151" t="s">
        <v>1718</v>
      </c>
      <c r="Z79" s="155">
        <f t="shared" si="24"/>
        <v>4.5</v>
      </c>
      <c r="AA79" s="156">
        <f t="shared" si="25"/>
        <v>5.07</v>
      </c>
      <c r="AB79" s="275"/>
      <c r="AC79" s="150">
        <v>4.5</v>
      </c>
      <c r="AD79" s="151" t="s">
        <v>593</v>
      </c>
      <c r="AE79" s="152">
        <v>102</v>
      </c>
      <c r="AF79" s="152">
        <v>7.85E-2</v>
      </c>
      <c r="AG79" s="151">
        <v>29.37</v>
      </c>
      <c r="AH79" s="151" t="s">
        <v>1675</v>
      </c>
      <c r="AI79" s="151">
        <v>1.07</v>
      </c>
      <c r="AJ79" s="151" t="s">
        <v>1675</v>
      </c>
      <c r="AK79" s="151">
        <v>4977</v>
      </c>
      <c r="AL79" s="151" t="s">
        <v>1718</v>
      </c>
      <c r="AN79" s="155">
        <f t="shared" si="26"/>
        <v>4.5</v>
      </c>
      <c r="AO79" s="156">
        <f t="shared" si="27"/>
        <v>29.37</v>
      </c>
      <c r="AP79" s="275"/>
      <c r="AQ79" s="150">
        <v>4.5</v>
      </c>
      <c r="AR79" s="151" t="s">
        <v>593</v>
      </c>
      <c r="AS79" s="152">
        <v>8.8469999999999995</v>
      </c>
      <c r="AT79" s="152">
        <v>5.6750000000000004E-3</v>
      </c>
      <c r="AU79" s="151">
        <v>288.14</v>
      </c>
      <c r="AV79" s="151" t="s">
        <v>1675</v>
      </c>
      <c r="AW79" s="151">
        <v>11.9</v>
      </c>
      <c r="AX79" s="151" t="s">
        <v>1675</v>
      </c>
      <c r="AY79" s="151">
        <v>7.16</v>
      </c>
      <c r="AZ79" s="151" t="s">
        <v>1675</v>
      </c>
      <c r="BB79" s="155">
        <f t="shared" si="28"/>
        <v>4.5</v>
      </c>
      <c r="BC79" s="156">
        <f t="shared" si="29"/>
        <v>288.14</v>
      </c>
      <c r="BE79" s="150">
        <v>4.5</v>
      </c>
      <c r="BF79" s="151" t="s">
        <v>593</v>
      </c>
      <c r="BG79" s="152">
        <v>988.5</v>
      </c>
      <c r="BH79" s="152">
        <v>1.6519999999999999</v>
      </c>
      <c r="BI79" s="151">
        <v>6.38</v>
      </c>
      <c r="BJ79" s="151" t="s">
        <v>1675</v>
      </c>
      <c r="BK79" s="151">
        <v>2066</v>
      </c>
      <c r="BL79" s="151" t="s">
        <v>1718</v>
      </c>
      <c r="BM79" s="151">
        <v>2243</v>
      </c>
      <c r="BN79" s="151" t="s">
        <v>1718</v>
      </c>
      <c r="BP79" s="155">
        <f t="shared" si="30"/>
        <v>4.5</v>
      </c>
      <c r="BQ79" s="156">
        <f t="shared" si="31"/>
        <v>6.38</v>
      </c>
      <c r="BS79" s="150">
        <v>4.5</v>
      </c>
      <c r="BT79" s="151" t="s">
        <v>593</v>
      </c>
      <c r="BU79" s="152">
        <v>1542</v>
      </c>
      <c r="BV79" s="152">
        <v>4.9409999999999998</v>
      </c>
      <c r="BW79" s="151">
        <v>5.07</v>
      </c>
      <c r="BX79" s="151" t="s">
        <v>1675</v>
      </c>
      <c r="BY79" s="151">
        <v>1899</v>
      </c>
      <c r="BZ79" s="151" t="s">
        <v>1718</v>
      </c>
      <c r="CA79" s="151">
        <v>2312</v>
      </c>
      <c r="CB79" s="151" t="s">
        <v>1718</v>
      </c>
      <c r="CD79" s="155">
        <f t="shared" si="32"/>
        <v>4.5</v>
      </c>
      <c r="CE79" s="156">
        <f t="shared" si="33"/>
        <v>5.07</v>
      </c>
      <c r="CG79" s="150">
        <v>4.5</v>
      </c>
      <c r="CH79" s="151" t="s">
        <v>593</v>
      </c>
      <c r="CI79" s="152">
        <v>1441</v>
      </c>
      <c r="CJ79" s="152">
        <v>6.8239999999999998</v>
      </c>
      <c r="CK79" s="151">
        <v>5.42</v>
      </c>
      <c r="CL79" s="151" t="s">
        <v>1675</v>
      </c>
      <c r="CM79" s="151">
        <v>2140</v>
      </c>
      <c r="CN79" s="151" t="s">
        <v>1718</v>
      </c>
      <c r="CO79" s="151">
        <v>2648</v>
      </c>
      <c r="CP79" s="151" t="s">
        <v>1718</v>
      </c>
      <c r="CR79" s="155">
        <f t="shared" si="21"/>
        <v>4.5</v>
      </c>
      <c r="CS79" s="156">
        <f t="shared" si="34"/>
        <v>5.42</v>
      </c>
      <c r="CU79" s="151">
        <v>4.5</v>
      </c>
      <c r="CV79" s="152" t="s">
        <v>593</v>
      </c>
      <c r="CW79" s="152">
        <v>1801</v>
      </c>
      <c r="CX79" s="152">
        <v>34.119999999999997</v>
      </c>
      <c r="CY79" s="151">
        <v>4.07</v>
      </c>
      <c r="CZ79" s="151" t="s">
        <v>1675</v>
      </c>
      <c r="DA79" s="151">
        <v>1910</v>
      </c>
      <c r="DB79" s="151" t="s">
        <v>1718</v>
      </c>
      <c r="DC79" s="151">
        <v>2332</v>
      </c>
      <c r="DD79" t="s">
        <v>1718</v>
      </c>
      <c r="DF79" s="155">
        <f t="shared" si="35"/>
        <v>4.5</v>
      </c>
      <c r="DG79" s="156">
        <f t="shared" si="38"/>
        <v>4.07</v>
      </c>
      <c r="DI79" s="151">
        <v>4.5</v>
      </c>
      <c r="DJ79" s="152" t="s">
        <v>593</v>
      </c>
      <c r="DK79" s="152">
        <v>1544</v>
      </c>
      <c r="DL79" s="152">
        <v>33.07</v>
      </c>
      <c r="DM79" s="151">
        <v>4.41</v>
      </c>
      <c r="DN79" s="151" t="s">
        <v>1675</v>
      </c>
      <c r="DO79" s="151">
        <v>1995</v>
      </c>
      <c r="DP79" s="151" t="s">
        <v>1718</v>
      </c>
      <c r="DQ79" s="151">
        <v>2398</v>
      </c>
      <c r="DR79" t="s">
        <v>1718</v>
      </c>
      <c r="DT79" s="155">
        <f t="shared" si="36"/>
        <v>4.5</v>
      </c>
      <c r="DU79" s="156">
        <f t="shared" si="39"/>
        <v>4.41</v>
      </c>
      <c r="DW79" s="401">
        <v>4.5</v>
      </c>
      <c r="DX79" s="401" t="s">
        <v>593</v>
      </c>
      <c r="DY79" s="402">
        <v>540.9</v>
      </c>
      <c r="DZ79" s="402">
        <v>0.48599999999999999</v>
      </c>
      <c r="EA79" s="401">
        <v>9.2799999999999994</v>
      </c>
      <c r="EB79" s="401" t="s">
        <v>1675</v>
      </c>
      <c r="EC79" s="401">
        <v>2911</v>
      </c>
      <c r="ED79" s="401" t="s">
        <v>1718</v>
      </c>
      <c r="EE79" s="401">
        <v>2771</v>
      </c>
      <c r="EF79" s="403" t="s">
        <v>1718</v>
      </c>
      <c r="EH79" s="155">
        <f t="shared" si="37"/>
        <v>4.5</v>
      </c>
      <c r="EI79" s="156">
        <f t="shared" si="40"/>
        <v>9.2799999999999994</v>
      </c>
    </row>
    <row r="80" spans="1:139" x14ac:dyDescent="0.2">
      <c r="A80" s="150">
        <v>5</v>
      </c>
      <c r="B80" s="151" t="s">
        <v>593</v>
      </c>
      <c r="C80" s="152">
        <v>1753</v>
      </c>
      <c r="D80" s="152">
        <v>7.43</v>
      </c>
      <c r="E80" s="151">
        <v>5.49</v>
      </c>
      <c r="F80" s="151" t="s">
        <v>1675</v>
      </c>
      <c r="G80" s="151">
        <v>2269</v>
      </c>
      <c r="H80" s="151" t="s">
        <v>1718</v>
      </c>
      <c r="I80" s="151">
        <v>2871</v>
      </c>
      <c r="J80" s="151" t="s">
        <v>1718</v>
      </c>
      <c r="L80" s="155">
        <f t="shared" si="22"/>
        <v>5</v>
      </c>
      <c r="M80" s="156">
        <f t="shared" si="23"/>
        <v>5.49</v>
      </c>
      <c r="N80" s="275"/>
      <c r="O80" s="150">
        <v>5</v>
      </c>
      <c r="P80" s="151" t="s">
        <v>593</v>
      </c>
      <c r="Q80" s="152">
        <v>1582</v>
      </c>
      <c r="R80" s="152">
        <v>5.4779999999999998</v>
      </c>
      <c r="S80" s="151">
        <v>5.39</v>
      </c>
      <c r="T80" s="151" t="s">
        <v>1675</v>
      </c>
      <c r="U80" s="151">
        <v>2067</v>
      </c>
      <c r="V80" s="151" t="s">
        <v>1718</v>
      </c>
      <c r="W80" s="151">
        <v>2526</v>
      </c>
      <c r="X80" s="151" t="s">
        <v>1718</v>
      </c>
      <c r="Z80" s="155">
        <f t="shared" si="24"/>
        <v>5</v>
      </c>
      <c r="AA80" s="156">
        <f t="shared" si="25"/>
        <v>5.39</v>
      </c>
      <c r="AB80" s="275"/>
      <c r="AC80" s="150">
        <v>5</v>
      </c>
      <c r="AD80" s="151" t="s">
        <v>593</v>
      </c>
      <c r="AE80" s="152">
        <v>94.57</v>
      </c>
      <c r="AF80" s="152">
        <v>7.1529999999999996E-2</v>
      </c>
      <c r="AG80" s="151">
        <v>34.450000000000003</v>
      </c>
      <c r="AH80" s="151" t="s">
        <v>1675</v>
      </c>
      <c r="AI80" s="151">
        <v>1.3</v>
      </c>
      <c r="AJ80" s="151" t="s">
        <v>1675</v>
      </c>
      <c r="AK80" s="151">
        <v>5586</v>
      </c>
      <c r="AL80" s="151" t="s">
        <v>1718</v>
      </c>
      <c r="AN80" s="155">
        <f t="shared" si="26"/>
        <v>5</v>
      </c>
      <c r="AO80" s="156">
        <f t="shared" si="27"/>
        <v>34.450000000000003</v>
      </c>
      <c r="AP80" s="275"/>
      <c r="AQ80" s="150">
        <v>5</v>
      </c>
      <c r="AR80" s="151" t="s">
        <v>593</v>
      </c>
      <c r="AS80" s="152">
        <v>8.1319999999999997</v>
      </c>
      <c r="AT80" s="152">
        <v>5.1630000000000001E-3</v>
      </c>
      <c r="AU80" s="151">
        <v>347.01</v>
      </c>
      <c r="AV80" s="151" t="s">
        <v>1675</v>
      </c>
      <c r="AW80" s="151">
        <v>14.64</v>
      </c>
      <c r="AX80" s="151" t="s">
        <v>1675</v>
      </c>
      <c r="AY80" s="151">
        <v>8.56</v>
      </c>
      <c r="AZ80" s="151" t="s">
        <v>1675</v>
      </c>
      <c r="BB80" s="155">
        <f t="shared" si="28"/>
        <v>5</v>
      </c>
      <c r="BC80" s="156">
        <f t="shared" si="29"/>
        <v>347.01</v>
      </c>
      <c r="BE80" s="150">
        <v>5</v>
      </c>
      <c r="BF80" s="151" t="s">
        <v>593</v>
      </c>
      <c r="BG80" s="152">
        <v>986.9</v>
      </c>
      <c r="BH80" s="152">
        <v>1.51</v>
      </c>
      <c r="BI80" s="151">
        <v>6.88</v>
      </c>
      <c r="BJ80" s="151" t="s">
        <v>1675</v>
      </c>
      <c r="BK80" s="151">
        <v>2196</v>
      </c>
      <c r="BL80" s="151" t="s">
        <v>1718</v>
      </c>
      <c r="BM80" s="151">
        <v>2289</v>
      </c>
      <c r="BN80" s="151" t="s">
        <v>1718</v>
      </c>
      <c r="BP80" s="155">
        <f t="shared" si="30"/>
        <v>5</v>
      </c>
      <c r="BQ80" s="156">
        <f t="shared" si="31"/>
        <v>6.88</v>
      </c>
      <c r="BS80" s="150">
        <v>5</v>
      </c>
      <c r="BT80" s="151" t="s">
        <v>593</v>
      </c>
      <c r="BU80" s="152">
        <v>1580</v>
      </c>
      <c r="BV80" s="152">
        <v>4.5279999999999996</v>
      </c>
      <c r="BW80" s="151">
        <v>5.39</v>
      </c>
      <c r="BX80" s="151" t="s">
        <v>1675</v>
      </c>
      <c r="BY80" s="151">
        <v>1961</v>
      </c>
      <c r="BZ80" s="151" t="s">
        <v>1718</v>
      </c>
      <c r="CA80" s="151">
        <v>2347</v>
      </c>
      <c r="CB80" s="151" t="s">
        <v>1718</v>
      </c>
      <c r="CD80" s="155">
        <f t="shared" si="32"/>
        <v>5</v>
      </c>
      <c r="CE80" s="156">
        <f t="shared" si="33"/>
        <v>5.39</v>
      </c>
      <c r="CG80" s="150">
        <v>5</v>
      </c>
      <c r="CH80" s="151" t="s">
        <v>593</v>
      </c>
      <c r="CI80" s="152">
        <v>1501</v>
      </c>
      <c r="CJ80" s="152">
        <v>6.2590000000000003</v>
      </c>
      <c r="CK80" s="151">
        <v>5.75</v>
      </c>
      <c r="CL80" s="151" t="s">
        <v>1675</v>
      </c>
      <c r="CM80" s="151">
        <v>2204</v>
      </c>
      <c r="CN80" s="151" t="s">
        <v>1718</v>
      </c>
      <c r="CO80" s="151">
        <v>2693</v>
      </c>
      <c r="CP80" s="151" t="s">
        <v>1718</v>
      </c>
      <c r="CR80" s="155">
        <f t="shared" si="21"/>
        <v>5</v>
      </c>
      <c r="CS80" s="156">
        <f t="shared" si="34"/>
        <v>5.75</v>
      </c>
      <c r="CU80" s="151">
        <v>5</v>
      </c>
      <c r="CV80" s="152" t="s">
        <v>593</v>
      </c>
      <c r="CW80" s="152">
        <v>1931</v>
      </c>
      <c r="CX80" s="152">
        <v>31.45</v>
      </c>
      <c r="CY80" s="151">
        <v>4.33</v>
      </c>
      <c r="CZ80" s="151" t="s">
        <v>1675</v>
      </c>
      <c r="DA80" s="151">
        <v>1966</v>
      </c>
      <c r="DB80" s="151" t="s">
        <v>1718</v>
      </c>
      <c r="DC80" s="151">
        <v>2395</v>
      </c>
      <c r="DD80" t="s">
        <v>1718</v>
      </c>
      <c r="DF80" s="155">
        <f t="shared" si="35"/>
        <v>5</v>
      </c>
      <c r="DG80" s="156">
        <f t="shared" si="38"/>
        <v>4.33</v>
      </c>
      <c r="DI80" s="151">
        <v>5</v>
      </c>
      <c r="DJ80" s="152" t="s">
        <v>593</v>
      </c>
      <c r="DK80" s="152">
        <v>1661</v>
      </c>
      <c r="DL80" s="152">
        <v>30.48</v>
      </c>
      <c r="DM80" s="151">
        <v>4.72</v>
      </c>
      <c r="DN80" s="151" t="s">
        <v>1675</v>
      </c>
      <c r="DO80" s="151">
        <v>2065</v>
      </c>
      <c r="DP80" s="151" t="s">
        <v>1718</v>
      </c>
      <c r="DQ80" s="151">
        <v>2472</v>
      </c>
      <c r="DR80" t="s">
        <v>1718</v>
      </c>
      <c r="DT80" s="155">
        <f t="shared" si="36"/>
        <v>5</v>
      </c>
      <c r="DU80" s="156">
        <f t="shared" si="39"/>
        <v>4.72</v>
      </c>
      <c r="DW80" s="401">
        <v>5</v>
      </c>
      <c r="DX80" s="401" t="s">
        <v>593</v>
      </c>
      <c r="DY80" s="402">
        <v>520.6</v>
      </c>
      <c r="DZ80" s="402">
        <v>0.44369999999999998</v>
      </c>
      <c r="EA80" s="401">
        <v>10.220000000000001</v>
      </c>
      <c r="EB80" s="401" t="s">
        <v>1675</v>
      </c>
      <c r="EC80" s="401">
        <v>3214</v>
      </c>
      <c r="ED80" s="401" t="s">
        <v>1718</v>
      </c>
      <c r="EE80" s="401">
        <v>2844</v>
      </c>
      <c r="EF80" s="403" t="s">
        <v>1718</v>
      </c>
      <c r="EH80" s="155">
        <f t="shared" si="37"/>
        <v>5</v>
      </c>
      <c r="EI80" s="156">
        <f t="shared" si="40"/>
        <v>10.220000000000001</v>
      </c>
    </row>
    <row r="81" spans="1:139" x14ac:dyDescent="0.2">
      <c r="A81" s="150">
        <v>5.5</v>
      </c>
      <c r="B81" s="151" t="s">
        <v>593</v>
      </c>
      <c r="C81" s="152">
        <v>1818</v>
      </c>
      <c r="D81" s="152">
        <v>6.8710000000000004</v>
      </c>
      <c r="E81" s="151">
        <v>5.77</v>
      </c>
      <c r="F81" s="151" t="s">
        <v>1675</v>
      </c>
      <c r="G81" s="151">
        <v>2311</v>
      </c>
      <c r="H81" s="151" t="s">
        <v>1718</v>
      </c>
      <c r="I81" s="151">
        <v>2905</v>
      </c>
      <c r="J81" s="151" t="s">
        <v>1718</v>
      </c>
      <c r="L81" s="155">
        <f t="shared" si="22"/>
        <v>5.5</v>
      </c>
      <c r="M81" s="156">
        <f t="shared" si="23"/>
        <v>5.77</v>
      </c>
      <c r="N81" s="275"/>
      <c r="O81" s="150">
        <v>5.5</v>
      </c>
      <c r="P81" s="151" t="s">
        <v>593</v>
      </c>
      <c r="Q81" s="152">
        <v>1626</v>
      </c>
      <c r="R81" s="152">
        <v>5.0620000000000003</v>
      </c>
      <c r="S81" s="151">
        <v>5.7</v>
      </c>
      <c r="T81" s="151" t="s">
        <v>1675</v>
      </c>
      <c r="U81" s="151">
        <v>2122</v>
      </c>
      <c r="V81" s="151" t="s">
        <v>1718</v>
      </c>
      <c r="W81" s="151">
        <v>2562</v>
      </c>
      <c r="X81" s="151" t="s">
        <v>1718</v>
      </c>
      <c r="Z81" s="155">
        <f t="shared" si="24"/>
        <v>5.5</v>
      </c>
      <c r="AA81" s="156">
        <f t="shared" si="25"/>
        <v>5.7</v>
      </c>
      <c r="AB81" s="275"/>
      <c r="AC81" s="150">
        <v>5.5</v>
      </c>
      <c r="AD81" s="151" t="s">
        <v>593</v>
      </c>
      <c r="AE81" s="152">
        <v>88.16</v>
      </c>
      <c r="AF81" s="152">
        <v>6.5759999999999999E-2</v>
      </c>
      <c r="AG81" s="151">
        <v>39.93</v>
      </c>
      <c r="AH81" s="151" t="s">
        <v>1675</v>
      </c>
      <c r="AI81" s="151">
        <v>1.52</v>
      </c>
      <c r="AJ81" s="151" t="s">
        <v>1675</v>
      </c>
      <c r="AK81" s="151">
        <v>6243</v>
      </c>
      <c r="AL81" s="151" t="s">
        <v>1718</v>
      </c>
      <c r="AN81" s="155">
        <f t="shared" si="26"/>
        <v>5.5</v>
      </c>
      <c r="AO81" s="156">
        <f t="shared" si="27"/>
        <v>39.93</v>
      </c>
      <c r="AP81" s="275"/>
      <c r="AQ81" s="150">
        <v>5.5</v>
      </c>
      <c r="AR81" s="151" t="s">
        <v>593</v>
      </c>
      <c r="AS81" s="152">
        <v>7.5330000000000004</v>
      </c>
      <c r="AT81" s="152">
        <v>4.7390000000000002E-3</v>
      </c>
      <c r="AU81" s="151">
        <v>410.8</v>
      </c>
      <c r="AV81" s="151" t="s">
        <v>1675</v>
      </c>
      <c r="AW81" s="151">
        <v>17.329999999999998</v>
      </c>
      <c r="AX81" s="151" t="s">
        <v>1675</v>
      </c>
      <c r="AY81" s="151">
        <v>10.06</v>
      </c>
      <c r="AZ81" s="151" t="s">
        <v>1675</v>
      </c>
      <c r="BB81" s="155">
        <f t="shared" si="28"/>
        <v>5.5</v>
      </c>
      <c r="BC81" s="156">
        <f t="shared" si="29"/>
        <v>410.8</v>
      </c>
      <c r="BE81" s="150">
        <v>5.5</v>
      </c>
      <c r="BF81" s="151" t="s">
        <v>593</v>
      </c>
      <c r="BG81" s="152">
        <v>981.4</v>
      </c>
      <c r="BH81" s="152">
        <v>1.393</v>
      </c>
      <c r="BI81" s="151">
        <v>7.39</v>
      </c>
      <c r="BJ81" s="151" t="s">
        <v>1675</v>
      </c>
      <c r="BK81" s="151">
        <v>2319</v>
      </c>
      <c r="BL81" s="151" t="s">
        <v>1718</v>
      </c>
      <c r="BM81" s="151">
        <v>2333</v>
      </c>
      <c r="BN81" s="151" t="s">
        <v>1718</v>
      </c>
      <c r="BP81" s="155">
        <f t="shared" si="30"/>
        <v>5.5</v>
      </c>
      <c r="BQ81" s="156">
        <f t="shared" si="31"/>
        <v>7.39</v>
      </c>
      <c r="BS81" s="150">
        <v>5.5</v>
      </c>
      <c r="BT81" s="151" t="s">
        <v>593</v>
      </c>
      <c r="BU81" s="152">
        <v>1606</v>
      </c>
      <c r="BV81" s="152">
        <v>4.1829999999999998</v>
      </c>
      <c r="BW81" s="151">
        <v>5.7</v>
      </c>
      <c r="BX81" s="151" t="s">
        <v>1675</v>
      </c>
      <c r="BY81" s="151">
        <v>2018</v>
      </c>
      <c r="BZ81" s="151" t="s">
        <v>1718</v>
      </c>
      <c r="CA81" s="151">
        <v>2380</v>
      </c>
      <c r="CB81" s="151" t="s">
        <v>1718</v>
      </c>
      <c r="CD81" s="155">
        <f t="shared" si="32"/>
        <v>5.5</v>
      </c>
      <c r="CE81" s="156">
        <f t="shared" si="33"/>
        <v>5.7</v>
      </c>
      <c r="CG81" s="150">
        <v>5.5</v>
      </c>
      <c r="CH81" s="151" t="s">
        <v>593</v>
      </c>
      <c r="CI81" s="152">
        <v>1553</v>
      </c>
      <c r="CJ81" s="152">
        <v>5.7859999999999996</v>
      </c>
      <c r="CK81" s="151">
        <v>6.08</v>
      </c>
      <c r="CL81" s="151" t="s">
        <v>1675</v>
      </c>
      <c r="CM81" s="151">
        <v>2262</v>
      </c>
      <c r="CN81" s="151" t="s">
        <v>1718</v>
      </c>
      <c r="CO81" s="151">
        <v>2733</v>
      </c>
      <c r="CP81" s="151" t="s">
        <v>1718</v>
      </c>
      <c r="CR81" s="155">
        <f t="shared" si="21"/>
        <v>5.5</v>
      </c>
      <c r="CS81" s="156">
        <f t="shared" si="34"/>
        <v>6.08</v>
      </c>
      <c r="CU81" s="151">
        <v>5.5</v>
      </c>
      <c r="CV81" s="152" t="s">
        <v>593</v>
      </c>
      <c r="CW81" s="152">
        <v>2055</v>
      </c>
      <c r="CX81" s="152">
        <v>29.2</v>
      </c>
      <c r="CY81" s="151">
        <v>4.57</v>
      </c>
      <c r="CZ81" s="151" t="s">
        <v>1675</v>
      </c>
      <c r="DA81" s="151">
        <v>2013</v>
      </c>
      <c r="DB81" s="151" t="s">
        <v>1718</v>
      </c>
      <c r="DC81" s="151">
        <v>2449</v>
      </c>
      <c r="DD81" t="s">
        <v>1718</v>
      </c>
      <c r="DF81" s="155">
        <f t="shared" si="35"/>
        <v>5.5</v>
      </c>
      <c r="DG81" s="156">
        <f t="shared" si="38"/>
        <v>4.57</v>
      </c>
      <c r="DI81" s="151">
        <v>5.5</v>
      </c>
      <c r="DJ81" s="152" t="s">
        <v>593</v>
      </c>
      <c r="DK81" s="152">
        <v>1776</v>
      </c>
      <c r="DL81" s="152">
        <v>28.3</v>
      </c>
      <c r="DM81" s="151">
        <v>5</v>
      </c>
      <c r="DN81" s="151" t="s">
        <v>1675</v>
      </c>
      <c r="DO81" s="151">
        <v>2124</v>
      </c>
      <c r="DP81" s="151" t="s">
        <v>1718</v>
      </c>
      <c r="DQ81" s="151">
        <v>2537</v>
      </c>
      <c r="DR81" t="s">
        <v>1718</v>
      </c>
      <c r="DT81" s="155">
        <f t="shared" si="36"/>
        <v>5.5</v>
      </c>
      <c r="DU81" s="156">
        <f t="shared" si="39"/>
        <v>5</v>
      </c>
      <c r="DW81" s="401">
        <v>5.5</v>
      </c>
      <c r="DX81" s="401" t="s">
        <v>593</v>
      </c>
      <c r="DY81" s="402">
        <v>500.7</v>
      </c>
      <c r="DZ81" s="402">
        <v>0.40849999999999997</v>
      </c>
      <c r="EA81" s="401">
        <v>11.2</v>
      </c>
      <c r="EB81" s="401" t="s">
        <v>1675</v>
      </c>
      <c r="EC81" s="401">
        <v>3512</v>
      </c>
      <c r="ED81" s="401" t="s">
        <v>1718</v>
      </c>
      <c r="EE81" s="401">
        <v>2918</v>
      </c>
      <c r="EF81" s="403" t="s">
        <v>1718</v>
      </c>
      <c r="EH81" s="155">
        <f t="shared" si="37"/>
        <v>5.5</v>
      </c>
      <c r="EI81" s="156">
        <f t="shared" si="40"/>
        <v>11.2</v>
      </c>
    </row>
    <row r="82" spans="1:139" x14ac:dyDescent="0.2">
      <c r="A82" s="150">
        <v>6</v>
      </c>
      <c r="B82" s="151" t="s">
        <v>593</v>
      </c>
      <c r="C82" s="152">
        <v>1872</v>
      </c>
      <c r="D82" s="152">
        <v>6.3949999999999996</v>
      </c>
      <c r="E82" s="151">
        <v>6.04</v>
      </c>
      <c r="F82" s="151" t="s">
        <v>1675</v>
      </c>
      <c r="G82" s="151">
        <v>2350</v>
      </c>
      <c r="H82" s="151" t="s">
        <v>1718</v>
      </c>
      <c r="I82" s="151">
        <v>2936</v>
      </c>
      <c r="J82" s="151" t="s">
        <v>1718</v>
      </c>
      <c r="L82" s="155">
        <f t="shared" si="22"/>
        <v>6</v>
      </c>
      <c r="M82" s="156">
        <f t="shared" si="23"/>
        <v>6.04</v>
      </c>
      <c r="N82" s="275"/>
      <c r="O82" s="150">
        <v>6</v>
      </c>
      <c r="P82" s="151" t="s">
        <v>593</v>
      </c>
      <c r="Q82" s="152">
        <v>1662</v>
      </c>
      <c r="R82" s="152">
        <v>4.7089999999999996</v>
      </c>
      <c r="S82" s="151">
        <v>6</v>
      </c>
      <c r="T82" s="151" t="s">
        <v>1675</v>
      </c>
      <c r="U82" s="151">
        <v>2172</v>
      </c>
      <c r="V82" s="151" t="s">
        <v>1718</v>
      </c>
      <c r="W82" s="151">
        <v>2595</v>
      </c>
      <c r="X82" s="151" t="s">
        <v>1718</v>
      </c>
      <c r="Z82" s="155">
        <f t="shared" si="24"/>
        <v>6</v>
      </c>
      <c r="AA82" s="156">
        <f t="shared" si="25"/>
        <v>6</v>
      </c>
      <c r="AB82" s="275"/>
      <c r="AC82" s="150">
        <v>6</v>
      </c>
      <c r="AD82" s="151" t="s">
        <v>593</v>
      </c>
      <c r="AE82" s="152">
        <v>82.61</v>
      </c>
      <c r="AF82" s="152">
        <v>6.0879999999999997E-2</v>
      </c>
      <c r="AG82" s="151">
        <v>45.78</v>
      </c>
      <c r="AH82" s="151" t="s">
        <v>1675</v>
      </c>
      <c r="AI82" s="151">
        <v>1.73</v>
      </c>
      <c r="AJ82" s="151" t="s">
        <v>1675</v>
      </c>
      <c r="AK82" s="151">
        <v>6948</v>
      </c>
      <c r="AL82" s="151" t="s">
        <v>1718</v>
      </c>
      <c r="AN82" s="155">
        <f t="shared" si="26"/>
        <v>6</v>
      </c>
      <c r="AO82" s="156">
        <f t="shared" si="27"/>
        <v>45.78</v>
      </c>
      <c r="AP82" s="275"/>
      <c r="AQ82" s="150">
        <v>6</v>
      </c>
      <c r="AR82" s="151" t="s">
        <v>593</v>
      </c>
      <c r="AS82" s="152">
        <v>7.024</v>
      </c>
      <c r="AT82" s="152">
        <v>4.3819999999999996E-3</v>
      </c>
      <c r="AU82" s="151">
        <v>479.44</v>
      </c>
      <c r="AV82" s="151" t="s">
        <v>1675</v>
      </c>
      <c r="AW82" s="151">
        <v>20</v>
      </c>
      <c r="AX82" s="151" t="s">
        <v>1675</v>
      </c>
      <c r="AY82" s="151">
        <v>11.68</v>
      </c>
      <c r="AZ82" s="151" t="s">
        <v>1675</v>
      </c>
      <c r="BB82" s="155">
        <f t="shared" si="28"/>
        <v>6</v>
      </c>
      <c r="BC82" s="156">
        <f t="shared" si="29"/>
        <v>479.44</v>
      </c>
      <c r="BE82" s="150">
        <v>6</v>
      </c>
      <c r="BF82" s="151" t="s">
        <v>593</v>
      </c>
      <c r="BG82" s="152">
        <v>973.1</v>
      </c>
      <c r="BH82" s="152">
        <v>1.2929999999999999</v>
      </c>
      <c r="BI82" s="151">
        <v>7.9</v>
      </c>
      <c r="BJ82" s="151" t="s">
        <v>1675</v>
      </c>
      <c r="BK82" s="151">
        <v>2437</v>
      </c>
      <c r="BL82" s="151" t="s">
        <v>1718</v>
      </c>
      <c r="BM82" s="151">
        <v>2374</v>
      </c>
      <c r="BN82" s="151" t="s">
        <v>1718</v>
      </c>
      <c r="BP82" s="155">
        <f t="shared" si="30"/>
        <v>6</v>
      </c>
      <c r="BQ82" s="156">
        <f t="shared" si="31"/>
        <v>7.9</v>
      </c>
      <c r="BS82" s="150">
        <v>6</v>
      </c>
      <c r="BT82" s="151" t="s">
        <v>593</v>
      </c>
      <c r="BU82" s="152">
        <v>1623</v>
      </c>
      <c r="BV82" s="152">
        <v>3.89</v>
      </c>
      <c r="BW82" s="151">
        <v>6.01</v>
      </c>
      <c r="BX82" s="151" t="s">
        <v>1675</v>
      </c>
      <c r="BY82" s="151">
        <v>2071</v>
      </c>
      <c r="BZ82" s="151" t="s">
        <v>1718</v>
      </c>
      <c r="CA82" s="151">
        <v>2409</v>
      </c>
      <c r="CB82" s="151" t="s">
        <v>1718</v>
      </c>
      <c r="CD82" s="155">
        <f t="shared" si="32"/>
        <v>6</v>
      </c>
      <c r="CE82" s="156">
        <f t="shared" si="33"/>
        <v>6.01</v>
      </c>
      <c r="CG82" s="150">
        <v>6</v>
      </c>
      <c r="CH82" s="151" t="s">
        <v>593</v>
      </c>
      <c r="CI82" s="152">
        <v>1595</v>
      </c>
      <c r="CJ82" s="152">
        <v>5.3840000000000003</v>
      </c>
      <c r="CK82" s="151">
        <v>6.4</v>
      </c>
      <c r="CL82" s="151" t="s">
        <v>1675</v>
      </c>
      <c r="CM82" s="151">
        <v>2314</v>
      </c>
      <c r="CN82" s="151" t="s">
        <v>1718</v>
      </c>
      <c r="CO82" s="151">
        <v>2768</v>
      </c>
      <c r="CP82" s="151" t="s">
        <v>1718</v>
      </c>
      <c r="CR82" s="155">
        <f t="shared" si="21"/>
        <v>6</v>
      </c>
      <c r="CS82" s="156">
        <f t="shared" si="34"/>
        <v>6.4</v>
      </c>
      <c r="CU82" s="151">
        <v>6</v>
      </c>
      <c r="CV82" s="152" t="s">
        <v>593</v>
      </c>
      <c r="CW82" s="152">
        <v>2172</v>
      </c>
      <c r="CX82" s="152">
        <v>27.28</v>
      </c>
      <c r="CY82" s="151">
        <v>4.8099999999999996</v>
      </c>
      <c r="CZ82" s="151" t="s">
        <v>1675</v>
      </c>
      <c r="DA82" s="151">
        <v>2054</v>
      </c>
      <c r="DB82" s="151" t="s">
        <v>1718</v>
      </c>
      <c r="DC82" s="151">
        <v>2496</v>
      </c>
      <c r="DD82" t="s">
        <v>1718</v>
      </c>
      <c r="DF82" s="155">
        <f t="shared" si="35"/>
        <v>6</v>
      </c>
      <c r="DG82" s="156">
        <f t="shared" si="38"/>
        <v>4.8099999999999996</v>
      </c>
      <c r="DI82" s="151">
        <v>6</v>
      </c>
      <c r="DJ82" s="152" t="s">
        <v>593</v>
      </c>
      <c r="DK82" s="152">
        <v>1889</v>
      </c>
      <c r="DL82" s="152">
        <v>26.44</v>
      </c>
      <c r="DM82" s="151">
        <v>5.27</v>
      </c>
      <c r="DN82" s="151" t="s">
        <v>1675</v>
      </c>
      <c r="DO82" s="151">
        <v>2175</v>
      </c>
      <c r="DP82" s="151" t="s">
        <v>1718</v>
      </c>
      <c r="DQ82" s="151">
        <v>2593</v>
      </c>
      <c r="DR82" t="s">
        <v>1718</v>
      </c>
      <c r="DT82" s="155">
        <f t="shared" si="36"/>
        <v>6</v>
      </c>
      <c r="DU82" s="156">
        <f t="shared" si="39"/>
        <v>5.27</v>
      </c>
      <c r="DW82" s="401">
        <v>6</v>
      </c>
      <c r="DX82" s="401" t="s">
        <v>593</v>
      </c>
      <c r="DY82" s="402">
        <v>481.4</v>
      </c>
      <c r="DZ82" s="402">
        <v>0.37880000000000003</v>
      </c>
      <c r="EA82" s="401">
        <v>12.22</v>
      </c>
      <c r="EB82" s="401" t="s">
        <v>1675</v>
      </c>
      <c r="EC82" s="401">
        <v>3808</v>
      </c>
      <c r="ED82" s="401" t="s">
        <v>1718</v>
      </c>
      <c r="EE82" s="401">
        <v>2993</v>
      </c>
      <c r="EF82" s="403" t="s">
        <v>1718</v>
      </c>
      <c r="EH82" s="155">
        <f t="shared" si="37"/>
        <v>6</v>
      </c>
      <c r="EI82" s="156">
        <f t="shared" si="40"/>
        <v>12.22</v>
      </c>
    </row>
    <row r="83" spans="1:139" x14ac:dyDescent="0.2">
      <c r="A83" s="150">
        <v>6.5</v>
      </c>
      <c r="B83" s="151" t="s">
        <v>593</v>
      </c>
      <c r="C83" s="152">
        <v>1916</v>
      </c>
      <c r="D83" s="152">
        <v>5.9859999999999998</v>
      </c>
      <c r="E83" s="151">
        <v>6.3</v>
      </c>
      <c r="F83" s="151" t="s">
        <v>1675</v>
      </c>
      <c r="G83" s="151">
        <v>2386</v>
      </c>
      <c r="H83" s="151" t="s">
        <v>1718</v>
      </c>
      <c r="I83" s="151">
        <v>2964</v>
      </c>
      <c r="J83" s="151" t="s">
        <v>1718</v>
      </c>
      <c r="L83" s="155">
        <f t="shared" si="22"/>
        <v>6.5</v>
      </c>
      <c r="M83" s="156">
        <f t="shared" si="23"/>
        <v>6.3</v>
      </c>
      <c r="N83" s="275"/>
      <c r="O83" s="150">
        <v>6.5</v>
      </c>
      <c r="P83" s="151" t="s">
        <v>593</v>
      </c>
      <c r="Q83" s="152">
        <v>1691</v>
      </c>
      <c r="R83" s="152">
        <v>4.4050000000000002</v>
      </c>
      <c r="S83" s="151">
        <v>6.3</v>
      </c>
      <c r="T83" s="151" t="s">
        <v>1675</v>
      </c>
      <c r="U83" s="151">
        <v>2220</v>
      </c>
      <c r="V83" s="151" t="s">
        <v>1718</v>
      </c>
      <c r="W83" s="151">
        <v>2625</v>
      </c>
      <c r="X83" s="151" t="s">
        <v>1718</v>
      </c>
      <c r="Z83" s="155">
        <f t="shared" si="24"/>
        <v>6.5</v>
      </c>
      <c r="AA83" s="156">
        <f t="shared" si="25"/>
        <v>6.3</v>
      </c>
      <c r="AB83" s="275"/>
      <c r="AC83" s="150">
        <v>6.5</v>
      </c>
      <c r="AD83" s="151" t="s">
        <v>593</v>
      </c>
      <c r="AE83" s="152">
        <v>77.739999999999995</v>
      </c>
      <c r="AF83" s="152">
        <v>5.672E-2</v>
      </c>
      <c r="AG83" s="151">
        <v>52.02</v>
      </c>
      <c r="AH83" s="151" t="s">
        <v>1675</v>
      </c>
      <c r="AI83" s="151">
        <v>1.95</v>
      </c>
      <c r="AJ83" s="151" t="s">
        <v>1675</v>
      </c>
      <c r="AK83" s="151">
        <v>7700</v>
      </c>
      <c r="AL83" s="151" t="s">
        <v>1718</v>
      </c>
      <c r="AN83" s="155">
        <f t="shared" si="26"/>
        <v>6.5</v>
      </c>
      <c r="AO83" s="156">
        <f t="shared" si="27"/>
        <v>52.02</v>
      </c>
      <c r="AP83" s="275"/>
      <c r="AQ83" s="150">
        <v>6.5</v>
      </c>
      <c r="AR83" s="151" t="s">
        <v>593</v>
      </c>
      <c r="AS83" s="152">
        <v>6.5839999999999996</v>
      </c>
      <c r="AT83" s="152">
        <v>4.0769999999999999E-3</v>
      </c>
      <c r="AU83" s="151">
        <v>552.86</v>
      </c>
      <c r="AV83" s="151" t="s">
        <v>1675</v>
      </c>
      <c r="AW83" s="151">
        <v>22.68</v>
      </c>
      <c r="AX83" s="151" t="s">
        <v>1675</v>
      </c>
      <c r="AY83" s="151">
        <v>13.4</v>
      </c>
      <c r="AZ83" s="151" t="s">
        <v>1675</v>
      </c>
      <c r="BB83" s="155">
        <f t="shared" si="28"/>
        <v>6.5</v>
      </c>
      <c r="BC83" s="156">
        <f t="shared" si="29"/>
        <v>552.86</v>
      </c>
      <c r="BE83" s="150">
        <v>6.5</v>
      </c>
      <c r="BF83" s="151" t="s">
        <v>593</v>
      </c>
      <c r="BG83" s="152">
        <v>962.7</v>
      </c>
      <c r="BH83" s="152">
        <v>1.208</v>
      </c>
      <c r="BI83" s="151">
        <v>8.42</v>
      </c>
      <c r="BJ83" s="151" t="s">
        <v>1675</v>
      </c>
      <c r="BK83" s="151">
        <v>2552</v>
      </c>
      <c r="BL83" s="151" t="s">
        <v>1718</v>
      </c>
      <c r="BM83" s="151">
        <v>2414</v>
      </c>
      <c r="BN83" s="151" t="s">
        <v>1718</v>
      </c>
      <c r="BP83" s="155">
        <f t="shared" si="30"/>
        <v>6.5</v>
      </c>
      <c r="BQ83" s="156">
        <f t="shared" si="31"/>
        <v>8.42</v>
      </c>
      <c r="BS83" s="150">
        <v>6.5</v>
      </c>
      <c r="BT83" s="151" t="s">
        <v>593</v>
      </c>
      <c r="BU83" s="152">
        <v>1633</v>
      </c>
      <c r="BV83" s="152">
        <v>3.6379999999999999</v>
      </c>
      <c r="BW83" s="151">
        <v>6.32</v>
      </c>
      <c r="BX83" s="151" t="s">
        <v>1675</v>
      </c>
      <c r="BY83" s="151">
        <v>2122</v>
      </c>
      <c r="BZ83" s="151" t="s">
        <v>1718</v>
      </c>
      <c r="CA83" s="151">
        <v>2437</v>
      </c>
      <c r="CB83" s="151" t="s">
        <v>1718</v>
      </c>
      <c r="CD83" s="155">
        <f t="shared" si="32"/>
        <v>6.5</v>
      </c>
      <c r="CE83" s="156">
        <f t="shared" si="33"/>
        <v>6.32</v>
      </c>
      <c r="CG83" s="150">
        <v>6.5</v>
      </c>
      <c r="CH83" s="151" t="s">
        <v>593</v>
      </c>
      <c r="CI83" s="152">
        <v>1632</v>
      </c>
      <c r="CJ83" s="152">
        <v>5.0380000000000003</v>
      </c>
      <c r="CK83" s="151">
        <v>6.7</v>
      </c>
      <c r="CL83" s="151" t="s">
        <v>1675</v>
      </c>
      <c r="CM83" s="151">
        <v>2363</v>
      </c>
      <c r="CN83" s="151" t="s">
        <v>1718</v>
      </c>
      <c r="CO83" s="151">
        <v>2801</v>
      </c>
      <c r="CP83" s="151" t="s">
        <v>1718</v>
      </c>
      <c r="CR83" s="155">
        <f t="shared" si="21"/>
        <v>6.5</v>
      </c>
      <c r="CS83" s="156">
        <f t="shared" si="34"/>
        <v>6.7</v>
      </c>
      <c r="CU83" s="151">
        <v>6.5</v>
      </c>
      <c r="CV83" s="152" t="s">
        <v>593</v>
      </c>
      <c r="CW83" s="152">
        <v>2281</v>
      </c>
      <c r="CX83" s="152">
        <v>25.61</v>
      </c>
      <c r="CY83" s="151">
        <v>5.03</v>
      </c>
      <c r="CZ83" s="151" t="s">
        <v>1675</v>
      </c>
      <c r="DA83" s="151">
        <v>2091</v>
      </c>
      <c r="DB83" s="151" t="s">
        <v>1718</v>
      </c>
      <c r="DC83" s="151">
        <v>2538</v>
      </c>
      <c r="DD83" t="s">
        <v>1718</v>
      </c>
      <c r="DF83" s="155">
        <f t="shared" si="35"/>
        <v>6.5</v>
      </c>
      <c r="DG83" s="156">
        <f t="shared" si="38"/>
        <v>5.03</v>
      </c>
      <c r="DI83" s="151">
        <v>6.5</v>
      </c>
      <c r="DJ83" s="152" t="s">
        <v>593</v>
      </c>
      <c r="DK83" s="152">
        <v>1998</v>
      </c>
      <c r="DL83" s="152">
        <v>24.83</v>
      </c>
      <c r="DM83" s="151">
        <v>5.53</v>
      </c>
      <c r="DN83" s="151" t="s">
        <v>1675</v>
      </c>
      <c r="DO83" s="151">
        <v>2219</v>
      </c>
      <c r="DP83" s="151" t="s">
        <v>1718</v>
      </c>
      <c r="DQ83" s="151">
        <v>2643</v>
      </c>
      <c r="DR83" t="s">
        <v>1718</v>
      </c>
      <c r="DT83" s="155">
        <f t="shared" si="36"/>
        <v>6.5</v>
      </c>
      <c r="DU83" s="156">
        <f t="shared" si="39"/>
        <v>5.53</v>
      </c>
      <c r="DW83" s="401">
        <v>6.5</v>
      </c>
      <c r="DX83" s="401" t="s">
        <v>593</v>
      </c>
      <c r="DY83" s="402">
        <v>462.9</v>
      </c>
      <c r="DZ83" s="402">
        <v>0.3533</v>
      </c>
      <c r="EA83" s="401">
        <v>13.27</v>
      </c>
      <c r="EB83" s="401" t="s">
        <v>1675</v>
      </c>
      <c r="EC83" s="401">
        <v>4104</v>
      </c>
      <c r="ED83" s="401" t="s">
        <v>1718</v>
      </c>
      <c r="EE83" s="401">
        <v>3071</v>
      </c>
      <c r="EF83" s="403" t="s">
        <v>1718</v>
      </c>
      <c r="EH83" s="155">
        <f t="shared" si="37"/>
        <v>6.5</v>
      </c>
      <c r="EI83" s="156">
        <f t="shared" si="40"/>
        <v>13.27</v>
      </c>
    </row>
    <row r="84" spans="1:139" x14ac:dyDescent="0.2">
      <c r="A84" s="150">
        <v>7</v>
      </c>
      <c r="B84" s="151" t="s">
        <v>593</v>
      </c>
      <c r="C84" s="152">
        <v>1951</v>
      </c>
      <c r="D84" s="152">
        <v>5.6289999999999996</v>
      </c>
      <c r="E84" s="151">
        <v>6.56</v>
      </c>
      <c r="F84" s="151" t="s">
        <v>1675</v>
      </c>
      <c r="G84" s="151">
        <v>2420</v>
      </c>
      <c r="H84" s="151" t="s">
        <v>1718</v>
      </c>
      <c r="I84" s="151">
        <v>2989</v>
      </c>
      <c r="J84" s="151" t="s">
        <v>1718</v>
      </c>
      <c r="L84" s="155">
        <f t="shared" si="22"/>
        <v>7</v>
      </c>
      <c r="M84" s="156">
        <f t="shared" si="23"/>
        <v>6.56</v>
      </c>
      <c r="N84" s="275"/>
      <c r="O84" s="150">
        <v>7</v>
      </c>
      <c r="P84" s="151" t="s">
        <v>593</v>
      </c>
      <c r="Q84" s="152">
        <v>1714</v>
      </c>
      <c r="R84" s="152">
        <v>4.141</v>
      </c>
      <c r="S84" s="151">
        <v>6.59</v>
      </c>
      <c r="T84" s="151" t="s">
        <v>1675</v>
      </c>
      <c r="U84" s="151">
        <v>2264</v>
      </c>
      <c r="V84" s="151" t="s">
        <v>1718</v>
      </c>
      <c r="W84" s="151">
        <v>2653</v>
      </c>
      <c r="X84" s="151" t="s">
        <v>1718</v>
      </c>
      <c r="Z84" s="155">
        <f t="shared" si="24"/>
        <v>7</v>
      </c>
      <c r="AA84" s="156">
        <f t="shared" si="25"/>
        <v>6.59</v>
      </c>
      <c r="AB84" s="275"/>
      <c r="AC84" s="150">
        <v>7</v>
      </c>
      <c r="AD84" s="151" t="s">
        <v>593</v>
      </c>
      <c r="AE84" s="152">
        <v>73.45</v>
      </c>
      <c r="AF84" s="152">
        <v>5.3109999999999997E-2</v>
      </c>
      <c r="AG84" s="151">
        <v>58.63</v>
      </c>
      <c r="AH84" s="151" t="s">
        <v>1675</v>
      </c>
      <c r="AI84" s="151">
        <v>2.17</v>
      </c>
      <c r="AJ84" s="151" t="s">
        <v>1675</v>
      </c>
      <c r="AK84" s="151">
        <v>8498</v>
      </c>
      <c r="AL84" s="151" t="s">
        <v>1718</v>
      </c>
      <c r="AN84" s="155">
        <f t="shared" si="26"/>
        <v>7</v>
      </c>
      <c r="AO84" s="156">
        <f t="shared" si="27"/>
        <v>58.63</v>
      </c>
      <c r="AP84" s="275"/>
      <c r="AQ84" s="150">
        <v>7</v>
      </c>
      <c r="AR84" s="151" t="s">
        <v>593</v>
      </c>
      <c r="AS84" s="152">
        <v>6.2009999999999996</v>
      </c>
      <c r="AT84" s="152">
        <v>3.8140000000000001E-3</v>
      </c>
      <c r="AU84" s="151">
        <v>631</v>
      </c>
      <c r="AV84" s="151" t="s">
        <v>1675</v>
      </c>
      <c r="AW84" s="151">
        <v>25.39</v>
      </c>
      <c r="AX84" s="151" t="s">
        <v>1675</v>
      </c>
      <c r="AY84" s="151">
        <v>15.23</v>
      </c>
      <c r="AZ84" s="151" t="s">
        <v>1675</v>
      </c>
      <c r="BB84" s="155">
        <f t="shared" si="28"/>
        <v>7</v>
      </c>
      <c r="BC84" s="156">
        <f t="shared" si="29"/>
        <v>631</v>
      </c>
      <c r="BE84" s="150">
        <v>7</v>
      </c>
      <c r="BF84" s="151" t="s">
        <v>593</v>
      </c>
      <c r="BG84" s="152">
        <v>950.8</v>
      </c>
      <c r="BH84" s="152">
        <v>1.1339999999999999</v>
      </c>
      <c r="BI84" s="151">
        <v>8.94</v>
      </c>
      <c r="BJ84" s="151" t="s">
        <v>1675</v>
      </c>
      <c r="BK84" s="151">
        <v>2664</v>
      </c>
      <c r="BL84" s="151" t="s">
        <v>1718</v>
      </c>
      <c r="BM84" s="151">
        <v>2454</v>
      </c>
      <c r="BN84" s="151" t="s">
        <v>1718</v>
      </c>
      <c r="BP84" s="155">
        <f t="shared" si="30"/>
        <v>7</v>
      </c>
      <c r="BQ84" s="156">
        <f t="shared" si="31"/>
        <v>8.94</v>
      </c>
      <c r="BS84" s="150">
        <v>7</v>
      </c>
      <c r="BT84" s="151" t="s">
        <v>593</v>
      </c>
      <c r="BU84" s="152">
        <v>1638</v>
      </c>
      <c r="BV84" s="152">
        <v>3.419</v>
      </c>
      <c r="BW84" s="151">
        <v>6.62</v>
      </c>
      <c r="BX84" s="151" t="s">
        <v>1675</v>
      </c>
      <c r="BY84" s="151">
        <v>2171</v>
      </c>
      <c r="BZ84" s="151" t="s">
        <v>1718</v>
      </c>
      <c r="CA84" s="151">
        <v>2463</v>
      </c>
      <c r="CB84" s="151" t="s">
        <v>1718</v>
      </c>
      <c r="CD84" s="155">
        <f t="shared" si="32"/>
        <v>7</v>
      </c>
      <c r="CE84" s="156">
        <f t="shared" si="33"/>
        <v>6.62</v>
      </c>
      <c r="CG84" s="150">
        <v>7</v>
      </c>
      <c r="CH84" s="151" t="s">
        <v>593</v>
      </c>
      <c r="CI84" s="152">
        <v>1662</v>
      </c>
      <c r="CJ84" s="152">
        <v>4.7370000000000001</v>
      </c>
      <c r="CK84" s="151">
        <v>7.01</v>
      </c>
      <c r="CL84" s="151" t="s">
        <v>1675</v>
      </c>
      <c r="CM84" s="151">
        <v>2408</v>
      </c>
      <c r="CN84" s="151" t="s">
        <v>1718</v>
      </c>
      <c r="CO84" s="151">
        <v>2831</v>
      </c>
      <c r="CP84" s="151" t="s">
        <v>1718</v>
      </c>
      <c r="CR84" s="155">
        <f t="shared" si="21"/>
        <v>7</v>
      </c>
      <c r="CS84" s="156">
        <f t="shared" si="34"/>
        <v>7.01</v>
      </c>
      <c r="CU84" s="151">
        <v>7</v>
      </c>
      <c r="CV84" s="152" t="s">
        <v>593</v>
      </c>
      <c r="CW84" s="152">
        <v>2383</v>
      </c>
      <c r="CX84" s="152">
        <v>24.16</v>
      </c>
      <c r="CY84" s="151">
        <v>5.24</v>
      </c>
      <c r="CZ84" s="151" t="s">
        <v>1675</v>
      </c>
      <c r="DA84" s="151">
        <v>2123</v>
      </c>
      <c r="DB84" s="151" t="s">
        <v>1718</v>
      </c>
      <c r="DC84" s="151">
        <v>2576</v>
      </c>
      <c r="DD84" t="s">
        <v>1718</v>
      </c>
      <c r="DF84" s="155">
        <f t="shared" si="35"/>
        <v>7</v>
      </c>
      <c r="DG84" s="156">
        <f t="shared" si="38"/>
        <v>5.24</v>
      </c>
      <c r="DI84" s="151">
        <v>7</v>
      </c>
      <c r="DJ84" s="152" t="s">
        <v>593</v>
      </c>
      <c r="DK84" s="152">
        <v>2103</v>
      </c>
      <c r="DL84" s="152">
        <v>23.41</v>
      </c>
      <c r="DM84" s="151">
        <v>5.77</v>
      </c>
      <c r="DN84" s="151" t="s">
        <v>1675</v>
      </c>
      <c r="DO84" s="151">
        <v>2258</v>
      </c>
      <c r="DP84" s="151" t="s">
        <v>1718</v>
      </c>
      <c r="DQ84" s="151">
        <v>2688</v>
      </c>
      <c r="DR84" t="s">
        <v>1718</v>
      </c>
      <c r="DT84" s="155">
        <f t="shared" si="36"/>
        <v>7</v>
      </c>
      <c r="DU84" s="156">
        <f t="shared" si="39"/>
        <v>5.77</v>
      </c>
      <c r="DW84" s="401">
        <v>7</v>
      </c>
      <c r="DX84" s="401" t="s">
        <v>593</v>
      </c>
      <c r="DY84" s="402">
        <v>445.4</v>
      </c>
      <c r="DZ84" s="402">
        <v>0.33129999999999998</v>
      </c>
      <c r="EA84" s="401">
        <v>14.38</v>
      </c>
      <c r="EB84" s="401" t="s">
        <v>1675</v>
      </c>
      <c r="EC84" s="401">
        <v>4402</v>
      </c>
      <c r="ED84" s="401" t="s">
        <v>1718</v>
      </c>
      <c r="EE84" s="401">
        <v>3150</v>
      </c>
      <c r="EF84" s="403" t="s">
        <v>1718</v>
      </c>
      <c r="EH84" s="155">
        <f t="shared" si="37"/>
        <v>7</v>
      </c>
      <c r="EI84" s="156">
        <f t="shared" si="40"/>
        <v>14.38</v>
      </c>
    </row>
    <row r="85" spans="1:139" x14ac:dyDescent="0.2">
      <c r="A85" s="150">
        <v>8</v>
      </c>
      <c r="B85" s="151" t="s">
        <v>593</v>
      </c>
      <c r="C85" s="152">
        <v>2003</v>
      </c>
      <c r="D85" s="152">
        <v>5.0380000000000003</v>
      </c>
      <c r="E85" s="151">
        <v>7.06</v>
      </c>
      <c r="F85" s="151" t="s">
        <v>1675</v>
      </c>
      <c r="G85" s="151">
        <v>2533</v>
      </c>
      <c r="H85" s="151" t="s">
        <v>1718</v>
      </c>
      <c r="I85" s="151">
        <v>3035</v>
      </c>
      <c r="J85" s="151" t="s">
        <v>1718</v>
      </c>
      <c r="L85" s="155">
        <f t="shared" si="22"/>
        <v>8</v>
      </c>
      <c r="M85" s="156">
        <f t="shared" si="23"/>
        <v>7.06</v>
      </c>
      <c r="N85" s="275"/>
      <c r="O85" s="150">
        <v>8</v>
      </c>
      <c r="P85" s="151" t="s">
        <v>593</v>
      </c>
      <c r="Q85" s="152">
        <v>1746</v>
      </c>
      <c r="R85" s="152">
        <v>3.7029999999999998</v>
      </c>
      <c r="S85" s="151">
        <v>7.17</v>
      </c>
      <c r="T85" s="151" t="s">
        <v>1675</v>
      </c>
      <c r="U85" s="151">
        <v>2418</v>
      </c>
      <c r="V85" s="151" t="s">
        <v>1718</v>
      </c>
      <c r="W85" s="151">
        <v>2704</v>
      </c>
      <c r="X85" s="151" t="s">
        <v>1718</v>
      </c>
      <c r="Z85" s="155">
        <f t="shared" si="24"/>
        <v>8</v>
      </c>
      <c r="AA85" s="156">
        <f t="shared" si="25"/>
        <v>7.17</v>
      </c>
      <c r="AB85" s="275"/>
      <c r="AC85" s="150">
        <v>8</v>
      </c>
      <c r="AD85" s="151" t="s">
        <v>593</v>
      </c>
      <c r="AE85" s="152">
        <v>66.209999999999994</v>
      </c>
      <c r="AF85" s="152">
        <v>4.7169999999999997E-2</v>
      </c>
      <c r="AG85" s="151">
        <v>72.959999999999994</v>
      </c>
      <c r="AH85" s="151" t="s">
        <v>1675</v>
      </c>
      <c r="AI85" s="151">
        <v>2.98</v>
      </c>
      <c r="AJ85" s="151" t="s">
        <v>1675</v>
      </c>
      <c r="AK85" s="151">
        <v>1.02</v>
      </c>
      <c r="AL85" s="151" t="s">
        <v>1675</v>
      </c>
      <c r="AN85" s="155">
        <f t="shared" si="26"/>
        <v>8</v>
      </c>
      <c r="AO85" s="156">
        <f t="shared" si="27"/>
        <v>72.959999999999994</v>
      </c>
      <c r="AP85" s="275"/>
      <c r="AQ85" s="150">
        <v>8</v>
      </c>
      <c r="AR85" s="151" t="s">
        <v>593</v>
      </c>
      <c r="AS85" s="152">
        <v>5.5640000000000001</v>
      </c>
      <c r="AT85" s="152">
        <v>3.3809999999999999E-3</v>
      </c>
      <c r="AU85" s="151">
        <v>801.04</v>
      </c>
      <c r="AV85" s="151" t="s">
        <v>1675</v>
      </c>
      <c r="AW85" s="151">
        <v>35.26</v>
      </c>
      <c r="AX85" s="151" t="s">
        <v>1675</v>
      </c>
      <c r="AY85" s="151">
        <v>19.18</v>
      </c>
      <c r="AZ85" s="151" t="s">
        <v>1675</v>
      </c>
      <c r="BB85" s="155">
        <f t="shared" si="28"/>
        <v>8</v>
      </c>
      <c r="BC85" s="156">
        <f t="shared" si="29"/>
        <v>801.04</v>
      </c>
      <c r="BE85" s="150">
        <v>8</v>
      </c>
      <c r="BF85" s="151" t="s">
        <v>593</v>
      </c>
      <c r="BG85" s="152">
        <v>924</v>
      </c>
      <c r="BH85" s="152">
        <v>1.0109999999999999</v>
      </c>
      <c r="BI85" s="151">
        <v>10.01</v>
      </c>
      <c r="BJ85" s="151" t="s">
        <v>1675</v>
      </c>
      <c r="BK85" s="151">
        <v>3073</v>
      </c>
      <c r="BL85" s="151" t="s">
        <v>1718</v>
      </c>
      <c r="BM85" s="151">
        <v>2530</v>
      </c>
      <c r="BN85" s="151" t="s">
        <v>1718</v>
      </c>
      <c r="BP85" s="155">
        <f t="shared" si="30"/>
        <v>8</v>
      </c>
      <c r="BQ85" s="156">
        <f t="shared" si="31"/>
        <v>10.01</v>
      </c>
      <c r="BS85" s="150">
        <v>8</v>
      </c>
      <c r="BT85" s="151" t="s">
        <v>593</v>
      </c>
      <c r="BU85" s="152">
        <v>1635</v>
      </c>
      <c r="BV85" s="152">
        <v>3.056</v>
      </c>
      <c r="BW85" s="151">
        <v>7.23</v>
      </c>
      <c r="BX85" s="151" t="s">
        <v>1675</v>
      </c>
      <c r="BY85" s="151">
        <v>2346</v>
      </c>
      <c r="BZ85" s="151" t="s">
        <v>1718</v>
      </c>
      <c r="CA85" s="151">
        <v>2511</v>
      </c>
      <c r="CB85" s="151" t="s">
        <v>1718</v>
      </c>
      <c r="CD85" s="155">
        <f t="shared" si="32"/>
        <v>8</v>
      </c>
      <c r="CE85" s="156">
        <f t="shared" si="33"/>
        <v>7.23</v>
      </c>
      <c r="CG85" s="150">
        <v>8</v>
      </c>
      <c r="CH85" s="151" t="s">
        <v>593</v>
      </c>
      <c r="CI85" s="152">
        <v>1708</v>
      </c>
      <c r="CJ85" s="152">
        <v>4.2370000000000001</v>
      </c>
      <c r="CK85" s="151">
        <v>7.6</v>
      </c>
      <c r="CL85" s="151" t="s">
        <v>1675</v>
      </c>
      <c r="CM85" s="151">
        <v>2561</v>
      </c>
      <c r="CN85" s="151" t="s">
        <v>1718</v>
      </c>
      <c r="CO85" s="151">
        <v>2886</v>
      </c>
      <c r="CP85" s="151" t="s">
        <v>1718</v>
      </c>
      <c r="CR85" s="155">
        <f t="shared" si="21"/>
        <v>8</v>
      </c>
      <c r="CS85" s="156">
        <f t="shared" si="34"/>
        <v>7.6</v>
      </c>
      <c r="CU85" s="151">
        <v>8</v>
      </c>
      <c r="CV85" s="152" t="s">
        <v>593</v>
      </c>
      <c r="CW85" s="152">
        <v>2567</v>
      </c>
      <c r="CX85" s="152">
        <v>21.73</v>
      </c>
      <c r="CY85" s="151">
        <v>5.64</v>
      </c>
      <c r="CZ85" s="151" t="s">
        <v>1675</v>
      </c>
      <c r="DA85" s="151">
        <v>2214</v>
      </c>
      <c r="DB85" s="151" t="s">
        <v>1718</v>
      </c>
      <c r="DC85" s="151">
        <v>2641</v>
      </c>
      <c r="DD85" t="s">
        <v>1718</v>
      </c>
      <c r="DF85" s="155">
        <f t="shared" si="35"/>
        <v>8</v>
      </c>
      <c r="DG85" s="156">
        <f t="shared" si="38"/>
        <v>5.64</v>
      </c>
      <c r="DI85" s="151">
        <v>8</v>
      </c>
      <c r="DJ85" s="152" t="s">
        <v>593</v>
      </c>
      <c r="DK85" s="152">
        <v>2299</v>
      </c>
      <c r="DL85" s="152">
        <v>21.06</v>
      </c>
      <c r="DM85" s="151">
        <v>6.22</v>
      </c>
      <c r="DN85" s="151" t="s">
        <v>1675</v>
      </c>
      <c r="DO85" s="151">
        <v>2366</v>
      </c>
      <c r="DP85" s="151" t="s">
        <v>1718</v>
      </c>
      <c r="DQ85" s="151">
        <v>2764</v>
      </c>
      <c r="DR85" t="s">
        <v>1718</v>
      </c>
      <c r="DT85" s="155">
        <f t="shared" si="36"/>
        <v>8</v>
      </c>
      <c r="DU85" s="156">
        <f t="shared" si="39"/>
        <v>6.22</v>
      </c>
      <c r="DW85" s="401">
        <v>8</v>
      </c>
      <c r="DX85" s="401" t="s">
        <v>593</v>
      </c>
      <c r="DY85" s="402">
        <v>413.1</v>
      </c>
      <c r="DZ85" s="402">
        <v>0.29480000000000001</v>
      </c>
      <c r="EA85" s="401">
        <v>16.71</v>
      </c>
      <c r="EB85" s="401" t="s">
        <v>1675</v>
      </c>
      <c r="EC85" s="401">
        <v>5521</v>
      </c>
      <c r="ED85" s="401" t="s">
        <v>1718</v>
      </c>
      <c r="EE85" s="401">
        <v>3317</v>
      </c>
      <c r="EF85" s="403" t="s">
        <v>1718</v>
      </c>
      <c r="EH85" s="155">
        <f t="shared" si="37"/>
        <v>8</v>
      </c>
      <c r="EI85" s="156">
        <f t="shared" si="40"/>
        <v>16.71</v>
      </c>
    </row>
    <row r="86" spans="1:139" x14ac:dyDescent="0.2">
      <c r="A86" s="150">
        <v>9</v>
      </c>
      <c r="B86" s="151" t="s">
        <v>593</v>
      </c>
      <c r="C86" s="152">
        <v>2035</v>
      </c>
      <c r="D86" s="152">
        <v>4.5659999999999998</v>
      </c>
      <c r="E86" s="151">
        <v>7.55</v>
      </c>
      <c r="F86" s="151" t="s">
        <v>1675</v>
      </c>
      <c r="G86" s="151">
        <v>2636</v>
      </c>
      <c r="H86" s="151" t="s">
        <v>1718</v>
      </c>
      <c r="I86" s="151">
        <v>3075</v>
      </c>
      <c r="J86" s="151" t="s">
        <v>1718</v>
      </c>
      <c r="L86" s="155">
        <f t="shared" si="22"/>
        <v>9</v>
      </c>
      <c r="M86" s="156">
        <f t="shared" si="23"/>
        <v>7.55</v>
      </c>
      <c r="N86" s="275"/>
      <c r="O86" s="150">
        <v>9</v>
      </c>
      <c r="P86" s="151" t="s">
        <v>593</v>
      </c>
      <c r="Q86" s="152">
        <v>1763</v>
      </c>
      <c r="R86" s="152">
        <v>3.3530000000000002</v>
      </c>
      <c r="S86" s="151">
        <v>7.74</v>
      </c>
      <c r="T86" s="151" t="s">
        <v>1675</v>
      </c>
      <c r="U86" s="151">
        <v>2557</v>
      </c>
      <c r="V86" s="151" t="s">
        <v>1718</v>
      </c>
      <c r="W86" s="151">
        <v>2750</v>
      </c>
      <c r="X86" s="151" t="s">
        <v>1718</v>
      </c>
      <c r="Z86" s="155">
        <f t="shared" si="24"/>
        <v>9</v>
      </c>
      <c r="AA86" s="156">
        <f t="shared" si="25"/>
        <v>7.74</v>
      </c>
      <c r="AB86" s="275"/>
      <c r="AC86" s="150">
        <v>9</v>
      </c>
      <c r="AD86" s="151" t="s">
        <v>593</v>
      </c>
      <c r="AE86" s="152">
        <v>61.62</v>
      </c>
      <c r="AF86" s="152">
        <v>4.2470000000000001E-2</v>
      </c>
      <c r="AG86" s="151">
        <v>88.61</v>
      </c>
      <c r="AH86" s="151" t="s">
        <v>1675</v>
      </c>
      <c r="AI86" s="151">
        <v>3.73</v>
      </c>
      <c r="AJ86" s="151" t="s">
        <v>1675</v>
      </c>
      <c r="AK86" s="151">
        <v>1.21</v>
      </c>
      <c r="AL86" s="151" t="s">
        <v>1675</v>
      </c>
      <c r="AN86" s="155">
        <f t="shared" si="26"/>
        <v>9</v>
      </c>
      <c r="AO86" s="156">
        <f t="shared" si="27"/>
        <v>88.61</v>
      </c>
      <c r="AP86" s="275"/>
      <c r="AQ86" s="150">
        <v>9</v>
      </c>
      <c r="AR86" s="151" t="s">
        <v>593</v>
      </c>
      <c r="AS86" s="152">
        <v>5.0549999999999997</v>
      </c>
      <c r="AT86" s="152">
        <v>3.0400000000000002E-3</v>
      </c>
      <c r="AU86" s="151">
        <v>989.36</v>
      </c>
      <c r="AV86" s="151" t="s">
        <v>1675</v>
      </c>
      <c r="AW86" s="151">
        <v>44.5</v>
      </c>
      <c r="AX86" s="151" t="s">
        <v>1675</v>
      </c>
      <c r="AY86" s="151">
        <v>23.54</v>
      </c>
      <c r="AZ86" s="151" t="s">
        <v>1675</v>
      </c>
      <c r="BB86" s="155">
        <f t="shared" si="28"/>
        <v>9</v>
      </c>
      <c r="BC86" s="156">
        <f t="shared" si="29"/>
        <v>989.36</v>
      </c>
      <c r="BE86" s="150">
        <v>9</v>
      </c>
      <c r="BF86" s="151" t="s">
        <v>593</v>
      </c>
      <c r="BG86" s="152">
        <v>894.9</v>
      </c>
      <c r="BH86" s="152">
        <v>0.9133</v>
      </c>
      <c r="BI86" s="151">
        <v>11.1</v>
      </c>
      <c r="BJ86" s="151" t="s">
        <v>1675</v>
      </c>
      <c r="BK86" s="151">
        <v>3455</v>
      </c>
      <c r="BL86" s="151" t="s">
        <v>1718</v>
      </c>
      <c r="BM86" s="151">
        <v>2605</v>
      </c>
      <c r="BN86" s="151" t="s">
        <v>1718</v>
      </c>
      <c r="BP86" s="155">
        <f t="shared" si="30"/>
        <v>9</v>
      </c>
      <c r="BQ86" s="156">
        <f t="shared" si="31"/>
        <v>11.1</v>
      </c>
      <c r="BS86" s="150">
        <v>9</v>
      </c>
      <c r="BT86" s="151" t="s">
        <v>593</v>
      </c>
      <c r="BU86" s="152">
        <v>1622</v>
      </c>
      <c r="BV86" s="152">
        <v>2.766</v>
      </c>
      <c r="BW86" s="151">
        <v>7.84</v>
      </c>
      <c r="BX86" s="151" t="s">
        <v>1675</v>
      </c>
      <c r="BY86" s="151">
        <v>2510</v>
      </c>
      <c r="BZ86" s="151" t="s">
        <v>1718</v>
      </c>
      <c r="CA86" s="151">
        <v>2556</v>
      </c>
      <c r="CB86" s="151" t="s">
        <v>1718</v>
      </c>
      <c r="CD86" s="155">
        <f t="shared" si="32"/>
        <v>9</v>
      </c>
      <c r="CE86" s="156">
        <f t="shared" si="33"/>
        <v>7.84</v>
      </c>
      <c r="CG86" s="150">
        <v>9</v>
      </c>
      <c r="CH86" s="151" t="s">
        <v>593</v>
      </c>
      <c r="CI86" s="152">
        <v>1739</v>
      </c>
      <c r="CJ86" s="152">
        <v>3.839</v>
      </c>
      <c r="CK86" s="151">
        <v>8.18</v>
      </c>
      <c r="CL86" s="151" t="s">
        <v>1675</v>
      </c>
      <c r="CM86" s="151">
        <v>2699</v>
      </c>
      <c r="CN86" s="151" t="s">
        <v>1718</v>
      </c>
      <c r="CO86" s="151">
        <v>2934</v>
      </c>
      <c r="CP86" s="151" t="s">
        <v>1718</v>
      </c>
      <c r="CR86" s="155">
        <f t="shared" si="21"/>
        <v>9</v>
      </c>
      <c r="CS86" s="156">
        <f t="shared" si="34"/>
        <v>8.18</v>
      </c>
      <c r="CU86" s="151">
        <v>9</v>
      </c>
      <c r="CV86" s="152" t="s">
        <v>593</v>
      </c>
      <c r="CW86" s="152">
        <v>2727</v>
      </c>
      <c r="CX86" s="152">
        <v>19.77</v>
      </c>
      <c r="CY86" s="151">
        <v>6.01</v>
      </c>
      <c r="CZ86" s="151" t="s">
        <v>1675</v>
      </c>
      <c r="DA86" s="151">
        <v>2291</v>
      </c>
      <c r="DB86" s="151" t="s">
        <v>1718</v>
      </c>
      <c r="DC86" s="151">
        <v>2695</v>
      </c>
      <c r="DD86" t="s">
        <v>1718</v>
      </c>
      <c r="DF86" s="155">
        <f t="shared" si="35"/>
        <v>9</v>
      </c>
      <c r="DG86" s="156">
        <f t="shared" si="38"/>
        <v>6.01</v>
      </c>
      <c r="DI86" s="151">
        <v>9</v>
      </c>
      <c r="DJ86" s="152" t="s">
        <v>593</v>
      </c>
      <c r="DK86" s="152">
        <v>2474</v>
      </c>
      <c r="DL86" s="152">
        <v>19.170000000000002</v>
      </c>
      <c r="DM86" s="151">
        <v>6.63</v>
      </c>
      <c r="DN86" s="151" t="s">
        <v>1675</v>
      </c>
      <c r="DO86" s="151">
        <v>2453</v>
      </c>
      <c r="DP86" s="151" t="s">
        <v>1718</v>
      </c>
      <c r="DQ86" s="151">
        <v>2827</v>
      </c>
      <c r="DR86" t="s">
        <v>1718</v>
      </c>
      <c r="DT86" s="155">
        <f t="shared" si="36"/>
        <v>9</v>
      </c>
      <c r="DU86" s="156">
        <f t="shared" si="39"/>
        <v>6.63</v>
      </c>
      <c r="DW86" s="401">
        <v>9</v>
      </c>
      <c r="DX86" s="401" t="s">
        <v>593</v>
      </c>
      <c r="DY86" s="402">
        <v>384.6</v>
      </c>
      <c r="DZ86" s="402">
        <v>0.26590000000000003</v>
      </c>
      <c r="EA86" s="401">
        <v>19.21</v>
      </c>
      <c r="EB86" s="401" t="s">
        <v>1675</v>
      </c>
      <c r="EC86" s="401">
        <v>6583</v>
      </c>
      <c r="ED86" s="401" t="s">
        <v>1718</v>
      </c>
      <c r="EE86" s="401">
        <v>3496</v>
      </c>
      <c r="EF86" s="403" t="s">
        <v>1718</v>
      </c>
      <c r="EH86" s="155">
        <f t="shared" si="37"/>
        <v>9</v>
      </c>
      <c r="EI86" s="156">
        <f t="shared" si="40"/>
        <v>19.21</v>
      </c>
    </row>
    <row r="87" spans="1:139" x14ac:dyDescent="0.2">
      <c r="A87" s="150">
        <v>10</v>
      </c>
      <c r="B87" s="151" t="s">
        <v>593</v>
      </c>
      <c r="C87" s="152">
        <v>2051</v>
      </c>
      <c r="D87" s="152">
        <v>4.18</v>
      </c>
      <c r="E87" s="151">
        <v>8.0399999999999991</v>
      </c>
      <c r="F87" s="151" t="s">
        <v>1675</v>
      </c>
      <c r="G87" s="151">
        <v>2733</v>
      </c>
      <c r="H87" s="151" t="s">
        <v>1718</v>
      </c>
      <c r="I87" s="151">
        <v>3112</v>
      </c>
      <c r="J87" s="151" t="s">
        <v>1718</v>
      </c>
      <c r="L87" s="155">
        <f t="shared" si="22"/>
        <v>10</v>
      </c>
      <c r="M87" s="156">
        <f t="shared" si="23"/>
        <v>8.0399999999999991</v>
      </c>
      <c r="N87" s="275"/>
      <c r="O87" s="150">
        <v>10</v>
      </c>
      <c r="P87" s="151" t="s">
        <v>593</v>
      </c>
      <c r="Q87" s="152">
        <v>1769</v>
      </c>
      <c r="R87" s="152">
        <v>3.0680000000000001</v>
      </c>
      <c r="S87" s="151">
        <v>8.3000000000000007</v>
      </c>
      <c r="T87" s="151" t="s">
        <v>1675</v>
      </c>
      <c r="U87" s="151">
        <v>2688</v>
      </c>
      <c r="V87" s="151" t="s">
        <v>1718</v>
      </c>
      <c r="W87" s="151">
        <v>2792</v>
      </c>
      <c r="X87" s="151" t="s">
        <v>1718</v>
      </c>
      <c r="Z87" s="155">
        <f t="shared" si="24"/>
        <v>10</v>
      </c>
      <c r="AA87" s="156">
        <f t="shared" si="25"/>
        <v>8.3000000000000007</v>
      </c>
      <c r="AB87" s="275"/>
      <c r="AC87" s="150">
        <v>10</v>
      </c>
      <c r="AD87" s="151" t="s">
        <v>593</v>
      </c>
      <c r="AE87" s="152">
        <v>56.99</v>
      </c>
      <c r="AF87" s="152">
        <v>3.8670000000000003E-2</v>
      </c>
      <c r="AG87" s="151">
        <v>105.47</v>
      </c>
      <c r="AH87" s="151" t="s">
        <v>1675</v>
      </c>
      <c r="AI87" s="151">
        <v>4.4400000000000004</v>
      </c>
      <c r="AJ87" s="151" t="s">
        <v>1675</v>
      </c>
      <c r="AK87" s="151">
        <v>1.42</v>
      </c>
      <c r="AL87" s="151" t="s">
        <v>1675</v>
      </c>
      <c r="AN87" s="155">
        <f t="shared" si="26"/>
        <v>10</v>
      </c>
      <c r="AO87" s="156">
        <f t="shared" si="27"/>
        <v>105.47</v>
      </c>
      <c r="AP87" s="275"/>
      <c r="AQ87" s="150">
        <v>10</v>
      </c>
      <c r="AR87" s="151" t="s">
        <v>593</v>
      </c>
      <c r="AS87" s="152">
        <v>4.6379999999999999</v>
      </c>
      <c r="AT87" s="152">
        <v>2.7629999999999998E-3</v>
      </c>
      <c r="AU87" s="151">
        <v>1.2</v>
      </c>
      <c r="AV87" s="151" t="s">
        <v>1623</v>
      </c>
      <c r="AW87" s="151">
        <v>53.55</v>
      </c>
      <c r="AX87" s="151" t="s">
        <v>1675</v>
      </c>
      <c r="AY87" s="151">
        <v>28.3</v>
      </c>
      <c r="AZ87" s="151" t="s">
        <v>1675</v>
      </c>
      <c r="BB87" s="155">
        <f t="shared" si="28"/>
        <v>10</v>
      </c>
      <c r="BC87" s="156">
        <f t="shared" si="29"/>
        <v>1200</v>
      </c>
      <c r="BE87" s="150">
        <v>10</v>
      </c>
      <c r="BF87" s="151" t="s">
        <v>593</v>
      </c>
      <c r="BG87" s="152">
        <v>865.2</v>
      </c>
      <c r="BH87" s="152">
        <v>0.83399999999999996</v>
      </c>
      <c r="BI87" s="151">
        <v>12.24</v>
      </c>
      <c r="BJ87" s="151" t="s">
        <v>1675</v>
      </c>
      <c r="BK87" s="151">
        <v>3821</v>
      </c>
      <c r="BL87" s="151" t="s">
        <v>1718</v>
      </c>
      <c r="BM87" s="151">
        <v>2679</v>
      </c>
      <c r="BN87" s="151" t="s">
        <v>1718</v>
      </c>
      <c r="BP87" s="155">
        <f t="shared" si="30"/>
        <v>10</v>
      </c>
      <c r="BQ87" s="156">
        <f t="shared" si="31"/>
        <v>12.24</v>
      </c>
      <c r="BS87" s="150">
        <v>10</v>
      </c>
      <c r="BT87" s="151" t="s">
        <v>593</v>
      </c>
      <c r="BU87" s="152">
        <v>1602</v>
      </c>
      <c r="BV87" s="152">
        <v>2.5299999999999998</v>
      </c>
      <c r="BW87" s="151">
        <v>8.4600000000000009</v>
      </c>
      <c r="BX87" s="151" t="s">
        <v>1675</v>
      </c>
      <c r="BY87" s="151">
        <v>2667</v>
      </c>
      <c r="BZ87" s="151" t="s">
        <v>1718</v>
      </c>
      <c r="CA87" s="151">
        <v>2598</v>
      </c>
      <c r="CB87" s="151" t="s">
        <v>1718</v>
      </c>
      <c r="CD87" s="155">
        <f t="shared" si="32"/>
        <v>10</v>
      </c>
      <c r="CE87" s="156">
        <f t="shared" si="33"/>
        <v>8.4600000000000009</v>
      </c>
      <c r="CG87" s="150">
        <v>10</v>
      </c>
      <c r="CH87" s="151" t="s">
        <v>593</v>
      </c>
      <c r="CI87" s="152">
        <v>1758</v>
      </c>
      <c r="CJ87" s="152">
        <v>3.5129999999999999</v>
      </c>
      <c r="CK87" s="151">
        <v>8.75</v>
      </c>
      <c r="CL87" s="151" t="s">
        <v>1675</v>
      </c>
      <c r="CM87" s="151">
        <v>2825</v>
      </c>
      <c r="CN87" s="151" t="s">
        <v>1718</v>
      </c>
      <c r="CO87" s="151">
        <v>2978</v>
      </c>
      <c r="CP87" s="151" t="s">
        <v>1718</v>
      </c>
      <c r="CR87" s="155">
        <f t="shared" si="21"/>
        <v>10</v>
      </c>
      <c r="CS87" s="156">
        <f t="shared" si="34"/>
        <v>8.75</v>
      </c>
      <c r="CU87" s="151">
        <v>10</v>
      </c>
      <c r="CV87" s="152" t="s">
        <v>593</v>
      </c>
      <c r="CW87" s="152">
        <v>2864</v>
      </c>
      <c r="CX87" s="152">
        <v>18.170000000000002</v>
      </c>
      <c r="CY87" s="151">
        <v>6.37</v>
      </c>
      <c r="CZ87" s="151" t="s">
        <v>1675</v>
      </c>
      <c r="DA87" s="151">
        <v>2357</v>
      </c>
      <c r="DB87" s="151" t="s">
        <v>1718</v>
      </c>
      <c r="DC87" s="151">
        <v>2743</v>
      </c>
      <c r="DD87" t="s">
        <v>1718</v>
      </c>
      <c r="DF87" s="155">
        <f t="shared" si="35"/>
        <v>10</v>
      </c>
      <c r="DG87" s="156">
        <f t="shared" si="38"/>
        <v>6.37</v>
      </c>
      <c r="DI87" s="151">
        <v>10</v>
      </c>
      <c r="DJ87" s="152" t="s">
        <v>593</v>
      </c>
      <c r="DK87" s="152">
        <v>2630</v>
      </c>
      <c r="DL87" s="152">
        <v>17.61</v>
      </c>
      <c r="DM87" s="151">
        <v>7.02</v>
      </c>
      <c r="DN87" s="151" t="s">
        <v>1675</v>
      </c>
      <c r="DO87" s="151">
        <v>2527</v>
      </c>
      <c r="DP87" s="151" t="s">
        <v>1718</v>
      </c>
      <c r="DQ87" s="151">
        <v>2881</v>
      </c>
      <c r="DR87" t="s">
        <v>1718</v>
      </c>
      <c r="DT87" s="155">
        <f t="shared" si="36"/>
        <v>10</v>
      </c>
      <c r="DU87" s="156">
        <f t="shared" si="39"/>
        <v>7.02</v>
      </c>
      <c r="DW87" s="401">
        <v>10</v>
      </c>
      <c r="DX87" s="401" t="s">
        <v>593</v>
      </c>
      <c r="DY87" s="402">
        <v>359.3</v>
      </c>
      <c r="DZ87" s="402">
        <v>0.24249999999999999</v>
      </c>
      <c r="EA87" s="401">
        <v>21.9</v>
      </c>
      <c r="EB87" s="401" t="s">
        <v>1675</v>
      </c>
      <c r="EC87" s="401">
        <v>7624</v>
      </c>
      <c r="ED87" s="401" t="s">
        <v>1718</v>
      </c>
      <c r="EE87" s="401">
        <v>3689</v>
      </c>
      <c r="EF87" s="403" t="s">
        <v>1718</v>
      </c>
      <c r="EH87" s="155">
        <f t="shared" si="37"/>
        <v>10</v>
      </c>
      <c r="EI87" s="156">
        <f t="shared" si="40"/>
        <v>21.9</v>
      </c>
    </row>
    <row r="88" spans="1:139" x14ac:dyDescent="0.2">
      <c r="A88" s="150">
        <v>11</v>
      </c>
      <c r="B88" s="151" t="s">
        <v>593</v>
      </c>
      <c r="C88" s="152">
        <v>2056</v>
      </c>
      <c r="D88" s="152">
        <v>3.8580000000000001</v>
      </c>
      <c r="E88" s="151">
        <v>8.5299999999999994</v>
      </c>
      <c r="F88" s="151" t="s">
        <v>1675</v>
      </c>
      <c r="G88" s="151">
        <v>2825</v>
      </c>
      <c r="H88" s="151" t="s">
        <v>1718</v>
      </c>
      <c r="I88" s="151">
        <v>3145</v>
      </c>
      <c r="J88" s="151" t="s">
        <v>1718</v>
      </c>
      <c r="L88" s="155">
        <f t="shared" si="22"/>
        <v>11</v>
      </c>
      <c r="M88" s="156">
        <f t="shared" si="23"/>
        <v>8.5299999999999994</v>
      </c>
      <c r="N88" s="275"/>
      <c r="O88" s="150">
        <v>11</v>
      </c>
      <c r="P88" s="151" t="s">
        <v>593</v>
      </c>
      <c r="Q88" s="152">
        <v>1767</v>
      </c>
      <c r="R88" s="152">
        <v>2.83</v>
      </c>
      <c r="S88" s="151">
        <v>8.8699999999999992</v>
      </c>
      <c r="T88" s="151" t="s">
        <v>1675</v>
      </c>
      <c r="U88" s="151">
        <v>2812</v>
      </c>
      <c r="V88" s="151" t="s">
        <v>1718</v>
      </c>
      <c r="W88" s="151">
        <v>2831</v>
      </c>
      <c r="X88" s="151" t="s">
        <v>1718</v>
      </c>
      <c r="Z88" s="155">
        <f t="shared" si="24"/>
        <v>11</v>
      </c>
      <c r="AA88" s="156">
        <f t="shared" si="25"/>
        <v>8.8699999999999992</v>
      </c>
      <c r="AB88" s="275"/>
      <c r="AC88" s="150">
        <v>11</v>
      </c>
      <c r="AD88" s="151" t="s">
        <v>593</v>
      </c>
      <c r="AE88" s="152">
        <v>52.81</v>
      </c>
      <c r="AF88" s="152">
        <v>3.551E-2</v>
      </c>
      <c r="AG88" s="151">
        <v>123.69</v>
      </c>
      <c r="AH88" s="151" t="s">
        <v>1675</v>
      </c>
      <c r="AI88" s="151">
        <v>5.15</v>
      </c>
      <c r="AJ88" s="151" t="s">
        <v>1675</v>
      </c>
      <c r="AK88" s="151">
        <v>1.63</v>
      </c>
      <c r="AL88" s="151" t="s">
        <v>1675</v>
      </c>
      <c r="AN88" s="155">
        <f t="shared" si="26"/>
        <v>11</v>
      </c>
      <c r="AO88" s="156">
        <f t="shared" si="27"/>
        <v>123.69</v>
      </c>
      <c r="AP88" s="275"/>
      <c r="AQ88" s="150">
        <v>11</v>
      </c>
      <c r="AR88" s="151" t="s">
        <v>593</v>
      </c>
      <c r="AS88" s="152">
        <v>4.2910000000000004</v>
      </c>
      <c r="AT88" s="152">
        <v>2.5349999999999999E-3</v>
      </c>
      <c r="AU88" s="151">
        <v>1.42</v>
      </c>
      <c r="AV88" s="151" t="s">
        <v>1623</v>
      </c>
      <c r="AW88" s="151">
        <v>62.58</v>
      </c>
      <c r="AX88" s="151" t="s">
        <v>1675</v>
      </c>
      <c r="AY88" s="151">
        <v>33.43</v>
      </c>
      <c r="AZ88" s="151" t="s">
        <v>1675</v>
      </c>
      <c r="BB88" s="155">
        <f t="shared" si="28"/>
        <v>11</v>
      </c>
      <c r="BC88" s="156">
        <f t="shared" si="29"/>
        <v>1420</v>
      </c>
      <c r="BE88" s="150">
        <v>11</v>
      </c>
      <c r="BF88" s="151" t="s">
        <v>593</v>
      </c>
      <c r="BG88" s="152">
        <v>835.7</v>
      </c>
      <c r="BH88" s="152">
        <v>0.76800000000000002</v>
      </c>
      <c r="BI88" s="151">
        <v>13.41</v>
      </c>
      <c r="BJ88" s="151" t="s">
        <v>1675</v>
      </c>
      <c r="BK88" s="151">
        <v>4177</v>
      </c>
      <c r="BL88" s="151" t="s">
        <v>1718</v>
      </c>
      <c r="BM88" s="151">
        <v>2754</v>
      </c>
      <c r="BN88" s="151" t="s">
        <v>1718</v>
      </c>
      <c r="BP88" s="155">
        <f t="shared" si="30"/>
        <v>11</v>
      </c>
      <c r="BQ88" s="156">
        <f t="shared" si="31"/>
        <v>13.41</v>
      </c>
      <c r="BS88" s="150">
        <v>11</v>
      </c>
      <c r="BT88" s="151" t="s">
        <v>593</v>
      </c>
      <c r="BU88" s="152">
        <v>1577</v>
      </c>
      <c r="BV88" s="152">
        <v>2.3330000000000002</v>
      </c>
      <c r="BW88" s="151">
        <v>9.09</v>
      </c>
      <c r="BX88" s="151" t="s">
        <v>1675</v>
      </c>
      <c r="BY88" s="151">
        <v>2818</v>
      </c>
      <c r="BZ88" s="151" t="s">
        <v>1718</v>
      </c>
      <c r="CA88" s="151">
        <v>2639</v>
      </c>
      <c r="CB88" s="151" t="s">
        <v>1718</v>
      </c>
      <c r="CD88" s="155">
        <f t="shared" si="32"/>
        <v>11</v>
      </c>
      <c r="CE88" s="156">
        <f t="shared" si="33"/>
        <v>9.09</v>
      </c>
      <c r="CG88" s="150">
        <v>11</v>
      </c>
      <c r="CH88" s="151" t="s">
        <v>593</v>
      </c>
      <c r="CI88" s="152">
        <v>1767</v>
      </c>
      <c r="CJ88" s="152">
        <v>3.242</v>
      </c>
      <c r="CK88" s="151">
        <v>9.31</v>
      </c>
      <c r="CL88" s="151" t="s">
        <v>1675</v>
      </c>
      <c r="CM88" s="151">
        <v>2945</v>
      </c>
      <c r="CN88" s="151" t="s">
        <v>1718</v>
      </c>
      <c r="CO88" s="151">
        <v>3019</v>
      </c>
      <c r="CP88" s="151" t="s">
        <v>1718</v>
      </c>
      <c r="CR88" s="155">
        <f t="shared" si="21"/>
        <v>11</v>
      </c>
      <c r="CS88" s="156">
        <f t="shared" si="34"/>
        <v>9.31</v>
      </c>
      <c r="CU88" s="151">
        <v>11</v>
      </c>
      <c r="CV88" s="152" t="s">
        <v>593</v>
      </c>
      <c r="CW88" s="152">
        <v>2984</v>
      </c>
      <c r="CX88" s="152">
        <v>16.82</v>
      </c>
      <c r="CY88" s="151">
        <v>6.71</v>
      </c>
      <c r="CZ88" s="151" t="s">
        <v>1675</v>
      </c>
      <c r="DA88" s="151">
        <v>2416</v>
      </c>
      <c r="DB88" s="151" t="s">
        <v>1718</v>
      </c>
      <c r="DC88" s="151">
        <v>2784</v>
      </c>
      <c r="DD88" t="s">
        <v>1718</v>
      </c>
      <c r="DF88" s="155">
        <f t="shared" si="35"/>
        <v>11</v>
      </c>
      <c r="DG88" s="156">
        <f t="shared" si="38"/>
        <v>6.71</v>
      </c>
      <c r="DI88" s="151">
        <v>11</v>
      </c>
      <c r="DJ88" s="152" t="s">
        <v>593</v>
      </c>
      <c r="DK88" s="152">
        <v>2767</v>
      </c>
      <c r="DL88" s="152">
        <v>16.3</v>
      </c>
      <c r="DM88" s="151">
        <v>7.39</v>
      </c>
      <c r="DN88" s="151" t="s">
        <v>1675</v>
      </c>
      <c r="DO88" s="151">
        <v>2591</v>
      </c>
      <c r="DP88" s="151" t="s">
        <v>1718</v>
      </c>
      <c r="DQ88" s="151">
        <v>2927</v>
      </c>
      <c r="DR88" t="s">
        <v>1718</v>
      </c>
      <c r="DT88" s="155">
        <f t="shared" si="36"/>
        <v>11</v>
      </c>
      <c r="DU88" s="156">
        <f t="shared" si="39"/>
        <v>7.39</v>
      </c>
      <c r="DW88" s="401">
        <v>11</v>
      </c>
      <c r="DX88" s="401" t="s">
        <v>593</v>
      </c>
      <c r="DY88" s="402">
        <v>336.9</v>
      </c>
      <c r="DZ88" s="402">
        <v>0.223</v>
      </c>
      <c r="EA88" s="401">
        <v>24.77</v>
      </c>
      <c r="EB88" s="401" t="s">
        <v>1675</v>
      </c>
      <c r="EC88" s="401">
        <v>8661</v>
      </c>
      <c r="ED88" s="401" t="s">
        <v>1718</v>
      </c>
      <c r="EE88" s="401">
        <v>3897</v>
      </c>
      <c r="EF88" s="403" t="s">
        <v>1718</v>
      </c>
      <c r="EH88" s="155">
        <f t="shared" si="37"/>
        <v>11</v>
      </c>
      <c r="EI88" s="156">
        <f t="shared" si="40"/>
        <v>24.77</v>
      </c>
    </row>
    <row r="89" spans="1:139" x14ac:dyDescent="0.2">
      <c r="A89" s="150">
        <v>12</v>
      </c>
      <c r="B89" s="151" t="s">
        <v>593</v>
      </c>
      <c r="C89" s="152">
        <v>2053</v>
      </c>
      <c r="D89" s="152">
        <v>3.585</v>
      </c>
      <c r="E89" s="151">
        <v>9.01</v>
      </c>
      <c r="F89" s="151" t="s">
        <v>1675</v>
      </c>
      <c r="G89" s="151">
        <v>2914</v>
      </c>
      <c r="H89" s="151" t="s">
        <v>1718</v>
      </c>
      <c r="I89" s="151">
        <v>3177</v>
      </c>
      <c r="J89" s="151" t="s">
        <v>1718</v>
      </c>
      <c r="L89" s="155">
        <f t="shared" si="22"/>
        <v>12</v>
      </c>
      <c r="M89" s="156">
        <f t="shared" si="23"/>
        <v>9.01</v>
      </c>
      <c r="N89" s="275"/>
      <c r="O89" s="150">
        <v>12</v>
      </c>
      <c r="P89" s="151" t="s">
        <v>593</v>
      </c>
      <c r="Q89" s="152">
        <v>1758</v>
      </c>
      <c r="R89" s="152">
        <v>2.629</v>
      </c>
      <c r="S89" s="151">
        <v>9.43</v>
      </c>
      <c r="T89" s="151" t="s">
        <v>1675</v>
      </c>
      <c r="U89" s="151">
        <v>2931</v>
      </c>
      <c r="V89" s="151" t="s">
        <v>1718</v>
      </c>
      <c r="W89" s="151">
        <v>2869</v>
      </c>
      <c r="X89" s="151" t="s">
        <v>1718</v>
      </c>
      <c r="Z89" s="155">
        <f t="shared" si="24"/>
        <v>12</v>
      </c>
      <c r="AA89" s="156">
        <f t="shared" si="25"/>
        <v>9.43</v>
      </c>
      <c r="AB89" s="275"/>
      <c r="AC89" s="150">
        <v>12</v>
      </c>
      <c r="AD89" s="151" t="s">
        <v>593</v>
      </c>
      <c r="AE89" s="152">
        <v>49.26</v>
      </c>
      <c r="AF89" s="152">
        <v>3.286E-2</v>
      </c>
      <c r="AG89" s="151">
        <v>143.28</v>
      </c>
      <c r="AH89" s="151" t="s">
        <v>1675</v>
      </c>
      <c r="AI89" s="151">
        <v>5.86</v>
      </c>
      <c r="AJ89" s="151" t="s">
        <v>1675</v>
      </c>
      <c r="AK89" s="151">
        <v>1.87</v>
      </c>
      <c r="AL89" s="151" t="s">
        <v>1675</v>
      </c>
      <c r="AN89" s="155">
        <f t="shared" si="26"/>
        <v>12</v>
      </c>
      <c r="AO89" s="156">
        <f t="shared" si="27"/>
        <v>143.28</v>
      </c>
      <c r="AP89" s="275"/>
      <c r="AQ89" s="150">
        <v>12</v>
      </c>
      <c r="AR89" s="151" t="s">
        <v>593</v>
      </c>
      <c r="AS89" s="152">
        <v>3.9950000000000001</v>
      </c>
      <c r="AT89" s="152">
        <v>2.343E-3</v>
      </c>
      <c r="AU89" s="151">
        <v>1.66</v>
      </c>
      <c r="AV89" s="151" t="s">
        <v>1623</v>
      </c>
      <c r="AW89" s="151">
        <v>71.680000000000007</v>
      </c>
      <c r="AX89" s="151" t="s">
        <v>1675</v>
      </c>
      <c r="AY89" s="151">
        <v>38.94</v>
      </c>
      <c r="AZ89" s="151" t="s">
        <v>1675</v>
      </c>
      <c r="BB89" s="155">
        <f t="shared" si="28"/>
        <v>12</v>
      </c>
      <c r="BC89" s="156">
        <f t="shared" si="29"/>
        <v>1660</v>
      </c>
      <c r="BE89" s="150">
        <v>12</v>
      </c>
      <c r="BF89" s="151" t="s">
        <v>593</v>
      </c>
      <c r="BG89" s="152">
        <v>807</v>
      </c>
      <c r="BH89" s="152">
        <v>0.71220000000000006</v>
      </c>
      <c r="BI89" s="151">
        <v>14.63</v>
      </c>
      <c r="BJ89" s="151" t="s">
        <v>1675</v>
      </c>
      <c r="BK89" s="151">
        <v>4528</v>
      </c>
      <c r="BL89" s="151" t="s">
        <v>1718</v>
      </c>
      <c r="BM89" s="151">
        <v>2830</v>
      </c>
      <c r="BN89" s="151" t="s">
        <v>1718</v>
      </c>
      <c r="BP89" s="155">
        <f t="shared" si="30"/>
        <v>12</v>
      </c>
      <c r="BQ89" s="156">
        <f t="shared" si="31"/>
        <v>14.63</v>
      </c>
      <c r="BS89" s="150">
        <v>12</v>
      </c>
      <c r="BT89" s="151" t="s">
        <v>593</v>
      </c>
      <c r="BU89" s="152">
        <v>1551</v>
      </c>
      <c r="BV89" s="152">
        <v>2.1669999999999998</v>
      </c>
      <c r="BW89" s="151">
        <v>9.73</v>
      </c>
      <c r="BX89" s="151" t="s">
        <v>1675</v>
      </c>
      <c r="BY89" s="151">
        <v>2967</v>
      </c>
      <c r="BZ89" s="151" t="s">
        <v>1718</v>
      </c>
      <c r="CA89" s="151">
        <v>2678</v>
      </c>
      <c r="CB89" s="151" t="s">
        <v>1718</v>
      </c>
      <c r="CD89" s="155">
        <f t="shared" si="32"/>
        <v>12</v>
      </c>
      <c r="CE89" s="156">
        <f t="shared" si="33"/>
        <v>9.73</v>
      </c>
      <c r="CG89" s="150">
        <v>12</v>
      </c>
      <c r="CH89" s="151" t="s">
        <v>593</v>
      </c>
      <c r="CI89" s="152">
        <v>1769</v>
      </c>
      <c r="CJ89" s="152">
        <v>3.012</v>
      </c>
      <c r="CK89" s="151">
        <v>9.8800000000000008</v>
      </c>
      <c r="CL89" s="151" t="s">
        <v>1675</v>
      </c>
      <c r="CM89" s="151">
        <v>3058</v>
      </c>
      <c r="CN89" s="151" t="s">
        <v>1718</v>
      </c>
      <c r="CO89" s="151">
        <v>3057</v>
      </c>
      <c r="CP89" s="151" t="s">
        <v>1718</v>
      </c>
      <c r="CR89" s="155">
        <f t="shared" si="21"/>
        <v>12</v>
      </c>
      <c r="CS89" s="156">
        <f t="shared" si="34"/>
        <v>9.8800000000000008</v>
      </c>
      <c r="CU89" s="151">
        <v>12</v>
      </c>
      <c r="CV89" s="152" t="s">
        <v>593</v>
      </c>
      <c r="CW89" s="152">
        <v>3088</v>
      </c>
      <c r="CX89" s="152">
        <v>15.68</v>
      </c>
      <c r="CY89" s="151">
        <v>7.04</v>
      </c>
      <c r="CZ89" s="151" t="s">
        <v>1675</v>
      </c>
      <c r="DA89" s="151">
        <v>2468</v>
      </c>
      <c r="DB89" s="151" t="s">
        <v>1718</v>
      </c>
      <c r="DC89" s="151">
        <v>2821</v>
      </c>
      <c r="DD89" t="s">
        <v>1718</v>
      </c>
      <c r="DF89" s="155">
        <f t="shared" si="35"/>
        <v>12</v>
      </c>
      <c r="DG89" s="156">
        <f t="shared" si="38"/>
        <v>7.04</v>
      </c>
      <c r="DI89" s="151">
        <v>12</v>
      </c>
      <c r="DJ89" s="152" t="s">
        <v>593</v>
      </c>
      <c r="DK89" s="152">
        <v>2888</v>
      </c>
      <c r="DL89" s="152">
        <v>15.19</v>
      </c>
      <c r="DM89" s="151">
        <v>7.74</v>
      </c>
      <c r="DN89" s="151" t="s">
        <v>1675</v>
      </c>
      <c r="DO89" s="151">
        <v>2648</v>
      </c>
      <c r="DP89" s="151" t="s">
        <v>1718</v>
      </c>
      <c r="DQ89" s="151">
        <v>2968</v>
      </c>
      <c r="DR89" t="s">
        <v>1718</v>
      </c>
      <c r="DT89" s="155">
        <f t="shared" si="36"/>
        <v>12</v>
      </c>
      <c r="DU89" s="156">
        <f t="shared" si="39"/>
        <v>7.74</v>
      </c>
      <c r="DW89" s="401">
        <v>12</v>
      </c>
      <c r="DX89" s="401" t="s">
        <v>593</v>
      </c>
      <c r="DY89" s="402">
        <v>316.89999999999998</v>
      </c>
      <c r="DZ89" s="402">
        <v>0.20660000000000001</v>
      </c>
      <c r="EA89" s="401">
        <v>27.83</v>
      </c>
      <c r="EB89" s="401" t="s">
        <v>1675</v>
      </c>
      <c r="EC89" s="401">
        <v>9704</v>
      </c>
      <c r="ED89" s="401" t="s">
        <v>1718</v>
      </c>
      <c r="EE89" s="401">
        <v>4121</v>
      </c>
      <c r="EF89" s="403" t="s">
        <v>1718</v>
      </c>
      <c r="EH89" s="155">
        <f t="shared" si="37"/>
        <v>12</v>
      </c>
      <c r="EI89" s="156">
        <f t="shared" si="40"/>
        <v>27.83</v>
      </c>
    </row>
    <row r="90" spans="1:139" x14ac:dyDescent="0.2">
      <c r="A90" s="150">
        <v>13</v>
      </c>
      <c r="B90" s="151" t="s">
        <v>593</v>
      </c>
      <c r="C90" s="152">
        <v>2043</v>
      </c>
      <c r="D90" s="152">
        <v>3.35</v>
      </c>
      <c r="E90" s="151">
        <v>9.5</v>
      </c>
      <c r="F90" s="151" t="s">
        <v>1675</v>
      </c>
      <c r="G90" s="151">
        <v>3000</v>
      </c>
      <c r="H90" s="151" t="s">
        <v>1718</v>
      </c>
      <c r="I90" s="151">
        <v>3207</v>
      </c>
      <c r="J90" s="151" t="s">
        <v>1718</v>
      </c>
      <c r="L90" s="155">
        <f t="shared" si="22"/>
        <v>13</v>
      </c>
      <c r="M90" s="156">
        <f t="shared" si="23"/>
        <v>9.5</v>
      </c>
      <c r="N90" s="275"/>
      <c r="O90" s="150">
        <v>13</v>
      </c>
      <c r="P90" s="151" t="s">
        <v>593</v>
      </c>
      <c r="Q90" s="152">
        <v>1744</v>
      </c>
      <c r="R90" s="152">
        <v>2.456</v>
      </c>
      <c r="S90" s="151">
        <v>10</v>
      </c>
      <c r="T90" s="151" t="s">
        <v>1675</v>
      </c>
      <c r="U90" s="151">
        <v>3046</v>
      </c>
      <c r="V90" s="151" t="s">
        <v>1718</v>
      </c>
      <c r="W90" s="151">
        <v>2905</v>
      </c>
      <c r="X90" s="151" t="s">
        <v>1718</v>
      </c>
      <c r="Z90" s="155">
        <f t="shared" si="24"/>
        <v>13</v>
      </c>
      <c r="AA90" s="156">
        <f t="shared" si="25"/>
        <v>10</v>
      </c>
      <c r="AB90" s="275"/>
      <c r="AC90" s="150">
        <v>13</v>
      </c>
      <c r="AD90" s="151" t="s">
        <v>593</v>
      </c>
      <c r="AE90" s="152">
        <v>46.2</v>
      </c>
      <c r="AF90" s="152">
        <v>3.0589999999999999E-2</v>
      </c>
      <c r="AG90" s="151">
        <v>164.23</v>
      </c>
      <c r="AH90" s="151" t="s">
        <v>1675</v>
      </c>
      <c r="AI90" s="151">
        <v>6.59</v>
      </c>
      <c r="AJ90" s="151" t="s">
        <v>1675</v>
      </c>
      <c r="AK90" s="151">
        <v>2.12</v>
      </c>
      <c r="AL90" s="151" t="s">
        <v>1675</v>
      </c>
      <c r="AN90" s="155">
        <f t="shared" si="26"/>
        <v>13</v>
      </c>
      <c r="AO90" s="156">
        <f t="shared" si="27"/>
        <v>164.23</v>
      </c>
      <c r="AP90" s="275"/>
      <c r="AQ90" s="150">
        <v>13</v>
      </c>
      <c r="AR90" s="151" t="s">
        <v>593</v>
      </c>
      <c r="AS90" s="152">
        <v>3.7410000000000001</v>
      </c>
      <c r="AT90" s="152">
        <v>2.1789999999999999E-3</v>
      </c>
      <c r="AU90" s="151">
        <v>1.92</v>
      </c>
      <c r="AV90" s="151" t="s">
        <v>1623</v>
      </c>
      <c r="AW90" s="151">
        <v>80.89</v>
      </c>
      <c r="AX90" s="151" t="s">
        <v>1675</v>
      </c>
      <c r="AY90" s="151">
        <v>44.83</v>
      </c>
      <c r="AZ90" s="151" t="s">
        <v>1675</v>
      </c>
      <c r="BB90" s="155">
        <f t="shared" si="28"/>
        <v>13</v>
      </c>
      <c r="BC90" s="156">
        <f t="shared" si="29"/>
        <v>1920</v>
      </c>
      <c r="BE90" s="150">
        <v>13</v>
      </c>
      <c r="BF90" s="151" t="s">
        <v>593</v>
      </c>
      <c r="BG90" s="152">
        <v>779.3</v>
      </c>
      <c r="BH90" s="152">
        <v>0.66439999999999999</v>
      </c>
      <c r="BI90" s="151">
        <v>15.89</v>
      </c>
      <c r="BJ90" s="151" t="s">
        <v>1675</v>
      </c>
      <c r="BK90" s="151">
        <v>4876</v>
      </c>
      <c r="BL90" s="151" t="s">
        <v>1718</v>
      </c>
      <c r="BM90" s="151">
        <v>2907</v>
      </c>
      <c r="BN90" s="151" t="s">
        <v>1718</v>
      </c>
      <c r="BP90" s="155">
        <f t="shared" si="30"/>
        <v>13</v>
      </c>
      <c r="BQ90" s="156">
        <f t="shared" si="31"/>
        <v>15.89</v>
      </c>
      <c r="BS90" s="150">
        <v>13</v>
      </c>
      <c r="BT90" s="151" t="s">
        <v>593</v>
      </c>
      <c r="BU90" s="152">
        <v>1523</v>
      </c>
      <c r="BV90" s="152">
        <v>2.024</v>
      </c>
      <c r="BW90" s="151">
        <v>10.38</v>
      </c>
      <c r="BX90" s="151" t="s">
        <v>1675</v>
      </c>
      <c r="BY90" s="151">
        <v>3113</v>
      </c>
      <c r="BZ90" s="151" t="s">
        <v>1718</v>
      </c>
      <c r="CA90" s="151">
        <v>2716</v>
      </c>
      <c r="CB90" s="151" t="s">
        <v>1718</v>
      </c>
      <c r="CD90" s="155">
        <f t="shared" si="32"/>
        <v>13</v>
      </c>
      <c r="CE90" s="156">
        <f t="shared" si="33"/>
        <v>10.38</v>
      </c>
      <c r="CG90" s="150">
        <v>13</v>
      </c>
      <c r="CH90" s="151" t="s">
        <v>593</v>
      </c>
      <c r="CI90" s="152">
        <v>1766</v>
      </c>
      <c r="CJ90" s="152">
        <v>2.8140000000000001</v>
      </c>
      <c r="CK90" s="151">
        <v>10.44</v>
      </c>
      <c r="CL90" s="151" t="s">
        <v>1675</v>
      </c>
      <c r="CM90" s="151">
        <v>3167</v>
      </c>
      <c r="CN90" s="151" t="s">
        <v>1718</v>
      </c>
      <c r="CO90" s="151">
        <v>3093</v>
      </c>
      <c r="CP90" s="151" t="s">
        <v>1718</v>
      </c>
      <c r="CR90" s="155">
        <f t="shared" si="21"/>
        <v>13</v>
      </c>
      <c r="CS90" s="156">
        <f t="shared" si="34"/>
        <v>10.44</v>
      </c>
      <c r="CU90" s="151">
        <v>13</v>
      </c>
      <c r="CV90" s="152" t="s">
        <v>593</v>
      </c>
      <c r="CW90" s="152">
        <v>3179</v>
      </c>
      <c r="CX90" s="152">
        <v>14.69</v>
      </c>
      <c r="CY90" s="151">
        <v>7.35</v>
      </c>
      <c r="CZ90" s="151" t="s">
        <v>1675</v>
      </c>
      <c r="DA90" s="151">
        <v>2517</v>
      </c>
      <c r="DB90" s="151" t="s">
        <v>1718</v>
      </c>
      <c r="DC90" s="151">
        <v>2854</v>
      </c>
      <c r="DD90" t="s">
        <v>1718</v>
      </c>
      <c r="DF90" s="155">
        <f t="shared" si="35"/>
        <v>13</v>
      </c>
      <c r="DG90" s="156">
        <f t="shared" si="38"/>
        <v>7.35</v>
      </c>
      <c r="DI90" s="151">
        <v>13</v>
      </c>
      <c r="DJ90" s="152" t="s">
        <v>593</v>
      </c>
      <c r="DK90" s="152">
        <v>2993</v>
      </c>
      <c r="DL90" s="152">
        <v>14.24</v>
      </c>
      <c r="DM90" s="151">
        <v>8.08</v>
      </c>
      <c r="DN90" s="151" t="s">
        <v>1675</v>
      </c>
      <c r="DO90" s="151">
        <v>2699</v>
      </c>
      <c r="DP90" s="151" t="s">
        <v>1718</v>
      </c>
      <c r="DQ90" s="151">
        <v>3005</v>
      </c>
      <c r="DR90" t="s">
        <v>1718</v>
      </c>
      <c r="DT90" s="155">
        <f t="shared" si="36"/>
        <v>13</v>
      </c>
      <c r="DU90" s="156">
        <f t="shared" si="39"/>
        <v>8.08</v>
      </c>
      <c r="DW90" s="401">
        <v>13</v>
      </c>
      <c r="DX90" s="401" t="s">
        <v>593</v>
      </c>
      <c r="DY90" s="402">
        <v>299.10000000000002</v>
      </c>
      <c r="DZ90" s="402">
        <v>0.1925</v>
      </c>
      <c r="EA90" s="401">
        <v>31.08</v>
      </c>
      <c r="EB90" s="401" t="s">
        <v>1675</v>
      </c>
      <c r="EC90" s="401">
        <v>1.08</v>
      </c>
      <c r="ED90" s="401" t="s">
        <v>1675</v>
      </c>
      <c r="EE90" s="401">
        <v>4360</v>
      </c>
      <c r="EF90" s="403" t="s">
        <v>1718</v>
      </c>
      <c r="EH90" s="155">
        <f t="shared" si="37"/>
        <v>13</v>
      </c>
      <c r="EI90" s="156">
        <f t="shared" si="40"/>
        <v>31.08</v>
      </c>
    </row>
    <row r="91" spans="1:139" x14ac:dyDescent="0.2">
      <c r="A91" s="150">
        <v>14</v>
      </c>
      <c r="B91" s="151" t="s">
        <v>593</v>
      </c>
      <c r="C91" s="152">
        <v>2029</v>
      </c>
      <c r="D91" s="152">
        <v>3.1459999999999999</v>
      </c>
      <c r="E91" s="151">
        <v>9.99</v>
      </c>
      <c r="F91" s="151" t="s">
        <v>1675</v>
      </c>
      <c r="G91" s="151">
        <v>3085</v>
      </c>
      <c r="H91" s="151" t="s">
        <v>1718</v>
      </c>
      <c r="I91" s="151">
        <v>3235</v>
      </c>
      <c r="J91" s="151" t="s">
        <v>1718</v>
      </c>
      <c r="L91" s="155">
        <f t="shared" si="22"/>
        <v>14</v>
      </c>
      <c r="M91" s="156">
        <f t="shared" si="23"/>
        <v>9.99</v>
      </c>
      <c r="N91" s="275"/>
      <c r="O91" s="150">
        <v>14</v>
      </c>
      <c r="P91" s="151" t="s">
        <v>593</v>
      </c>
      <c r="Q91" s="152">
        <v>1726</v>
      </c>
      <c r="R91" s="152">
        <v>2.3050000000000002</v>
      </c>
      <c r="S91" s="151">
        <v>10.58</v>
      </c>
      <c r="T91" s="151" t="s">
        <v>1675</v>
      </c>
      <c r="U91" s="151">
        <v>3159</v>
      </c>
      <c r="V91" s="151" t="s">
        <v>1718</v>
      </c>
      <c r="W91" s="151">
        <v>2940</v>
      </c>
      <c r="X91" s="151" t="s">
        <v>1718</v>
      </c>
      <c r="Z91" s="155">
        <f t="shared" si="24"/>
        <v>14</v>
      </c>
      <c r="AA91" s="156">
        <f t="shared" si="25"/>
        <v>10.58</v>
      </c>
      <c r="AB91" s="275"/>
      <c r="AC91" s="150">
        <v>14</v>
      </c>
      <c r="AD91" s="151" t="s">
        <v>593</v>
      </c>
      <c r="AE91" s="152">
        <v>43.53</v>
      </c>
      <c r="AF91" s="152">
        <v>2.862E-2</v>
      </c>
      <c r="AG91" s="151">
        <v>186.52</v>
      </c>
      <c r="AH91" s="151" t="s">
        <v>1675</v>
      </c>
      <c r="AI91" s="151">
        <v>7.32</v>
      </c>
      <c r="AJ91" s="151" t="s">
        <v>1675</v>
      </c>
      <c r="AK91" s="151">
        <v>2.38</v>
      </c>
      <c r="AL91" s="151" t="s">
        <v>1675</v>
      </c>
      <c r="AN91" s="155">
        <f t="shared" si="26"/>
        <v>14</v>
      </c>
      <c r="AO91" s="156">
        <f t="shared" si="27"/>
        <v>186.52</v>
      </c>
      <c r="AP91" s="275"/>
      <c r="AQ91" s="150">
        <v>14</v>
      </c>
      <c r="AR91" s="151" t="s">
        <v>593</v>
      </c>
      <c r="AS91" s="152">
        <v>3.52</v>
      </c>
      <c r="AT91" s="152">
        <v>2.0370000000000002E-3</v>
      </c>
      <c r="AU91" s="151">
        <v>2.19</v>
      </c>
      <c r="AV91" s="151" t="s">
        <v>1623</v>
      </c>
      <c r="AW91" s="151">
        <v>90.24</v>
      </c>
      <c r="AX91" s="151" t="s">
        <v>1675</v>
      </c>
      <c r="AY91" s="151">
        <v>51.07</v>
      </c>
      <c r="AZ91" s="151" t="s">
        <v>1675</v>
      </c>
      <c r="BB91" s="155">
        <f t="shared" si="28"/>
        <v>14</v>
      </c>
      <c r="BC91" s="156">
        <f t="shared" si="29"/>
        <v>2190</v>
      </c>
      <c r="BE91" s="150">
        <v>14</v>
      </c>
      <c r="BF91" s="151" t="s">
        <v>593</v>
      </c>
      <c r="BG91" s="152">
        <v>752.8</v>
      </c>
      <c r="BH91" s="152">
        <v>0.62290000000000001</v>
      </c>
      <c r="BI91" s="151">
        <v>17.190000000000001</v>
      </c>
      <c r="BJ91" s="151" t="s">
        <v>1675</v>
      </c>
      <c r="BK91" s="151">
        <v>5224</v>
      </c>
      <c r="BL91" s="151" t="s">
        <v>1718</v>
      </c>
      <c r="BM91" s="151">
        <v>2986</v>
      </c>
      <c r="BN91" s="151" t="s">
        <v>1718</v>
      </c>
      <c r="BP91" s="155">
        <f t="shared" si="30"/>
        <v>14</v>
      </c>
      <c r="BQ91" s="156">
        <f t="shared" si="31"/>
        <v>17.190000000000001</v>
      </c>
      <c r="BS91" s="150">
        <v>14</v>
      </c>
      <c r="BT91" s="151" t="s">
        <v>593</v>
      </c>
      <c r="BU91" s="152">
        <v>1494</v>
      </c>
      <c r="BV91" s="152">
        <v>1.899</v>
      </c>
      <c r="BW91" s="151">
        <v>11.04</v>
      </c>
      <c r="BX91" s="151" t="s">
        <v>1675</v>
      </c>
      <c r="BY91" s="151">
        <v>3257</v>
      </c>
      <c r="BZ91" s="151" t="s">
        <v>1718</v>
      </c>
      <c r="CA91" s="151">
        <v>2754</v>
      </c>
      <c r="CB91" s="151" t="s">
        <v>1718</v>
      </c>
      <c r="CD91" s="155">
        <f t="shared" si="32"/>
        <v>14</v>
      </c>
      <c r="CE91" s="156">
        <f t="shared" si="33"/>
        <v>11.04</v>
      </c>
      <c r="CG91" s="150">
        <v>14</v>
      </c>
      <c r="CH91" s="151" t="s">
        <v>593</v>
      </c>
      <c r="CI91" s="152">
        <v>1758</v>
      </c>
      <c r="CJ91" s="152">
        <v>2.6419999999999999</v>
      </c>
      <c r="CK91" s="151">
        <v>11.01</v>
      </c>
      <c r="CL91" s="151" t="s">
        <v>1675</v>
      </c>
      <c r="CM91" s="151">
        <v>3274</v>
      </c>
      <c r="CN91" s="151" t="s">
        <v>1718</v>
      </c>
      <c r="CO91" s="151">
        <v>3128</v>
      </c>
      <c r="CP91" s="151" t="s">
        <v>1718</v>
      </c>
      <c r="CR91" s="155">
        <f t="shared" si="21"/>
        <v>14</v>
      </c>
      <c r="CS91" s="156">
        <f t="shared" si="34"/>
        <v>11.01</v>
      </c>
      <c r="CU91" s="151">
        <v>14</v>
      </c>
      <c r="CV91" s="152" t="s">
        <v>593</v>
      </c>
      <c r="CW91" s="152">
        <v>3257</v>
      </c>
      <c r="CX91" s="152">
        <v>13.82</v>
      </c>
      <c r="CY91" s="151">
        <v>7.66</v>
      </c>
      <c r="CZ91" s="151" t="s">
        <v>1675</v>
      </c>
      <c r="DA91" s="151">
        <v>2561</v>
      </c>
      <c r="DB91" s="151" t="s">
        <v>1718</v>
      </c>
      <c r="DC91" s="151">
        <v>2884</v>
      </c>
      <c r="DD91" t="s">
        <v>1718</v>
      </c>
      <c r="DF91" s="155">
        <f t="shared" si="35"/>
        <v>14</v>
      </c>
      <c r="DG91" s="156">
        <f t="shared" si="38"/>
        <v>7.66</v>
      </c>
      <c r="DI91" s="151">
        <v>14</v>
      </c>
      <c r="DJ91" s="152" t="s">
        <v>593</v>
      </c>
      <c r="DK91" s="152">
        <v>3085</v>
      </c>
      <c r="DL91" s="152">
        <v>13.4</v>
      </c>
      <c r="DM91" s="151">
        <v>8.4</v>
      </c>
      <c r="DN91" s="151" t="s">
        <v>1675</v>
      </c>
      <c r="DO91" s="151">
        <v>2746</v>
      </c>
      <c r="DP91" s="151" t="s">
        <v>1718</v>
      </c>
      <c r="DQ91" s="151">
        <v>3038</v>
      </c>
      <c r="DR91" t="s">
        <v>1718</v>
      </c>
      <c r="DT91" s="155">
        <f t="shared" si="36"/>
        <v>14</v>
      </c>
      <c r="DU91" s="156">
        <f t="shared" si="39"/>
        <v>8.4</v>
      </c>
      <c r="DW91" s="401">
        <v>14</v>
      </c>
      <c r="DX91" s="401" t="s">
        <v>593</v>
      </c>
      <c r="DY91" s="402">
        <v>283.10000000000002</v>
      </c>
      <c r="DZ91" s="402">
        <v>0.18029999999999999</v>
      </c>
      <c r="EA91" s="401">
        <v>34.51</v>
      </c>
      <c r="EB91" s="401" t="s">
        <v>1675</v>
      </c>
      <c r="EC91" s="401">
        <v>1.18</v>
      </c>
      <c r="ED91" s="401" t="s">
        <v>1675</v>
      </c>
      <c r="EE91" s="401">
        <v>4617</v>
      </c>
      <c r="EF91" s="403" t="s">
        <v>1718</v>
      </c>
      <c r="EH91" s="155">
        <f t="shared" si="37"/>
        <v>14</v>
      </c>
      <c r="EI91" s="156">
        <f t="shared" si="40"/>
        <v>34.51</v>
      </c>
    </row>
    <row r="92" spans="1:139" x14ac:dyDescent="0.2">
      <c r="A92" s="150">
        <v>15</v>
      </c>
      <c r="B92" s="151" t="s">
        <v>593</v>
      </c>
      <c r="C92" s="152">
        <v>2010</v>
      </c>
      <c r="D92" s="152">
        <v>2.9670000000000001</v>
      </c>
      <c r="E92" s="151">
        <v>10.48</v>
      </c>
      <c r="F92" s="151" t="s">
        <v>1675</v>
      </c>
      <c r="G92" s="151">
        <v>3169</v>
      </c>
      <c r="H92" s="151" t="s">
        <v>1718</v>
      </c>
      <c r="I92" s="151">
        <v>3263</v>
      </c>
      <c r="J92" s="151" t="s">
        <v>1718</v>
      </c>
      <c r="L92" s="155">
        <f t="shared" si="22"/>
        <v>15</v>
      </c>
      <c r="M92" s="156">
        <f t="shared" si="23"/>
        <v>10.48</v>
      </c>
      <c r="N92" s="275"/>
      <c r="O92" s="150">
        <v>15</v>
      </c>
      <c r="P92" s="151" t="s">
        <v>593</v>
      </c>
      <c r="Q92" s="152">
        <v>1706</v>
      </c>
      <c r="R92" s="152">
        <v>2.173</v>
      </c>
      <c r="S92" s="151">
        <v>11.16</v>
      </c>
      <c r="T92" s="151" t="s">
        <v>1675</v>
      </c>
      <c r="U92" s="151">
        <v>3271</v>
      </c>
      <c r="V92" s="151" t="s">
        <v>1718</v>
      </c>
      <c r="W92" s="151">
        <v>2974</v>
      </c>
      <c r="X92" s="151" t="s">
        <v>1718</v>
      </c>
      <c r="Z92" s="155">
        <f t="shared" si="24"/>
        <v>15</v>
      </c>
      <c r="AA92" s="156">
        <f t="shared" si="25"/>
        <v>11.16</v>
      </c>
      <c r="AB92" s="275"/>
      <c r="AC92" s="150">
        <v>15</v>
      </c>
      <c r="AD92" s="151" t="s">
        <v>593</v>
      </c>
      <c r="AE92" s="152">
        <v>41.18</v>
      </c>
      <c r="AF92" s="152">
        <v>2.691E-2</v>
      </c>
      <c r="AG92" s="151">
        <v>210.12</v>
      </c>
      <c r="AH92" s="151" t="s">
        <v>1675</v>
      </c>
      <c r="AI92" s="151">
        <v>8.07</v>
      </c>
      <c r="AJ92" s="151" t="s">
        <v>1675</v>
      </c>
      <c r="AK92" s="151">
        <v>2.66</v>
      </c>
      <c r="AL92" s="151" t="s">
        <v>1675</v>
      </c>
      <c r="AN92" s="155">
        <f t="shared" si="26"/>
        <v>15</v>
      </c>
      <c r="AO92" s="156">
        <f t="shared" si="27"/>
        <v>210.12</v>
      </c>
      <c r="AP92" s="275"/>
      <c r="AQ92" s="150">
        <v>15</v>
      </c>
      <c r="AR92" s="151" t="s">
        <v>593</v>
      </c>
      <c r="AS92" s="152">
        <v>3.3260000000000001</v>
      </c>
      <c r="AT92" s="152">
        <v>1.913E-3</v>
      </c>
      <c r="AU92" s="151">
        <v>2.4900000000000002</v>
      </c>
      <c r="AV92" s="151" t="s">
        <v>1623</v>
      </c>
      <c r="AW92" s="151">
        <v>99.75</v>
      </c>
      <c r="AX92" s="151" t="s">
        <v>1675</v>
      </c>
      <c r="AY92" s="151">
        <v>57.68</v>
      </c>
      <c r="AZ92" s="151" t="s">
        <v>1675</v>
      </c>
      <c r="BB92" s="155">
        <f t="shared" si="28"/>
        <v>15</v>
      </c>
      <c r="BC92" s="156">
        <f t="shared" si="29"/>
        <v>2490</v>
      </c>
      <c r="BE92" s="150">
        <v>15</v>
      </c>
      <c r="BF92" s="151" t="s">
        <v>593</v>
      </c>
      <c r="BG92" s="152">
        <v>727.6</v>
      </c>
      <c r="BH92" s="152">
        <v>0.58660000000000001</v>
      </c>
      <c r="BI92" s="151">
        <v>18.54</v>
      </c>
      <c r="BJ92" s="151" t="s">
        <v>1675</v>
      </c>
      <c r="BK92" s="151">
        <v>5572</v>
      </c>
      <c r="BL92" s="151" t="s">
        <v>1718</v>
      </c>
      <c r="BM92" s="151">
        <v>3067</v>
      </c>
      <c r="BN92" s="151" t="s">
        <v>1718</v>
      </c>
      <c r="BP92" s="155">
        <f t="shared" si="30"/>
        <v>15</v>
      </c>
      <c r="BQ92" s="156">
        <f t="shared" si="31"/>
        <v>18.54</v>
      </c>
      <c r="BS92" s="150">
        <v>15</v>
      </c>
      <c r="BT92" s="151" t="s">
        <v>593</v>
      </c>
      <c r="BU92" s="152">
        <v>1465</v>
      </c>
      <c r="BV92" s="152">
        <v>1.79</v>
      </c>
      <c r="BW92" s="151">
        <v>11.72</v>
      </c>
      <c r="BX92" s="151" t="s">
        <v>1675</v>
      </c>
      <c r="BY92" s="151">
        <v>3400</v>
      </c>
      <c r="BZ92" s="151" t="s">
        <v>1718</v>
      </c>
      <c r="CA92" s="151">
        <v>2792</v>
      </c>
      <c r="CB92" s="151" t="s">
        <v>1718</v>
      </c>
      <c r="CD92" s="155">
        <f t="shared" si="32"/>
        <v>15</v>
      </c>
      <c r="CE92" s="156">
        <f t="shared" si="33"/>
        <v>11.72</v>
      </c>
      <c r="CG92" s="150">
        <v>15</v>
      </c>
      <c r="CH92" s="151" t="s">
        <v>593</v>
      </c>
      <c r="CI92" s="152">
        <v>1746</v>
      </c>
      <c r="CJ92" s="152">
        <v>2.492</v>
      </c>
      <c r="CK92" s="151">
        <v>11.58</v>
      </c>
      <c r="CL92" s="151" t="s">
        <v>1675</v>
      </c>
      <c r="CM92" s="151">
        <v>3377</v>
      </c>
      <c r="CN92" s="151" t="s">
        <v>1718</v>
      </c>
      <c r="CO92" s="151">
        <v>3161</v>
      </c>
      <c r="CP92" s="151" t="s">
        <v>1718</v>
      </c>
      <c r="CR92" s="155">
        <f t="shared" si="21"/>
        <v>15</v>
      </c>
      <c r="CS92" s="156">
        <f t="shared" si="34"/>
        <v>11.58</v>
      </c>
      <c r="CU92" s="151">
        <v>15</v>
      </c>
      <c r="CV92" s="152" t="s">
        <v>593</v>
      </c>
      <c r="CW92" s="152">
        <v>3326</v>
      </c>
      <c r="CX92" s="152">
        <v>13.06</v>
      </c>
      <c r="CY92" s="151">
        <v>7.96</v>
      </c>
      <c r="CZ92" s="151" t="s">
        <v>1675</v>
      </c>
      <c r="DA92" s="151">
        <v>2603</v>
      </c>
      <c r="DB92" s="151" t="s">
        <v>1718</v>
      </c>
      <c r="DC92" s="151">
        <v>2912</v>
      </c>
      <c r="DD92" t="s">
        <v>1718</v>
      </c>
      <c r="DF92" s="155">
        <f t="shared" si="35"/>
        <v>15</v>
      </c>
      <c r="DG92" s="156">
        <f t="shared" si="38"/>
        <v>7.96</v>
      </c>
      <c r="DI92" s="151">
        <v>15</v>
      </c>
      <c r="DJ92" s="152" t="s">
        <v>593</v>
      </c>
      <c r="DK92" s="152">
        <v>3165</v>
      </c>
      <c r="DL92" s="152">
        <v>12.66</v>
      </c>
      <c r="DM92" s="151">
        <v>8.7200000000000006</v>
      </c>
      <c r="DN92" s="151" t="s">
        <v>1675</v>
      </c>
      <c r="DO92" s="151">
        <v>2789</v>
      </c>
      <c r="DP92" s="151" t="s">
        <v>1718</v>
      </c>
      <c r="DQ92" s="151">
        <v>3068</v>
      </c>
      <c r="DR92" t="s">
        <v>1718</v>
      </c>
      <c r="DT92" s="155">
        <f t="shared" si="36"/>
        <v>15</v>
      </c>
      <c r="DU92" s="156">
        <f t="shared" si="39"/>
        <v>8.7200000000000006</v>
      </c>
      <c r="DW92" s="401">
        <v>15</v>
      </c>
      <c r="DX92" s="401" t="s">
        <v>593</v>
      </c>
      <c r="DY92" s="402">
        <v>272.60000000000002</v>
      </c>
      <c r="DZ92" s="402">
        <v>0.16969999999999999</v>
      </c>
      <c r="EA92" s="401">
        <v>38.11</v>
      </c>
      <c r="EB92" s="401" t="s">
        <v>1675</v>
      </c>
      <c r="EC92" s="401">
        <v>1.29</v>
      </c>
      <c r="ED92" s="401" t="s">
        <v>1675</v>
      </c>
      <c r="EE92" s="401">
        <v>4888</v>
      </c>
      <c r="EF92" s="403" t="s">
        <v>1718</v>
      </c>
      <c r="EH92" s="155">
        <f t="shared" si="37"/>
        <v>15</v>
      </c>
      <c r="EI92" s="156">
        <f t="shared" si="40"/>
        <v>38.11</v>
      </c>
    </row>
    <row r="93" spans="1:139" x14ac:dyDescent="0.2">
      <c r="A93" s="150">
        <v>16</v>
      </c>
      <c r="B93" s="151" t="s">
        <v>593</v>
      </c>
      <c r="C93" s="152">
        <v>1989</v>
      </c>
      <c r="D93" s="152">
        <v>2.8090000000000002</v>
      </c>
      <c r="E93" s="151">
        <v>10.98</v>
      </c>
      <c r="F93" s="151" t="s">
        <v>1675</v>
      </c>
      <c r="G93" s="151">
        <v>3252</v>
      </c>
      <c r="H93" s="151" t="s">
        <v>1718</v>
      </c>
      <c r="I93" s="151">
        <v>3290</v>
      </c>
      <c r="J93" s="151" t="s">
        <v>1718</v>
      </c>
      <c r="L93" s="155">
        <f t="shared" si="22"/>
        <v>16</v>
      </c>
      <c r="M93" s="156">
        <f t="shared" si="23"/>
        <v>10.98</v>
      </c>
      <c r="N93" s="275"/>
      <c r="O93" s="150">
        <v>16</v>
      </c>
      <c r="P93" s="151" t="s">
        <v>593</v>
      </c>
      <c r="Q93" s="152">
        <v>1684</v>
      </c>
      <c r="R93" s="152">
        <v>2.0569999999999999</v>
      </c>
      <c r="S93" s="151">
        <v>11.75</v>
      </c>
      <c r="T93" s="151" t="s">
        <v>1675</v>
      </c>
      <c r="U93" s="151">
        <v>3381</v>
      </c>
      <c r="V93" s="151" t="s">
        <v>1718</v>
      </c>
      <c r="W93" s="151">
        <v>3007</v>
      </c>
      <c r="X93" s="151" t="s">
        <v>1718</v>
      </c>
      <c r="Z93" s="155">
        <f t="shared" si="24"/>
        <v>16</v>
      </c>
      <c r="AA93" s="156">
        <f t="shared" si="25"/>
        <v>11.75</v>
      </c>
      <c r="AB93" s="275"/>
      <c r="AC93" s="150">
        <v>16</v>
      </c>
      <c r="AD93" s="151" t="s">
        <v>593</v>
      </c>
      <c r="AE93" s="152">
        <v>39.1</v>
      </c>
      <c r="AF93" s="152">
        <v>2.5389999999999999E-2</v>
      </c>
      <c r="AG93" s="151">
        <v>235.02</v>
      </c>
      <c r="AH93" s="151" t="s">
        <v>1675</v>
      </c>
      <c r="AI93" s="151">
        <v>8.82</v>
      </c>
      <c r="AJ93" s="151" t="s">
        <v>1675</v>
      </c>
      <c r="AK93" s="151">
        <v>2.95</v>
      </c>
      <c r="AL93" s="151" t="s">
        <v>1675</v>
      </c>
      <c r="AN93" s="155">
        <f t="shared" si="26"/>
        <v>16</v>
      </c>
      <c r="AO93" s="156">
        <f t="shared" si="27"/>
        <v>235.02</v>
      </c>
      <c r="AP93" s="275"/>
      <c r="AQ93" s="150">
        <v>16</v>
      </c>
      <c r="AR93" s="151" t="s">
        <v>593</v>
      </c>
      <c r="AS93" s="152">
        <v>3.1549999999999998</v>
      </c>
      <c r="AT93" s="152">
        <v>1.804E-3</v>
      </c>
      <c r="AU93" s="151">
        <v>2.79</v>
      </c>
      <c r="AV93" s="151" t="s">
        <v>1623</v>
      </c>
      <c r="AW93" s="151">
        <v>109.41</v>
      </c>
      <c r="AX93" s="151" t="s">
        <v>1675</v>
      </c>
      <c r="AY93" s="151">
        <v>64.64</v>
      </c>
      <c r="AZ93" s="151" t="s">
        <v>1675</v>
      </c>
      <c r="BB93" s="155">
        <f t="shared" si="28"/>
        <v>16</v>
      </c>
      <c r="BC93" s="156">
        <f t="shared" si="29"/>
        <v>2790</v>
      </c>
      <c r="BE93" s="150">
        <v>16</v>
      </c>
      <c r="BF93" s="151" t="s">
        <v>593</v>
      </c>
      <c r="BG93" s="152">
        <v>703.7</v>
      </c>
      <c r="BH93" s="152">
        <v>0.55449999999999999</v>
      </c>
      <c r="BI93" s="151">
        <v>19.940000000000001</v>
      </c>
      <c r="BJ93" s="151" t="s">
        <v>1675</v>
      </c>
      <c r="BK93" s="151">
        <v>5922</v>
      </c>
      <c r="BL93" s="151" t="s">
        <v>1718</v>
      </c>
      <c r="BM93" s="151">
        <v>3150</v>
      </c>
      <c r="BN93" s="151" t="s">
        <v>1718</v>
      </c>
      <c r="BP93" s="155">
        <f t="shared" si="30"/>
        <v>16</v>
      </c>
      <c r="BQ93" s="156">
        <f t="shared" si="31"/>
        <v>19.940000000000001</v>
      </c>
      <c r="BS93" s="150">
        <v>16</v>
      </c>
      <c r="BT93" s="151" t="s">
        <v>593</v>
      </c>
      <c r="BU93" s="152">
        <v>1437</v>
      </c>
      <c r="BV93" s="152">
        <v>1.694</v>
      </c>
      <c r="BW93" s="151">
        <v>12.4</v>
      </c>
      <c r="BX93" s="151" t="s">
        <v>1675</v>
      </c>
      <c r="BY93" s="151">
        <v>3543</v>
      </c>
      <c r="BZ93" s="151" t="s">
        <v>1718</v>
      </c>
      <c r="CA93" s="151">
        <v>2829</v>
      </c>
      <c r="CB93" s="151" t="s">
        <v>1718</v>
      </c>
      <c r="CD93" s="155">
        <f t="shared" si="32"/>
        <v>16</v>
      </c>
      <c r="CE93" s="156">
        <f t="shared" si="33"/>
        <v>12.4</v>
      </c>
      <c r="CG93" s="150">
        <v>16</v>
      </c>
      <c r="CH93" s="151" t="s">
        <v>593</v>
      </c>
      <c r="CI93" s="152">
        <v>1732</v>
      </c>
      <c r="CJ93" s="152">
        <v>2.3580000000000001</v>
      </c>
      <c r="CK93" s="151">
        <v>12.15</v>
      </c>
      <c r="CL93" s="151" t="s">
        <v>1675</v>
      </c>
      <c r="CM93" s="151">
        <v>3479</v>
      </c>
      <c r="CN93" s="151" t="s">
        <v>1718</v>
      </c>
      <c r="CO93" s="151">
        <v>3194</v>
      </c>
      <c r="CP93" s="151" t="s">
        <v>1718</v>
      </c>
      <c r="CR93" s="155">
        <f t="shared" si="21"/>
        <v>16</v>
      </c>
      <c r="CS93" s="156">
        <f t="shared" si="34"/>
        <v>12.15</v>
      </c>
      <c r="CU93" s="151">
        <v>16</v>
      </c>
      <c r="CV93" s="152" t="s">
        <v>593</v>
      </c>
      <c r="CW93" s="152">
        <v>3386</v>
      </c>
      <c r="CX93" s="152">
        <v>12.39</v>
      </c>
      <c r="CY93" s="151">
        <v>8.26</v>
      </c>
      <c r="CZ93" s="151" t="s">
        <v>1675</v>
      </c>
      <c r="DA93" s="151">
        <v>2642</v>
      </c>
      <c r="DB93" s="151" t="s">
        <v>1718</v>
      </c>
      <c r="DC93" s="151">
        <v>2938</v>
      </c>
      <c r="DD93" t="s">
        <v>1718</v>
      </c>
      <c r="DF93" s="155">
        <f t="shared" si="35"/>
        <v>16</v>
      </c>
      <c r="DG93" s="156">
        <f t="shared" si="38"/>
        <v>8.26</v>
      </c>
      <c r="DI93" s="151">
        <v>16</v>
      </c>
      <c r="DJ93" s="152" t="s">
        <v>593</v>
      </c>
      <c r="DK93" s="152">
        <v>3234</v>
      </c>
      <c r="DL93" s="152">
        <v>12.01</v>
      </c>
      <c r="DM93" s="151">
        <v>9.0299999999999994</v>
      </c>
      <c r="DN93" s="151" t="s">
        <v>1675</v>
      </c>
      <c r="DO93" s="151">
        <v>2829</v>
      </c>
      <c r="DP93" s="151" t="s">
        <v>1718</v>
      </c>
      <c r="DQ93" s="151">
        <v>3096</v>
      </c>
      <c r="DR93" t="s">
        <v>1718</v>
      </c>
      <c r="DT93" s="155">
        <f t="shared" si="36"/>
        <v>16</v>
      </c>
      <c r="DU93" s="156">
        <f t="shared" si="39"/>
        <v>9.0299999999999994</v>
      </c>
      <c r="DW93" s="401">
        <v>16</v>
      </c>
      <c r="DX93" s="401" t="s">
        <v>593</v>
      </c>
      <c r="DY93" s="402">
        <v>262</v>
      </c>
      <c r="DZ93" s="402">
        <v>0.1603</v>
      </c>
      <c r="EA93" s="401">
        <v>41.85</v>
      </c>
      <c r="EB93" s="401" t="s">
        <v>1675</v>
      </c>
      <c r="EC93" s="401">
        <v>1.4</v>
      </c>
      <c r="ED93" s="401" t="s">
        <v>1675</v>
      </c>
      <c r="EE93" s="401">
        <v>5173</v>
      </c>
      <c r="EF93" s="403" t="s">
        <v>1718</v>
      </c>
      <c r="EH93" s="155">
        <f t="shared" si="37"/>
        <v>16</v>
      </c>
      <c r="EI93" s="156">
        <f t="shared" si="40"/>
        <v>41.85</v>
      </c>
    </row>
    <row r="94" spans="1:139" x14ac:dyDescent="0.2">
      <c r="A94" s="150">
        <v>17</v>
      </c>
      <c r="B94" s="151" t="s">
        <v>593</v>
      </c>
      <c r="C94" s="152">
        <v>1966</v>
      </c>
      <c r="D94" s="152">
        <v>2.6669999999999998</v>
      </c>
      <c r="E94" s="151">
        <v>11.49</v>
      </c>
      <c r="F94" s="151" t="s">
        <v>1675</v>
      </c>
      <c r="G94" s="151">
        <v>3334</v>
      </c>
      <c r="H94" s="151" t="s">
        <v>1718</v>
      </c>
      <c r="I94" s="151">
        <v>3316</v>
      </c>
      <c r="J94" s="151" t="s">
        <v>1718</v>
      </c>
      <c r="L94" s="155">
        <f t="shared" si="22"/>
        <v>17</v>
      </c>
      <c r="M94" s="156">
        <f t="shared" si="23"/>
        <v>11.49</v>
      </c>
      <c r="N94" s="275"/>
      <c r="O94" s="150">
        <v>17</v>
      </c>
      <c r="P94" s="151" t="s">
        <v>593</v>
      </c>
      <c r="Q94" s="152">
        <v>1661</v>
      </c>
      <c r="R94" s="152">
        <v>1.9530000000000001</v>
      </c>
      <c r="S94" s="151">
        <v>12.35</v>
      </c>
      <c r="T94" s="151" t="s">
        <v>1675</v>
      </c>
      <c r="U94" s="151">
        <v>3491</v>
      </c>
      <c r="V94" s="151" t="s">
        <v>1718</v>
      </c>
      <c r="W94" s="151">
        <v>3040</v>
      </c>
      <c r="X94" s="151" t="s">
        <v>1718</v>
      </c>
      <c r="Z94" s="155">
        <f t="shared" si="24"/>
        <v>17</v>
      </c>
      <c r="AA94" s="156">
        <f t="shared" si="25"/>
        <v>12.35</v>
      </c>
      <c r="AB94" s="275"/>
      <c r="AC94" s="150">
        <v>17</v>
      </c>
      <c r="AD94" s="151" t="s">
        <v>593</v>
      </c>
      <c r="AE94" s="152">
        <v>37.24</v>
      </c>
      <c r="AF94" s="152">
        <v>2.4049999999999998E-2</v>
      </c>
      <c r="AG94" s="151">
        <v>261.20999999999998</v>
      </c>
      <c r="AH94" s="151" t="s">
        <v>1675</v>
      </c>
      <c r="AI94" s="151">
        <v>9.59</v>
      </c>
      <c r="AJ94" s="151" t="s">
        <v>1675</v>
      </c>
      <c r="AK94" s="151">
        <v>3.26</v>
      </c>
      <c r="AL94" s="151" t="s">
        <v>1675</v>
      </c>
      <c r="AN94" s="155">
        <f t="shared" si="26"/>
        <v>17</v>
      </c>
      <c r="AO94" s="156">
        <f t="shared" si="27"/>
        <v>261.20999999999998</v>
      </c>
      <c r="AP94" s="275"/>
      <c r="AQ94" s="150">
        <v>17</v>
      </c>
      <c r="AR94" s="151" t="s">
        <v>593</v>
      </c>
      <c r="AS94" s="152">
        <v>3.0009999999999999</v>
      </c>
      <c r="AT94" s="152">
        <v>1.707E-3</v>
      </c>
      <c r="AU94" s="151">
        <v>3.12</v>
      </c>
      <c r="AV94" s="151" t="s">
        <v>1623</v>
      </c>
      <c r="AW94" s="151">
        <v>119.25</v>
      </c>
      <c r="AX94" s="151" t="s">
        <v>1675</v>
      </c>
      <c r="AY94" s="151">
        <v>71.94</v>
      </c>
      <c r="AZ94" s="151" t="s">
        <v>1675</v>
      </c>
      <c r="BB94" s="155">
        <f t="shared" si="28"/>
        <v>17</v>
      </c>
      <c r="BC94" s="156">
        <f t="shared" si="29"/>
        <v>3120</v>
      </c>
      <c r="BE94" s="150">
        <v>17</v>
      </c>
      <c r="BF94" s="151" t="s">
        <v>593</v>
      </c>
      <c r="BG94" s="152">
        <v>681</v>
      </c>
      <c r="BH94" s="152">
        <v>0.52590000000000003</v>
      </c>
      <c r="BI94" s="151">
        <v>21.38</v>
      </c>
      <c r="BJ94" s="151" t="s">
        <v>1675</v>
      </c>
      <c r="BK94" s="151">
        <v>6274</v>
      </c>
      <c r="BL94" s="151" t="s">
        <v>1718</v>
      </c>
      <c r="BM94" s="151">
        <v>3236</v>
      </c>
      <c r="BN94" s="151" t="s">
        <v>1718</v>
      </c>
      <c r="BP94" s="155">
        <f t="shared" si="30"/>
        <v>17</v>
      </c>
      <c r="BQ94" s="156">
        <f t="shared" si="31"/>
        <v>21.38</v>
      </c>
      <c r="BS94" s="150">
        <v>17</v>
      </c>
      <c r="BT94" s="151" t="s">
        <v>593</v>
      </c>
      <c r="BU94" s="152">
        <v>1410</v>
      </c>
      <c r="BV94" s="152">
        <v>1.6080000000000001</v>
      </c>
      <c r="BW94" s="151">
        <v>13.11</v>
      </c>
      <c r="BX94" s="151" t="s">
        <v>1675</v>
      </c>
      <c r="BY94" s="151">
        <v>3686</v>
      </c>
      <c r="BZ94" s="151" t="s">
        <v>1718</v>
      </c>
      <c r="CA94" s="151">
        <v>2867</v>
      </c>
      <c r="CB94" s="151" t="s">
        <v>1718</v>
      </c>
      <c r="CD94" s="155">
        <f t="shared" si="32"/>
        <v>17</v>
      </c>
      <c r="CE94" s="156">
        <f t="shared" si="33"/>
        <v>13.11</v>
      </c>
      <c r="CG94" s="150">
        <v>17</v>
      </c>
      <c r="CH94" s="151" t="s">
        <v>593</v>
      </c>
      <c r="CI94" s="152">
        <v>1715</v>
      </c>
      <c r="CJ94" s="152">
        <v>2.2389999999999999</v>
      </c>
      <c r="CK94" s="151">
        <v>12.73</v>
      </c>
      <c r="CL94" s="151" t="s">
        <v>1675</v>
      </c>
      <c r="CM94" s="151">
        <v>3580</v>
      </c>
      <c r="CN94" s="151" t="s">
        <v>1718</v>
      </c>
      <c r="CO94" s="151">
        <v>3226</v>
      </c>
      <c r="CP94" s="151" t="s">
        <v>1718</v>
      </c>
      <c r="CR94" s="155">
        <f t="shared" si="21"/>
        <v>17</v>
      </c>
      <c r="CS94" s="156">
        <f t="shared" si="34"/>
        <v>12.73</v>
      </c>
      <c r="CU94" s="151">
        <v>17</v>
      </c>
      <c r="CV94" s="152" t="s">
        <v>593</v>
      </c>
      <c r="CW94" s="152">
        <v>3438</v>
      </c>
      <c r="CX94" s="152">
        <v>11.79</v>
      </c>
      <c r="CY94" s="151">
        <v>8.5500000000000007</v>
      </c>
      <c r="CZ94" s="151" t="s">
        <v>1675</v>
      </c>
      <c r="DA94" s="151">
        <v>2680</v>
      </c>
      <c r="DB94" s="151" t="s">
        <v>1718</v>
      </c>
      <c r="DC94" s="151">
        <v>2963</v>
      </c>
      <c r="DD94" t="s">
        <v>1718</v>
      </c>
      <c r="DF94" s="155">
        <f t="shared" si="35"/>
        <v>17</v>
      </c>
      <c r="DG94" s="156">
        <f t="shared" si="38"/>
        <v>8.5500000000000007</v>
      </c>
      <c r="DI94" s="151">
        <v>17</v>
      </c>
      <c r="DJ94" s="152" t="s">
        <v>593</v>
      </c>
      <c r="DK94" s="152">
        <v>3294</v>
      </c>
      <c r="DL94" s="152">
        <v>11.43</v>
      </c>
      <c r="DM94" s="151">
        <v>9.34</v>
      </c>
      <c r="DN94" s="151" t="s">
        <v>1675</v>
      </c>
      <c r="DO94" s="151">
        <v>2868</v>
      </c>
      <c r="DP94" s="151" t="s">
        <v>1718</v>
      </c>
      <c r="DQ94" s="151">
        <v>3122</v>
      </c>
      <c r="DR94" t="s">
        <v>1718</v>
      </c>
      <c r="DT94" s="155">
        <f t="shared" si="36"/>
        <v>17</v>
      </c>
      <c r="DU94" s="156">
        <f t="shared" si="39"/>
        <v>9.34</v>
      </c>
      <c r="DW94" s="401">
        <v>17</v>
      </c>
      <c r="DX94" s="401" t="s">
        <v>593</v>
      </c>
      <c r="DY94" s="402">
        <v>251.1</v>
      </c>
      <c r="DZ94" s="402">
        <v>0.15190000000000001</v>
      </c>
      <c r="EA94" s="401">
        <v>45.75</v>
      </c>
      <c r="EB94" s="401" t="s">
        <v>1675</v>
      </c>
      <c r="EC94" s="401">
        <v>1.5</v>
      </c>
      <c r="ED94" s="401" t="s">
        <v>1675</v>
      </c>
      <c r="EE94" s="401">
        <v>5472</v>
      </c>
      <c r="EF94" s="403" t="s">
        <v>1718</v>
      </c>
      <c r="EH94" s="155">
        <f t="shared" si="37"/>
        <v>17</v>
      </c>
      <c r="EI94" s="156">
        <f t="shared" si="40"/>
        <v>45.75</v>
      </c>
    </row>
    <row r="95" spans="1:139" x14ac:dyDescent="0.2">
      <c r="A95" s="150">
        <v>18</v>
      </c>
      <c r="B95" s="151" t="s">
        <v>593</v>
      </c>
      <c r="C95" s="152">
        <v>1941</v>
      </c>
      <c r="D95" s="152">
        <v>2.54</v>
      </c>
      <c r="E95" s="151">
        <v>12</v>
      </c>
      <c r="F95" s="151" t="s">
        <v>1675</v>
      </c>
      <c r="G95" s="151">
        <v>3417</v>
      </c>
      <c r="H95" s="151" t="s">
        <v>1718</v>
      </c>
      <c r="I95" s="151">
        <v>3342</v>
      </c>
      <c r="J95" s="151" t="s">
        <v>1718</v>
      </c>
      <c r="L95" s="155">
        <f t="shared" si="22"/>
        <v>18</v>
      </c>
      <c r="M95" s="156">
        <f t="shared" si="23"/>
        <v>12</v>
      </c>
      <c r="N95" s="275"/>
      <c r="O95" s="150">
        <v>18</v>
      </c>
      <c r="P95" s="151" t="s">
        <v>593</v>
      </c>
      <c r="Q95" s="152">
        <v>1637</v>
      </c>
      <c r="R95" s="152">
        <v>1.859</v>
      </c>
      <c r="S95" s="151">
        <v>12.95</v>
      </c>
      <c r="T95" s="151" t="s">
        <v>1675</v>
      </c>
      <c r="U95" s="151">
        <v>3600</v>
      </c>
      <c r="V95" s="151" t="s">
        <v>1718</v>
      </c>
      <c r="W95" s="151">
        <v>3072</v>
      </c>
      <c r="X95" s="151" t="s">
        <v>1718</v>
      </c>
      <c r="Z95" s="155">
        <f t="shared" si="24"/>
        <v>18</v>
      </c>
      <c r="AA95" s="156">
        <f t="shared" si="25"/>
        <v>12.95</v>
      </c>
      <c r="AB95" s="275"/>
      <c r="AC95" s="150">
        <v>18</v>
      </c>
      <c r="AD95" s="151" t="s">
        <v>593</v>
      </c>
      <c r="AE95" s="152">
        <v>35.56</v>
      </c>
      <c r="AF95" s="152">
        <v>2.2849999999999999E-2</v>
      </c>
      <c r="AG95" s="151">
        <v>288.68</v>
      </c>
      <c r="AH95" s="151" t="s">
        <v>1675</v>
      </c>
      <c r="AI95" s="151">
        <v>10.37</v>
      </c>
      <c r="AJ95" s="151" t="s">
        <v>1675</v>
      </c>
      <c r="AK95" s="151">
        <v>3.58</v>
      </c>
      <c r="AL95" s="151" t="s">
        <v>1675</v>
      </c>
      <c r="AN95" s="155">
        <f t="shared" si="26"/>
        <v>18</v>
      </c>
      <c r="AO95" s="156">
        <f t="shared" si="27"/>
        <v>288.68</v>
      </c>
      <c r="AP95" s="275"/>
      <c r="AQ95" s="150">
        <v>18</v>
      </c>
      <c r="AR95" s="151" t="s">
        <v>593</v>
      </c>
      <c r="AS95" s="152">
        <v>2.863</v>
      </c>
      <c r="AT95" s="152">
        <v>1.621E-3</v>
      </c>
      <c r="AU95" s="151">
        <v>3.46</v>
      </c>
      <c r="AV95" s="151" t="s">
        <v>1623</v>
      </c>
      <c r="AW95" s="151">
        <v>129.25</v>
      </c>
      <c r="AX95" s="151" t="s">
        <v>1675</v>
      </c>
      <c r="AY95" s="151">
        <v>79.59</v>
      </c>
      <c r="AZ95" s="151" t="s">
        <v>1675</v>
      </c>
      <c r="BB95" s="155">
        <f t="shared" si="28"/>
        <v>18</v>
      </c>
      <c r="BC95" s="156">
        <f t="shared" si="29"/>
        <v>3460</v>
      </c>
      <c r="BE95" s="150">
        <v>18</v>
      </c>
      <c r="BF95" s="151" t="s">
        <v>593</v>
      </c>
      <c r="BG95" s="152">
        <v>659.6</v>
      </c>
      <c r="BH95" s="152">
        <v>0.50029999999999997</v>
      </c>
      <c r="BI95" s="151">
        <v>22.88</v>
      </c>
      <c r="BJ95" s="151" t="s">
        <v>1675</v>
      </c>
      <c r="BK95" s="151">
        <v>6629</v>
      </c>
      <c r="BL95" s="151" t="s">
        <v>1718</v>
      </c>
      <c r="BM95" s="151">
        <v>3324</v>
      </c>
      <c r="BN95" s="151" t="s">
        <v>1718</v>
      </c>
      <c r="BP95" s="155">
        <f t="shared" si="30"/>
        <v>18</v>
      </c>
      <c r="BQ95" s="156">
        <f t="shared" si="31"/>
        <v>22.88</v>
      </c>
      <c r="BS95" s="150">
        <v>18</v>
      </c>
      <c r="BT95" s="151" t="s">
        <v>593</v>
      </c>
      <c r="BU95" s="152">
        <v>1383</v>
      </c>
      <c r="BV95" s="152">
        <v>1.5309999999999999</v>
      </c>
      <c r="BW95" s="151">
        <v>13.82</v>
      </c>
      <c r="BX95" s="151" t="s">
        <v>1675</v>
      </c>
      <c r="BY95" s="151">
        <v>3828</v>
      </c>
      <c r="BZ95" s="151" t="s">
        <v>1718</v>
      </c>
      <c r="CA95" s="151">
        <v>2904</v>
      </c>
      <c r="CB95" s="151" t="s">
        <v>1718</v>
      </c>
      <c r="CD95" s="155">
        <f t="shared" si="32"/>
        <v>18</v>
      </c>
      <c r="CE95" s="156">
        <f t="shared" si="33"/>
        <v>13.82</v>
      </c>
      <c r="CG95" s="150">
        <v>18</v>
      </c>
      <c r="CH95" s="151" t="s">
        <v>593</v>
      </c>
      <c r="CI95" s="152">
        <v>1697</v>
      </c>
      <c r="CJ95" s="152">
        <v>2.1320000000000001</v>
      </c>
      <c r="CK95" s="151">
        <v>13.32</v>
      </c>
      <c r="CL95" s="151" t="s">
        <v>1675</v>
      </c>
      <c r="CM95" s="151">
        <v>3680</v>
      </c>
      <c r="CN95" s="151" t="s">
        <v>1718</v>
      </c>
      <c r="CO95" s="151">
        <v>3257</v>
      </c>
      <c r="CP95" s="151" t="s">
        <v>1718</v>
      </c>
      <c r="CR95" s="155">
        <f t="shared" si="21"/>
        <v>18</v>
      </c>
      <c r="CS95" s="156">
        <f t="shared" si="34"/>
        <v>13.32</v>
      </c>
      <c r="CU95" s="151">
        <v>18</v>
      </c>
      <c r="CV95" s="152" t="s">
        <v>593</v>
      </c>
      <c r="CW95" s="152">
        <v>3483</v>
      </c>
      <c r="CX95" s="152">
        <v>11.24</v>
      </c>
      <c r="CY95" s="151">
        <v>8.84</v>
      </c>
      <c r="CZ95" s="151" t="s">
        <v>1675</v>
      </c>
      <c r="DA95" s="151">
        <v>2715</v>
      </c>
      <c r="DB95" s="151" t="s">
        <v>1718</v>
      </c>
      <c r="DC95" s="151">
        <v>2986</v>
      </c>
      <c r="DD95" t="s">
        <v>1718</v>
      </c>
      <c r="DF95" s="155">
        <f t="shared" si="35"/>
        <v>18</v>
      </c>
      <c r="DG95" s="156">
        <f t="shared" si="38"/>
        <v>8.84</v>
      </c>
      <c r="DI95" s="151">
        <v>18</v>
      </c>
      <c r="DJ95" s="152" t="s">
        <v>593</v>
      </c>
      <c r="DK95" s="152">
        <v>3345</v>
      </c>
      <c r="DL95" s="152">
        <v>10.9</v>
      </c>
      <c r="DM95" s="151">
        <v>9.64</v>
      </c>
      <c r="DN95" s="151" t="s">
        <v>1675</v>
      </c>
      <c r="DO95" s="151">
        <v>2904</v>
      </c>
      <c r="DP95" s="151" t="s">
        <v>1718</v>
      </c>
      <c r="DQ95" s="151">
        <v>3146</v>
      </c>
      <c r="DR95" t="s">
        <v>1718</v>
      </c>
      <c r="DT95" s="155">
        <f t="shared" si="36"/>
        <v>18</v>
      </c>
      <c r="DU95" s="156">
        <f t="shared" si="39"/>
        <v>9.64</v>
      </c>
      <c r="DW95" s="401">
        <v>18</v>
      </c>
      <c r="DX95" s="401" t="s">
        <v>593</v>
      </c>
      <c r="DY95" s="402">
        <v>239.9</v>
      </c>
      <c r="DZ95" s="402">
        <v>0.1444</v>
      </c>
      <c r="EA95" s="401">
        <v>49.82</v>
      </c>
      <c r="EB95" s="401" t="s">
        <v>1675</v>
      </c>
      <c r="EC95" s="401">
        <v>1.61</v>
      </c>
      <c r="ED95" s="401" t="s">
        <v>1675</v>
      </c>
      <c r="EE95" s="401">
        <v>5786</v>
      </c>
      <c r="EF95" s="403" t="s">
        <v>1718</v>
      </c>
      <c r="EH95" s="155">
        <f t="shared" si="37"/>
        <v>18</v>
      </c>
      <c r="EI95" s="156">
        <f t="shared" si="40"/>
        <v>49.82</v>
      </c>
    </row>
    <row r="96" spans="1:139" x14ac:dyDescent="0.2">
      <c r="A96" s="150">
        <v>20</v>
      </c>
      <c r="B96" s="151" t="s">
        <v>593</v>
      </c>
      <c r="C96" s="152">
        <v>1890</v>
      </c>
      <c r="D96" s="152">
        <v>2.3220000000000001</v>
      </c>
      <c r="E96" s="151">
        <v>13.04</v>
      </c>
      <c r="F96" s="151" t="s">
        <v>1675</v>
      </c>
      <c r="G96" s="151">
        <v>3730</v>
      </c>
      <c r="H96" s="151" t="s">
        <v>1718</v>
      </c>
      <c r="I96" s="151">
        <v>3392</v>
      </c>
      <c r="J96" s="151" t="s">
        <v>1718</v>
      </c>
      <c r="L96" s="155">
        <f t="shared" si="22"/>
        <v>20</v>
      </c>
      <c r="M96" s="156">
        <f t="shared" si="23"/>
        <v>13.04</v>
      </c>
      <c r="N96" s="275"/>
      <c r="O96" s="150">
        <v>20</v>
      </c>
      <c r="P96" s="151" t="s">
        <v>593</v>
      </c>
      <c r="Q96" s="152">
        <v>1587</v>
      </c>
      <c r="R96" s="152">
        <v>1.698</v>
      </c>
      <c r="S96" s="151">
        <v>14.19</v>
      </c>
      <c r="T96" s="151" t="s">
        <v>1675</v>
      </c>
      <c r="U96" s="151">
        <v>4014</v>
      </c>
      <c r="V96" s="151" t="s">
        <v>1718</v>
      </c>
      <c r="W96" s="151">
        <v>3137</v>
      </c>
      <c r="X96" s="151" t="s">
        <v>1718</v>
      </c>
      <c r="Z96" s="155">
        <f t="shared" si="24"/>
        <v>20</v>
      </c>
      <c r="AA96" s="156">
        <f t="shared" si="25"/>
        <v>14.19</v>
      </c>
      <c r="AB96" s="275"/>
      <c r="AC96" s="150">
        <v>20</v>
      </c>
      <c r="AD96" s="151" t="s">
        <v>593</v>
      </c>
      <c r="AE96" s="152">
        <v>32.65</v>
      </c>
      <c r="AF96" s="152">
        <v>2.078E-2</v>
      </c>
      <c r="AG96" s="151">
        <v>347.35</v>
      </c>
      <c r="AH96" s="151" t="s">
        <v>1675</v>
      </c>
      <c r="AI96" s="151">
        <v>13.33</v>
      </c>
      <c r="AJ96" s="151" t="s">
        <v>1675</v>
      </c>
      <c r="AK96" s="151">
        <v>4.2699999999999996</v>
      </c>
      <c r="AL96" s="151" t="s">
        <v>1675</v>
      </c>
      <c r="AN96" s="155">
        <f t="shared" si="26"/>
        <v>20</v>
      </c>
      <c r="AO96" s="156">
        <f t="shared" si="27"/>
        <v>347.35</v>
      </c>
      <c r="AP96" s="275"/>
      <c r="AQ96" s="150">
        <v>20</v>
      </c>
      <c r="AR96" s="151" t="s">
        <v>593</v>
      </c>
      <c r="AS96" s="152">
        <v>2.6259999999999999</v>
      </c>
      <c r="AT96" s="152">
        <v>1.4729999999999999E-3</v>
      </c>
      <c r="AU96" s="151">
        <v>4.1900000000000004</v>
      </c>
      <c r="AV96" s="151" t="s">
        <v>1623</v>
      </c>
      <c r="AW96" s="151">
        <v>166.48</v>
      </c>
      <c r="AX96" s="151" t="s">
        <v>1675</v>
      </c>
      <c r="AY96" s="151">
        <v>95.92</v>
      </c>
      <c r="AZ96" s="151" t="s">
        <v>1675</v>
      </c>
      <c r="BB96" s="155">
        <f t="shared" si="28"/>
        <v>20</v>
      </c>
      <c r="BC96" s="156">
        <f t="shared" si="29"/>
        <v>4190</v>
      </c>
      <c r="BE96" s="150">
        <v>20</v>
      </c>
      <c r="BF96" s="151" t="s">
        <v>593</v>
      </c>
      <c r="BG96" s="152">
        <v>620.20000000000005</v>
      </c>
      <c r="BH96" s="152">
        <v>0.45619999999999999</v>
      </c>
      <c r="BI96" s="151">
        <v>26</v>
      </c>
      <c r="BJ96" s="151" t="s">
        <v>1675</v>
      </c>
      <c r="BK96" s="151">
        <v>7987</v>
      </c>
      <c r="BL96" s="151" t="s">
        <v>1718</v>
      </c>
      <c r="BM96" s="151">
        <v>3509</v>
      </c>
      <c r="BN96" s="151" t="s">
        <v>1718</v>
      </c>
      <c r="BP96" s="155">
        <f t="shared" si="30"/>
        <v>20</v>
      </c>
      <c r="BQ96" s="156">
        <f t="shared" si="31"/>
        <v>26</v>
      </c>
      <c r="BS96" s="150">
        <v>20</v>
      </c>
      <c r="BT96" s="151" t="s">
        <v>593</v>
      </c>
      <c r="BU96" s="152">
        <v>1331</v>
      </c>
      <c r="BV96" s="152">
        <v>1.3979999999999999</v>
      </c>
      <c r="BW96" s="151">
        <v>15.29</v>
      </c>
      <c r="BX96" s="151" t="s">
        <v>1675</v>
      </c>
      <c r="BY96" s="151">
        <v>4369</v>
      </c>
      <c r="BZ96" s="151" t="s">
        <v>1718</v>
      </c>
      <c r="CA96" s="151">
        <v>2980</v>
      </c>
      <c r="CB96" s="151" t="s">
        <v>1718</v>
      </c>
      <c r="CD96" s="155">
        <f t="shared" si="32"/>
        <v>20</v>
      </c>
      <c r="CE96" s="156">
        <f t="shared" si="33"/>
        <v>15.29</v>
      </c>
      <c r="CG96" s="150">
        <v>20</v>
      </c>
      <c r="CH96" s="151" t="s">
        <v>593</v>
      </c>
      <c r="CI96" s="152">
        <v>1657</v>
      </c>
      <c r="CJ96" s="152">
        <v>1.948</v>
      </c>
      <c r="CK96" s="151">
        <v>14.51</v>
      </c>
      <c r="CL96" s="151" t="s">
        <v>1675</v>
      </c>
      <c r="CM96" s="151">
        <v>4057</v>
      </c>
      <c r="CN96" s="151" t="s">
        <v>1718</v>
      </c>
      <c r="CO96" s="151">
        <v>3318</v>
      </c>
      <c r="CP96" s="151" t="s">
        <v>1718</v>
      </c>
      <c r="CR96" s="155">
        <f t="shared" si="21"/>
        <v>20</v>
      </c>
      <c r="CS96" s="156">
        <f t="shared" si="34"/>
        <v>14.51</v>
      </c>
      <c r="CU96" s="151">
        <v>20</v>
      </c>
      <c r="CV96" s="152" t="s">
        <v>593</v>
      </c>
      <c r="CW96" s="152">
        <v>3554</v>
      </c>
      <c r="CX96" s="152">
        <v>10.31</v>
      </c>
      <c r="CY96" s="151">
        <v>9.41</v>
      </c>
      <c r="CZ96" s="151" t="s">
        <v>1675</v>
      </c>
      <c r="DA96" s="151">
        <v>2840</v>
      </c>
      <c r="DB96" s="151" t="s">
        <v>1718</v>
      </c>
      <c r="DC96" s="151">
        <v>3028</v>
      </c>
      <c r="DD96" t="s">
        <v>1718</v>
      </c>
      <c r="DF96" s="155">
        <f t="shared" si="35"/>
        <v>20</v>
      </c>
      <c r="DG96" s="156">
        <f t="shared" si="38"/>
        <v>9.41</v>
      </c>
      <c r="DI96" s="151">
        <v>20</v>
      </c>
      <c r="DJ96" s="152" t="s">
        <v>593</v>
      </c>
      <c r="DK96" s="152">
        <v>3425</v>
      </c>
      <c r="DL96" s="152">
        <v>9.99</v>
      </c>
      <c r="DM96" s="151">
        <v>10.23</v>
      </c>
      <c r="DN96" s="151" t="s">
        <v>1675</v>
      </c>
      <c r="DO96" s="151">
        <v>3030</v>
      </c>
      <c r="DP96" s="151" t="s">
        <v>1718</v>
      </c>
      <c r="DQ96" s="151">
        <v>3191</v>
      </c>
      <c r="DR96" t="s">
        <v>1718</v>
      </c>
      <c r="DT96" s="155">
        <f t="shared" si="36"/>
        <v>20</v>
      </c>
      <c r="DU96" s="156">
        <f t="shared" si="39"/>
        <v>10.23</v>
      </c>
      <c r="DW96" s="401">
        <v>20</v>
      </c>
      <c r="DX96" s="401" t="s">
        <v>593</v>
      </c>
      <c r="DY96" s="402">
        <v>220.5</v>
      </c>
      <c r="DZ96" s="402">
        <v>0.13150000000000001</v>
      </c>
      <c r="EA96" s="401">
        <v>58.51</v>
      </c>
      <c r="EB96" s="401" t="s">
        <v>1675</v>
      </c>
      <c r="EC96" s="401">
        <v>2.0299999999999998</v>
      </c>
      <c r="ED96" s="401" t="s">
        <v>1675</v>
      </c>
      <c r="EE96" s="401">
        <v>6463</v>
      </c>
      <c r="EF96" s="403" t="s">
        <v>1718</v>
      </c>
      <c r="EH96" s="155">
        <f t="shared" si="37"/>
        <v>20</v>
      </c>
      <c r="EI96" s="156">
        <f t="shared" si="40"/>
        <v>58.51</v>
      </c>
    </row>
    <row r="97" spans="1:139" x14ac:dyDescent="0.2">
      <c r="A97" s="150">
        <v>22.5</v>
      </c>
      <c r="B97" s="151" t="s">
        <v>593</v>
      </c>
      <c r="C97" s="152">
        <v>1823</v>
      </c>
      <c r="D97" s="152">
        <v>2.0990000000000002</v>
      </c>
      <c r="E97" s="151">
        <v>14.39</v>
      </c>
      <c r="F97" s="151" t="s">
        <v>1675</v>
      </c>
      <c r="G97" s="151">
        <v>4198</v>
      </c>
      <c r="H97" s="151" t="s">
        <v>1718</v>
      </c>
      <c r="I97" s="151">
        <v>3454</v>
      </c>
      <c r="J97" s="151" t="s">
        <v>1718</v>
      </c>
      <c r="L97" s="155">
        <f t="shared" si="22"/>
        <v>22.5</v>
      </c>
      <c r="M97" s="156">
        <f t="shared" si="23"/>
        <v>14.39</v>
      </c>
      <c r="N97" s="275"/>
      <c r="O97" s="150">
        <v>22.5</v>
      </c>
      <c r="P97" s="151" t="s">
        <v>593</v>
      </c>
      <c r="Q97" s="152">
        <v>1525</v>
      </c>
      <c r="R97" s="152">
        <v>1.534</v>
      </c>
      <c r="S97" s="151">
        <v>15.8</v>
      </c>
      <c r="T97" s="151" t="s">
        <v>1675</v>
      </c>
      <c r="U97" s="151">
        <v>4623</v>
      </c>
      <c r="V97" s="151" t="s">
        <v>1718</v>
      </c>
      <c r="W97" s="151">
        <v>3217</v>
      </c>
      <c r="X97" s="151" t="s">
        <v>1718</v>
      </c>
      <c r="Z97" s="155">
        <f t="shared" si="24"/>
        <v>22.5</v>
      </c>
      <c r="AA97" s="156">
        <f t="shared" si="25"/>
        <v>15.8</v>
      </c>
      <c r="AB97" s="275"/>
      <c r="AC97" s="150">
        <v>22.5</v>
      </c>
      <c r="AD97" s="151" t="s">
        <v>593</v>
      </c>
      <c r="AE97" s="152">
        <v>29.68</v>
      </c>
      <c r="AF97" s="152">
        <v>1.8689999999999998E-2</v>
      </c>
      <c r="AG97" s="151">
        <v>427.61</v>
      </c>
      <c r="AH97" s="151" t="s">
        <v>1675</v>
      </c>
      <c r="AI97" s="151">
        <v>17.57</v>
      </c>
      <c r="AJ97" s="151" t="s">
        <v>1675</v>
      </c>
      <c r="AK97" s="151">
        <v>5.21</v>
      </c>
      <c r="AL97" s="151" t="s">
        <v>1675</v>
      </c>
      <c r="AN97" s="155">
        <f t="shared" si="26"/>
        <v>22.5</v>
      </c>
      <c r="AO97" s="156">
        <f t="shared" si="27"/>
        <v>427.61</v>
      </c>
      <c r="AP97" s="275"/>
      <c r="AQ97" s="150">
        <v>22.5</v>
      </c>
      <c r="AR97" s="151" t="s">
        <v>593</v>
      </c>
      <c r="AS97" s="152">
        <v>2.383</v>
      </c>
      <c r="AT97" s="152">
        <v>1.323E-3</v>
      </c>
      <c r="AU97" s="151">
        <v>5.19</v>
      </c>
      <c r="AV97" s="151" t="s">
        <v>1623</v>
      </c>
      <c r="AW97" s="151">
        <v>219.76</v>
      </c>
      <c r="AX97" s="151" t="s">
        <v>1675</v>
      </c>
      <c r="AY97" s="151">
        <v>118.19</v>
      </c>
      <c r="AZ97" s="151" t="s">
        <v>1675</v>
      </c>
      <c r="BB97" s="155">
        <f t="shared" si="28"/>
        <v>22.5</v>
      </c>
      <c r="BC97" s="156">
        <f t="shared" si="29"/>
        <v>5190</v>
      </c>
      <c r="BE97" s="150">
        <v>22.5</v>
      </c>
      <c r="BF97" s="151" t="s">
        <v>593</v>
      </c>
      <c r="BG97" s="152">
        <v>576.6</v>
      </c>
      <c r="BH97" s="152">
        <v>0.41149999999999998</v>
      </c>
      <c r="BI97" s="151">
        <v>30.18</v>
      </c>
      <c r="BJ97" s="151" t="s">
        <v>1675</v>
      </c>
      <c r="BK97" s="151">
        <v>9958</v>
      </c>
      <c r="BL97" s="151" t="s">
        <v>1718</v>
      </c>
      <c r="BM97" s="151">
        <v>3757</v>
      </c>
      <c r="BN97" s="151" t="s">
        <v>1718</v>
      </c>
      <c r="BP97" s="155">
        <f t="shared" si="30"/>
        <v>22.5</v>
      </c>
      <c r="BQ97" s="156">
        <f t="shared" si="31"/>
        <v>30.18</v>
      </c>
      <c r="BS97" s="150">
        <v>22.5</v>
      </c>
      <c r="BT97" s="151" t="s">
        <v>593</v>
      </c>
      <c r="BU97" s="152">
        <v>1272</v>
      </c>
      <c r="BV97" s="152">
        <v>1.2629999999999999</v>
      </c>
      <c r="BW97" s="151">
        <v>17.21</v>
      </c>
      <c r="BX97" s="151" t="s">
        <v>1675</v>
      </c>
      <c r="BY97" s="151">
        <v>5156</v>
      </c>
      <c r="BZ97" s="151" t="s">
        <v>1718</v>
      </c>
      <c r="CA97" s="151">
        <v>3077</v>
      </c>
      <c r="CB97" s="151" t="s">
        <v>1718</v>
      </c>
      <c r="CD97" s="155">
        <f t="shared" si="32"/>
        <v>22.5</v>
      </c>
      <c r="CE97" s="156">
        <f t="shared" si="33"/>
        <v>17.21</v>
      </c>
      <c r="CG97" s="150">
        <v>22.5</v>
      </c>
      <c r="CH97" s="151" t="s">
        <v>593</v>
      </c>
      <c r="CI97" s="152">
        <v>1605</v>
      </c>
      <c r="CJ97" s="152">
        <v>1.7609999999999999</v>
      </c>
      <c r="CK97" s="151">
        <v>16.04</v>
      </c>
      <c r="CL97" s="151" t="s">
        <v>1675</v>
      </c>
      <c r="CM97" s="151">
        <v>4610</v>
      </c>
      <c r="CN97" s="151" t="s">
        <v>1718</v>
      </c>
      <c r="CO97" s="151">
        <v>3393</v>
      </c>
      <c r="CP97" s="151" t="s">
        <v>1718</v>
      </c>
      <c r="CR97" s="155">
        <f t="shared" si="21"/>
        <v>22.5</v>
      </c>
      <c r="CS97" s="156">
        <f t="shared" si="34"/>
        <v>16.04</v>
      </c>
      <c r="CU97" s="151">
        <v>22.5</v>
      </c>
      <c r="CV97" s="152" t="s">
        <v>593</v>
      </c>
      <c r="CW97" s="152">
        <v>3615</v>
      </c>
      <c r="CX97" s="152">
        <v>9.3450000000000006</v>
      </c>
      <c r="CY97" s="151">
        <v>10.1</v>
      </c>
      <c r="CZ97" s="151" t="s">
        <v>1675</v>
      </c>
      <c r="DA97" s="151">
        <v>3014</v>
      </c>
      <c r="DB97" s="151" t="s">
        <v>1718</v>
      </c>
      <c r="DC97" s="151">
        <v>3075</v>
      </c>
      <c r="DD97" t="s">
        <v>1718</v>
      </c>
      <c r="DF97" s="155">
        <f t="shared" si="35"/>
        <v>22.5</v>
      </c>
      <c r="DG97" s="156">
        <f t="shared" si="38"/>
        <v>10.1</v>
      </c>
      <c r="DI97" s="151">
        <v>22.5</v>
      </c>
      <c r="DJ97" s="152" t="s">
        <v>593</v>
      </c>
      <c r="DK97" s="152">
        <v>3491</v>
      </c>
      <c r="DL97" s="152">
        <v>9.0579999999999998</v>
      </c>
      <c r="DM97" s="151">
        <v>10.95</v>
      </c>
      <c r="DN97" s="151" t="s">
        <v>1675</v>
      </c>
      <c r="DO97" s="151">
        <v>3206</v>
      </c>
      <c r="DP97" s="151" t="s">
        <v>1718</v>
      </c>
      <c r="DQ97" s="151">
        <v>3240</v>
      </c>
      <c r="DR97" t="s">
        <v>1718</v>
      </c>
      <c r="DT97" s="155">
        <f t="shared" si="36"/>
        <v>22.5</v>
      </c>
      <c r="DU97" s="156">
        <f t="shared" si="39"/>
        <v>10.95</v>
      </c>
      <c r="DW97" s="401">
        <v>22.5</v>
      </c>
      <c r="DX97" s="401" t="s">
        <v>593</v>
      </c>
      <c r="DY97" s="402">
        <v>200.4</v>
      </c>
      <c r="DZ97" s="402">
        <v>0.11849999999999999</v>
      </c>
      <c r="EA97" s="401">
        <v>70.400000000000006</v>
      </c>
      <c r="EB97" s="401" t="s">
        <v>1675</v>
      </c>
      <c r="EC97" s="401">
        <v>2.65</v>
      </c>
      <c r="ED97" s="401" t="s">
        <v>1675</v>
      </c>
      <c r="EE97" s="401">
        <v>7398</v>
      </c>
      <c r="EF97" s="403" t="s">
        <v>1718</v>
      </c>
      <c r="EH97" s="155">
        <f t="shared" si="37"/>
        <v>22.5</v>
      </c>
      <c r="EI97" s="156">
        <f t="shared" si="40"/>
        <v>70.400000000000006</v>
      </c>
    </row>
    <row r="98" spans="1:139" x14ac:dyDescent="0.2">
      <c r="A98" s="150">
        <v>25</v>
      </c>
      <c r="B98" s="151" t="s">
        <v>593</v>
      </c>
      <c r="C98" s="152">
        <v>1758</v>
      </c>
      <c r="D98" s="152">
        <v>1.917</v>
      </c>
      <c r="E98" s="151">
        <v>15.78</v>
      </c>
      <c r="F98" s="151" t="s">
        <v>1675</v>
      </c>
      <c r="G98" s="151">
        <v>4648</v>
      </c>
      <c r="H98" s="151" t="s">
        <v>1718</v>
      </c>
      <c r="I98" s="151">
        <v>3516</v>
      </c>
      <c r="J98" s="151" t="s">
        <v>1718</v>
      </c>
      <c r="L98" s="155">
        <f t="shared" si="22"/>
        <v>25</v>
      </c>
      <c r="M98" s="156">
        <f t="shared" si="23"/>
        <v>15.78</v>
      </c>
      <c r="N98" s="275"/>
      <c r="O98" s="150">
        <v>25</v>
      </c>
      <c r="P98" s="151" t="s">
        <v>593</v>
      </c>
      <c r="Q98" s="152">
        <v>1465</v>
      </c>
      <c r="R98" s="152">
        <v>1.401</v>
      </c>
      <c r="S98" s="151">
        <v>17.47</v>
      </c>
      <c r="T98" s="151" t="s">
        <v>1675</v>
      </c>
      <c r="U98" s="151">
        <v>5203</v>
      </c>
      <c r="V98" s="151" t="s">
        <v>1718</v>
      </c>
      <c r="W98" s="151">
        <v>3299</v>
      </c>
      <c r="X98" s="151" t="s">
        <v>1718</v>
      </c>
      <c r="Z98" s="155">
        <f t="shared" si="24"/>
        <v>25</v>
      </c>
      <c r="AA98" s="156">
        <f t="shared" si="25"/>
        <v>17.47</v>
      </c>
      <c r="AB98" s="275"/>
      <c r="AC98" s="150">
        <v>25</v>
      </c>
      <c r="AD98" s="151" t="s">
        <v>593</v>
      </c>
      <c r="AE98" s="152">
        <v>27.25</v>
      </c>
      <c r="AF98" s="152">
        <v>1.7000000000000001E-2</v>
      </c>
      <c r="AG98" s="151">
        <v>515.48</v>
      </c>
      <c r="AH98" s="151" t="s">
        <v>1675</v>
      </c>
      <c r="AI98" s="151">
        <v>21.58</v>
      </c>
      <c r="AJ98" s="151" t="s">
        <v>1675</v>
      </c>
      <c r="AK98" s="151">
        <v>6.23</v>
      </c>
      <c r="AL98" s="151" t="s">
        <v>1675</v>
      </c>
      <c r="AN98" s="155">
        <f t="shared" si="26"/>
        <v>25</v>
      </c>
      <c r="AO98" s="156">
        <f t="shared" si="27"/>
        <v>515.48</v>
      </c>
      <c r="AP98" s="275"/>
      <c r="AQ98" s="150">
        <v>25</v>
      </c>
      <c r="AR98" s="151" t="s">
        <v>593</v>
      </c>
      <c r="AS98" s="152">
        <v>2.1859999999999999</v>
      </c>
      <c r="AT98" s="152">
        <v>1.2019999999999999E-3</v>
      </c>
      <c r="AU98" s="151">
        <v>6.28</v>
      </c>
      <c r="AV98" s="151" t="s">
        <v>1623</v>
      </c>
      <c r="AW98" s="151">
        <v>270.33999999999997</v>
      </c>
      <c r="AX98" s="151" t="s">
        <v>1675</v>
      </c>
      <c r="AY98" s="151">
        <v>142.49</v>
      </c>
      <c r="AZ98" s="151" t="s">
        <v>1675</v>
      </c>
      <c r="BB98" s="155">
        <f t="shared" si="28"/>
        <v>25</v>
      </c>
      <c r="BC98" s="156">
        <f t="shared" si="29"/>
        <v>6280</v>
      </c>
      <c r="BE98" s="150">
        <v>25</v>
      </c>
      <c r="BF98" s="151" t="s">
        <v>593</v>
      </c>
      <c r="BG98" s="152">
        <v>543.6</v>
      </c>
      <c r="BH98" s="152">
        <v>0.37509999999999999</v>
      </c>
      <c r="BI98" s="151">
        <v>34.64</v>
      </c>
      <c r="BJ98" s="151" t="s">
        <v>1675</v>
      </c>
      <c r="BK98" s="151">
        <v>1.18</v>
      </c>
      <c r="BL98" s="151" t="s">
        <v>1675</v>
      </c>
      <c r="BM98" s="151">
        <v>4023</v>
      </c>
      <c r="BN98" s="151" t="s">
        <v>1718</v>
      </c>
      <c r="BP98" s="155">
        <f t="shared" si="30"/>
        <v>25</v>
      </c>
      <c r="BQ98" s="156">
        <f t="shared" si="31"/>
        <v>34.64</v>
      </c>
      <c r="BS98" s="150">
        <v>25</v>
      </c>
      <c r="BT98" s="151" t="s">
        <v>593</v>
      </c>
      <c r="BU98" s="152">
        <v>1217</v>
      </c>
      <c r="BV98" s="152">
        <v>1.153</v>
      </c>
      <c r="BW98" s="151">
        <v>19.22</v>
      </c>
      <c r="BX98" s="151" t="s">
        <v>1675</v>
      </c>
      <c r="BY98" s="151">
        <v>5898</v>
      </c>
      <c r="BZ98" s="151" t="s">
        <v>1718</v>
      </c>
      <c r="CA98" s="151">
        <v>3176</v>
      </c>
      <c r="CB98" s="151" t="s">
        <v>1718</v>
      </c>
      <c r="CD98" s="155">
        <f t="shared" si="32"/>
        <v>25</v>
      </c>
      <c r="CE98" s="156">
        <f t="shared" si="33"/>
        <v>19.22</v>
      </c>
      <c r="CG98" s="150">
        <v>25</v>
      </c>
      <c r="CH98" s="151" t="s">
        <v>593</v>
      </c>
      <c r="CI98" s="152">
        <v>1551</v>
      </c>
      <c r="CJ98" s="152">
        <v>1.6080000000000001</v>
      </c>
      <c r="CK98" s="151">
        <v>17.62</v>
      </c>
      <c r="CL98" s="151" t="s">
        <v>1675</v>
      </c>
      <c r="CM98" s="151">
        <v>5135</v>
      </c>
      <c r="CN98" s="151" t="s">
        <v>1718</v>
      </c>
      <c r="CO98" s="151">
        <v>3468</v>
      </c>
      <c r="CP98" s="151" t="s">
        <v>1718</v>
      </c>
      <c r="CR98" s="155">
        <f t="shared" si="21"/>
        <v>25</v>
      </c>
      <c r="CS98" s="156">
        <f t="shared" si="34"/>
        <v>17.62</v>
      </c>
      <c r="CU98" s="151">
        <v>25</v>
      </c>
      <c r="CV98" s="152" t="s">
        <v>593</v>
      </c>
      <c r="CW98" s="152">
        <v>3651</v>
      </c>
      <c r="CX98" s="152">
        <v>8.5589999999999993</v>
      </c>
      <c r="CY98" s="151">
        <v>10.79</v>
      </c>
      <c r="CZ98" s="151" t="s">
        <v>1675</v>
      </c>
      <c r="DA98" s="151">
        <v>3175</v>
      </c>
      <c r="DB98" s="151" t="s">
        <v>1718</v>
      </c>
      <c r="DC98" s="151">
        <v>3118</v>
      </c>
      <c r="DD98" t="s">
        <v>1718</v>
      </c>
      <c r="DF98" s="155">
        <f t="shared" si="35"/>
        <v>25</v>
      </c>
      <c r="DG98" s="156">
        <f t="shared" si="38"/>
        <v>10.79</v>
      </c>
      <c r="DI98" s="151">
        <v>25</v>
      </c>
      <c r="DJ98" s="152" t="s">
        <v>593</v>
      </c>
      <c r="DK98" s="152">
        <v>3528</v>
      </c>
      <c r="DL98" s="152">
        <v>8.2970000000000006</v>
      </c>
      <c r="DM98" s="151">
        <v>11.66</v>
      </c>
      <c r="DN98" s="151" t="s">
        <v>1675</v>
      </c>
      <c r="DO98" s="151">
        <v>3367</v>
      </c>
      <c r="DP98" s="151" t="s">
        <v>1718</v>
      </c>
      <c r="DQ98" s="151">
        <v>3285</v>
      </c>
      <c r="DR98" t="s">
        <v>1718</v>
      </c>
      <c r="DT98" s="155">
        <f t="shared" si="36"/>
        <v>25</v>
      </c>
      <c r="DU98" s="156">
        <f t="shared" si="39"/>
        <v>11.66</v>
      </c>
      <c r="DW98" s="401">
        <v>25</v>
      </c>
      <c r="DX98" s="401" t="s">
        <v>593</v>
      </c>
      <c r="DY98" s="402">
        <v>183.8</v>
      </c>
      <c r="DZ98" s="402">
        <v>0.1079</v>
      </c>
      <c r="EA98" s="401">
        <v>83.42</v>
      </c>
      <c r="EB98" s="401" t="s">
        <v>1675</v>
      </c>
      <c r="EC98" s="401">
        <v>3.23</v>
      </c>
      <c r="ED98" s="401" t="s">
        <v>1675</v>
      </c>
      <c r="EE98" s="401">
        <v>8431</v>
      </c>
      <c r="EF98" s="403" t="s">
        <v>1718</v>
      </c>
      <c r="EH98" s="155">
        <f t="shared" si="37"/>
        <v>25</v>
      </c>
      <c r="EI98" s="156">
        <f t="shared" si="40"/>
        <v>83.42</v>
      </c>
    </row>
    <row r="99" spans="1:139" x14ac:dyDescent="0.2">
      <c r="A99" s="150">
        <v>27.5</v>
      </c>
      <c r="B99" s="151" t="s">
        <v>593</v>
      </c>
      <c r="C99" s="152">
        <v>1694</v>
      </c>
      <c r="D99" s="152">
        <v>1.766</v>
      </c>
      <c r="E99" s="151">
        <v>17.23</v>
      </c>
      <c r="F99" s="151" t="s">
        <v>1675</v>
      </c>
      <c r="G99" s="151">
        <v>5088</v>
      </c>
      <c r="H99" s="151" t="s">
        <v>1718</v>
      </c>
      <c r="I99" s="151">
        <v>3579</v>
      </c>
      <c r="J99" s="151" t="s">
        <v>1718</v>
      </c>
      <c r="L99" s="155">
        <f t="shared" si="22"/>
        <v>27.5</v>
      </c>
      <c r="M99" s="156">
        <f t="shared" si="23"/>
        <v>17.23</v>
      </c>
      <c r="N99" s="275"/>
      <c r="O99" s="150">
        <v>27.5</v>
      </c>
      <c r="P99" s="151" t="s">
        <v>593</v>
      </c>
      <c r="Q99" s="152">
        <v>1408</v>
      </c>
      <c r="R99" s="152">
        <v>1.29</v>
      </c>
      <c r="S99" s="151">
        <v>19.21</v>
      </c>
      <c r="T99" s="151" t="s">
        <v>1675</v>
      </c>
      <c r="U99" s="151">
        <v>5765</v>
      </c>
      <c r="V99" s="151" t="s">
        <v>1718</v>
      </c>
      <c r="W99" s="151">
        <v>3382</v>
      </c>
      <c r="X99" s="151" t="s">
        <v>1718</v>
      </c>
      <c r="Z99" s="155">
        <f t="shared" si="24"/>
        <v>27.5</v>
      </c>
      <c r="AA99" s="156">
        <f t="shared" si="25"/>
        <v>19.21</v>
      </c>
      <c r="AB99" s="275"/>
      <c r="AC99" s="150">
        <v>27.5</v>
      </c>
      <c r="AD99" s="151" t="s">
        <v>593</v>
      </c>
      <c r="AE99" s="152">
        <v>25.21</v>
      </c>
      <c r="AF99" s="152">
        <v>1.5599999999999999E-2</v>
      </c>
      <c r="AG99" s="151">
        <v>610.83000000000004</v>
      </c>
      <c r="AH99" s="151" t="s">
        <v>1675</v>
      </c>
      <c r="AI99" s="151">
        <v>25.51</v>
      </c>
      <c r="AJ99" s="151" t="s">
        <v>1675</v>
      </c>
      <c r="AK99" s="151">
        <v>7.33</v>
      </c>
      <c r="AL99" s="151" t="s">
        <v>1675</v>
      </c>
      <c r="AN99" s="155">
        <f t="shared" si="26"/>
        <v>27.5</v>
      </c>
      <c r="AO99" s="156">
        <f t="shared" si="27"/>
        <v>610.83000000000004</v>
      </c>
      <c r="AP99" s="275"/>
      <c r="AQ99" s="150">
        <v>27.5</v>
      </c>
      <c r="AR99" s="151" t="s">
        <v>593</v>
      </c>
      <c r="AS99" s="152">
        <v>2.0209999999999999</v>
      </c>
      <c r="AT99" s="152">
        <v>1.101E-3</v>
      </c>
      <c r="AU99" s="151">
        <v>7.47</v>
      </c>
      <c r="AV99" s="151" t="s">
        <v>1623</v>
      </c>
      <c r="AW99" s="151">
        <v>319.99</v>
      </c>
      <c r="AX99" s="151" t="s">
        <v>1675</v>
      </c>
      <c r="AY99" s="151">
        <v>168.76</v>
      </c>
      <c r="AZ99" s="151" t="s">
        <v>1675</v>
      </c>
      <c r="BB99" s="155">
        <f t="shared" si="28"/>
        <v>27.5</v>
      </c>
      <c r="BC99" s="156">
        <f t="shared" si="29"/>
        <v>7470</v>
      </c>
      <c r="BE99" s="150">
        <v>27.5</v>
      </c>
      <c r="BF99" s="151" t="s">
        <v>593</v>
      </c>
      <c r="BG99" s="152">
        <v>518</v>
      </c>
      <c r="BH99" s="152">
        <v>0.34489999999999998</v>
      </c>
      <c r="BI99" s="151">
        <v>39.35</v>
      </c>
      <c r="BJ99" s="151" t="s">
        <v>1675</v>
      </c>
      <c r="BK99" s="151">
        <v>1.36</v>
      </c>
      <c r="BL99" s="151" t="s">
        <v>1675</v>
      </c>
      <c r="BM99" s="151">
        <v>4307</v>
      </c>
      <c r="BN99" s="151" t="s">
        <v>1718</v>
      </c>
      <c r="BP99" s="155">
        <f t="shared" si="30"/>
        <v>27.5</v>
      </c>
      <c r="BQ99" s="156">
        <f t="shared" si="31"/>
        <v>39.35</v>
      </c>
      <c r="BS99" s="150">
        <v>27.5</v>
      </c>
      <c r="BT99" s="151" t="s">
        <v>593</v>
      </c>
      <c r="BU99" s="152">
        <v>1168</v>
      </c>
      <c r="BV99" s="152">
        <v>1.0609999999999999</v>
      </c>
      <c r="BW99" s="151">
        <v>21.32</v>
      </c>
      <c r="BX99" s="151" t="s">
        <v>1675</v>
      </c>
      <c r="BY99" s="151">
        <v>6612</v>
      </c>
      <c r="BZ99" s="151" t="s">
        <v>1718</v>
      </c>
      <c r="CA99" s="151">
        <v>3279</v>
      </c>
      <c r="CB99" s="151" t="s">
        <v>1718</v>
      </c>
      <c r="CD99" s="155">
        <f t="shared" si="32"/>
        <v>27.5</v>
      </c>
      <c r="CE99" s="156">
        <f t="shared" si="33"/>
        <v>21.32</v>
      </c>
      <c r="CG99" s="150">
        <v>27.5</v>
      </c>
      <c r="CH99" s="151" t="s">
        <v>593</v>
      </c>
      <c r="CI99" s="152">
        <v>1499</v>
      </c>
      <c r="CJ99" s="152">
        <v>1.4810000000000001</v>
      </c>
      <c r="CK99" s="151">
        <v>19.260000000000002</v>
      </c>
      <c r="CL99" s="151" t="s">
        <v>1675</v>
      </c>
      <c r="CM99" s="151">
        <v>5643</v>
      </c>
      <c r="CN99" s="151" t="s">
        <v>1718</v>
      </c>
      <c r="CO99" s="151">
        <v>3543</v>
      </c>
      <c r="CP99" s="151" t="s">
        <v>1718</v>
      </c>
      <c r="CR99" s="155">
        <f t="shared" si="21"/>
        <v>27.5</v>
      </c>
      <c r="CS99" s="156">
        <f t="shared" si="34"/>
        <v>19.260000000000002</v>
      </c>
      <c r="CU99" s="151">
        <v>27.5</v>
      </c>
      <c r="CV99" s="152" t="s">
        <v>593</v>
      </c>
      <c r="CW99" s="152">
        <v>3668</v>
      </c>
      <c r="CX99" s="152">
        <v>7.9029999999999996</v>
      </c>
      <c r="CY99" s="151">
        <v>11.47</v>
      </c>
      <c r="CZ99" s="151" t="s">
        <v>1675</v>
      </c>
      <c r="DA99" s="151">
        <v>3325</v>
      </c>
      <c r="DB99" s="151" t="s">
        <v>1718</v>
      </c>
      <c r="DC99" s="151">
        <v>3158</v>
      </c>
      <c r="DD99" t="s">
        <v>1718</v>
      </c>
      <c r="DF99" s="155">
        <f t="shared" si="35"/>
        <v>27.5</v>
      </c>
      <c r="DG99" s="156">
        <f t="shared" si="38"/>
        <v>11.47</v>
      </c>
      <c r="DI99" s="151">
        <v>27.5</v>
      </c>
      <c r="DJ99" s="152" t="s">
        <v>593</v>
      </c>
      <c r="DK99" s="152">
        <v>3542</v>
      </c>
      <c r="DL99" s="152">
        <v>7.6609999999999996</v>
      </c>
      <c r="DM99" s="151">
        <v>12.36</v>
      </c>
      <c r="DN99" s="151" t="s">
        <v>1675</v>
      </c>
      <c r="DO99" s="151">
        <v>3519</v>
      </c>
      <c r="DP99" s="151" t="s">
        <v>1718</v>
      </c>
      <c r="DQ99" s="151">
        <v>3326</v>
      </c>
      <c r="DR99" t="s">
        <v>1718</v>
      </c>
      <c r="DT99" s="155">
        <f t="shared" si="36"/>
        <v>27.5</v>
      </c>
      <c r="DU99" s="156">
        <f t="shared" si="39"/>
        <v>12.36</v>
      </c>
      <c r="DW99" s="401">
        <v>27.5</v>
      </c>
      <c r="DX99" s="401" t="s">
        <v>593</v>
      </c>
      <c r="DY99" s="402">
        <v>169.9</v>
      </c>
      <c r="DZ99" s="402">
        <v>9.9089999999999998E-2</v>
      </c>
      <c r="EA99" s="401">
        <v>97.56</v>
      </c>
      <c r="EB99" s="401" t="s">
        <v>1675</v>
      </c>
      <c r="EC99" s="401">
        <v>3.81</v>
      </c>
      <c r="ED99" s="401" t="s">
        <v>1675</v>
      </c>
      <c r="EE99" s="401">
        <v>9560</v>
      </c>
      <c r="EF99" s="403" t="s">
        <v>1718</v>
      </c>
      <c r="EH99" s="155">
        <f t="shared" si="37"/>
        <v>27.5</v>
      </c>
      <c r="EI99" s="156">
        <f t="shared" si="40"/>
        <v>97.56</v>
      </c>
    </row>
    <row r="100" spans="1:139" x14ac:dyDescent="0.2">
      <c r="A100" s="150">
        <v>30</v>
      </c>
      <c r="B100" s="151" t="s">
        <v>593</v>
      </c>
      <c r="C100" s="152">
        <v>1634</v>
      </c>
      <c r="D100" s="152">
        <v>1.6379999999999999</v>
      </c>
      <c r="E100" s="151">
        <v>18.73</v>
      </c>
      <c r="F100" s="151" t="s">
        <v>1675</v>
      </c>
      <c r="G100" s="151">
        <v>5522</v>
      </c>
      <c r="H100" s="151" t="s">
        <v>1718</v>
      </c>
      <c r="I100" s="151">
        <v>3643</v>
      </c>
      <c r="J100" s="151" t="s">
        <v>1718</v>
      </c>
      <c r="L100" s="155">
        <f t="shared" si="22"/>
        <v>30</v>
      </c>
      <c r="M100" s="156">
        <f t="shared" si="23"/>
        <v>18.73</v>
      </c>
      <c r="N100" s="275"/>
      <c r="O100" s="150">
        <v>30</v>
      </c>
      <c r="P100" s="151" t="s">
        <v>593</v>
      </c>
      <c r="Q100" s="152">
        <v>1355</v>
      </c>
      <c r="R100" s="152">
        <v>1.196</v>
      </c>
      <c r="S100" s="151">
        <v>21.02</v>
      </c>
      <c r="T100" s="151" t="s">
        <v>1675</v>
      </c>
      <c r="U100" s="151">
        <v>6317</v>
      </c>
      <c r="V100" s="151" t="s">
        <v>1718</v>
      </c>
      <c r="W100" s="151">
        <v>3467</v>
      </c>
      <c r="X100" s="151" t="s">
        <v>1718</v>
      </c>
      <c r="Z100" s="155">
        <f t="shared" si="24"/>
        <v>30</v>
      </c>
      <c r="AA100" s="156">
        <f t="shared" si="25"/>
        <v>21.02</v>
      </c>
      <c r="AB100" s="275"/>
      <c r="AC100" s="150">
        <v>30</v>
      </c>
      <c r="AD100" s="151" t="s">
        <v>593</v>
      </c>
      <c r="AE100" s="152">
        <v>23.48</v>
      </c>
      <c r="AF100" s="152">
        <v>1.4420000000000001E-2</v>
      </c>
      <c r="AG100" s="151">
        <v>713.52</v>
      </c>
      <c r="AH100" s="151" t="s">
        <v>1675</v>
      </c>
      <c r="AI100" s="151">
        <v>29.42</v>
      </c>
      <c r="AJ100" s="151" t="s">
        <v>1675</v>
      </c>
      <c r="AK100" s="151">
        <v>8.51</v>
      </c>
      <c r="AL100" s="151" t="s">
        <v>1675</v>
      </c>
      <c r="AN100" s="155">
        <f t="shared" si="26"/>
        <v>30</v>
      </c>
      <c r="AO100" s="156">
        <f t="shared" si="27"/>
        <v>713.52</v>
      </c>
      <c r="AP100" s="275"/>
      <c r="AQ100" s="150">
        <v>30</v>
      </c>
      <c r="AR100" s="151" t="s">
        <v>593</v>
      </c>
      <c r="AS100" s="152">
        <v>1.883</v>
      </c>
      <c r="AT100" s="152">
        <v>1.0169999999999999E-3</v>
      </c>
      <c r="AU100" s="151">
        <v>8.75</v>
      </c>
      <c r="AV100" s="151" t="s">
        <v>1623</v>
      </c>
      <c r="AW100" s="151">
        <v>369.5</v>
      </c>
      <c r="AX100" s="151" t="s">
        <v>1675</v>
      </c>
      <c r="AY100" s="151">
        <v>196.96</v>
      </c>
      <c r="AZ100" s="151" t="s">
        <v>1675</v>
      </c>
      <c r="BB100" s="155">
        <f t="shared" si="28"/>
        <v>30</v>
      </c>
      <c r="BC100" s="156">
        <f t="shared" si="29"/>
        <v>8750</v>
      </c>
      <c r="BE100" s="150">
        <v>30</v>
      </c>
      <c r="BF100" s="151" t="s">
        <v>593</v>
      </c>
      <c r="BG100" s="152">
        <v>489.8</v>
      </c>
      <c r="BH100" s="152">
        <v>0.31940000000000002</v>
      </c>
      <c r="BI100" s="151">
        <v>44.31</v>
      </c>
      <c r="BJ100" s="151" t="s">
        <v>1675</v>
      </c>
      <c r="BK100" s="151">
        <v>1.53</v>
      </c>
      <c r="BL100" s="151" t="s">
        <v>1675</v>
      </c>
      <c r="BM100" s="151">
        <v>4607</v>
      </c>
      <c r="BN100" s="151" t="s">
        <v>1718</v>
      </c>
      <c r="BP100" s="155">
        <f t="shared" si="30"/>
        <v>30</v>
      </c>
      <c r="BQ100" s="156">
        <f t="shared" si="31"/>
        <v>44.31</v>
      </c>
      <c r="BS100" s="150">
        <v>30</v>
      </c>
      <c r="BT100" s="151" t="s">
        <v>593</v>
      </c>
      <c r="BU100" s="152">
        <v>1123</v>
      </c>
      <c r="BV100" s="152">
        <v>0.98370000000000002</v>
      </c>
      <c r="BW100" s="151">
        <v>23.5</v>
      </c>
      <c r="BX100" s="151" t="s">
        <v>1675</v>
      </c>
      <c r="BY100" s="151">
        <v>7307</v>
      </c>
      <c r="BZ100" s="151" t="s">
        <v>1718</v>
      </c>
      <c r="CA100" s="151">
        <v>3386</v>
      </c>
      <c r="CB100" s="151" t="s">
        <v>1718</v>
      </c>
      <c r="CD100" s="155">
        <f t="shared" si="32"/>
        <v>30</v>
      </c>
      <c r="CE100" s="156">
        <f t="shared" si="33"/>
        <v>23.5</v>
      </c>
      <c r="CG100" s="150">
        <v>30</v>
      </c>
      <c r="CH100" s="151" t="s">
        <v>593</v>
      </c>
      <c r="CI100" s="152">
        <v>1448</v>
      </c>
      <c r="CJ100" s="152">
        <v>1.373</v>
      </c>
      <c r="CK100" s="151">
        <v>20.96</v>
      </c>
      <c r="CL100" s="151" t="s">
        <v>1675</v>
      </c>
      <c r="CM100" s="151">
        <v>6140</v>
      </c>
      <c r="CN100" s="151" t="s">
        <v>1718</v>
      </c>
      <c r="CO100" s="151">
        <v>3619</v>
      </c>
      <c r="CP100" s="151" t="s">
        <v>1718</v>
      </c>
      <c r="CR100" s="155">
        <f t="shared" si="21"/>
        <v>30</v>
      </c>
      <c r="CS100" s="156">
        <f t="shared" si="34"/>
        <v>20.96</v>
      </c>
      <c r="CU100" s="151">
        <v>30</v>
      </c>
      <c r="CV100" s="152" t="s">
        <v>593</v>
      </c>
      <c r="CW100" s="152">
        <v>3670</v>
      </c>
      <c r="CX100" s="152">
        <v>7.3460000000000001</v>
      </c>
      <c r="CY100" s="151">
        <v>12.15</v>
      </c>
      <c r="CZ100" s="151" t="s">
        <v>1675</v>
      </c>
      <c r="DA100" s="151">
        <v>3468</v>
      </c>
      <c r="DB100" s="151" t="s">
        <v>1718</v>
      </c>
      <c r="DC100" s="151">
        <v>3196</v>
      </c>
      <c r="DD100" t="s">
        <v>1718</v>
      </c>
      <c r="DF100" s="155">
        <f t="shared" si="35"/>
        <v>30</v>
      </c>
      <c r="DG100" s="156">
        <f t="shared" si="38"/>
        <v>12.15</v>
      </c>
      <c r="DI100" s="151">
        <v>30</v>
      </c>
      <c r="DJ100" s="152" t="s">
        <v>593</v>
      </c>
      <c r="DK100" s="152">
        <v>3540</v>
      </c>
      <c r="DL100" s="152">
        <v>7.1210000000000004</v>
      </c>
      <c r="DM100" s="151">
        <v>13.07</v>
      </c>
      <c r="DN100" s="151" t="s">
        <v>1675</v>
      </c>
      <c r="DO100" s="151">
        <v>3664</v>
      </c>
      <c r="DP100" s="151" t="s">
        <v>1718</v>
      </c>
      <c r="DQ100" s="151">
        <v>3364</v>
      </c>
      <c r="DR100" t="s">
        <v>1718</v>
      </c>
      <c r="DT100" s="155">
        <f t="shared" si="36"/>
        <v>30</v>
      </c>
      <c r="DU100" s="156">
        <f t="shared" si="39"/>
        <v>13.07</v>
      </c>
      <c r="DW100" s="401">
        <v>30</v>
      </c>
      <c r="DX100" s="401" t="s">
        <v>593</v>
      </c>
      <c r="DY100" s="402">
        <v>158.1</v>
      </c>
      <c r="DZ100" s="402">
        <v>9.1689999999999994E-2</v>
      </c>
      <c r="EA100" s="401">
        <v>112.81</v>
      </c>
      <c r="EB100" s="401" t="s">
        <v>1675</v>
      </c>
      <c r="EC100" s="401">
        <v>4.38</v>
      </c>
      <c r="ED100" s="401" t="s">
        <v>1675</v>
      </c>
      <c r="EE100" s="401">
        <v>1.08</v>
      </c>
      <c r="EF100" s="403" t="s">
        <v>1675</v>
      </c>
      <c r="EH100" s="155">
        <f t="shared" si="37"/>
        <v>30</v>
      </c>
      <c r="EI100" s="156">
        <f t="shared" si="40"/>
        <v>112.81</v>
      </c>
    </row>
    <row r="101" spans="1:139" x14ac:dyDescent="0.2">
      <c r="A101" s="150">
        <v>32.5</v>
      </c>
      <c r="B101" s="151" t="s">
        <v>593</v>
      </c>
      <c r="C101" s="152">
        <v>1577</v>
      </c>
      <c r="D101" s="152">
        <v>1.528</v>
      </c>
      <c r="E101" s="151">
        <v>20.29</v>
      </c>
      <c r="F101" s="151" t="s">
        <v>1675</v>
      </c>
      <c r="G101" s="151">
        <v>5953</v>
      </c>
      <c r="H101" s="151" t="s">
        <v>1718</v>
      </c>
      <c r="I101" s="151">
        <v>3708</v>
      </c>
      <c r="J101" s="151" t="s">
        <v>1718</v>
      </c>
      <c r="L101" s="155">
        <f t="shared" si="22"/>
        <v>32.5</v>
      </c>
      <c r="M101" s="156">
        <f t="shared" si="23"/>
        <v>20.29</v>
      </c>
      <c r="N101" s="275"/>
      <c r="O101" s="150">
        <v>32.5</v>
      </c>
      <c r="P101" s="151" t="s">
        <v>593</v>
      </c>
      <c r="Q101" s="152">
        <v>1305</v>
      </c>
      <c r="R101" s="152">
        <v>1.1160000000000001</v>
      </c>
      <c r="S101" s="151">
        <v>22.89</v>
      </c>
      <c r="T101" s="151" t="s">
        <v>1675</v>
      </c>
      <c r="U101" s="151">
        <v>6863</v>
      </c>
      <c r="V101" s="151" t="s">
        <v>1718</v>
      </c>
      <c r="W101" s="151">
        <v>3555</v>
      </c>
      <c r="X101" s="151" t="s">
        <v>1718</v>
      </c>
      <c r="Z101" s="155">
        <f t="shared" si="24"/>
        <v>32.5</v>
      </c>
      <c r="AA101" s="156">
        <f t="shared" si="25"/>
        <v>22.89</v>
      </c>
      <c r="AB101" s="275"/>
      <c r="AC101" s="150">
        <v>32.5</v>
      </c>
      <c r="AD101" s="151" t="s">
        <v>593</v>
      </c>
      <c r="AE101" s="152">
        <v>22</v>
      </c>
      <c r="AF101" s="152">
        <v>1.341E-2</v>
      </c>
      <c r="AG101" s="151">
        <v>823.47</v>
      </c>
      <c r="AH101" s="151" t="s">
        <v>1675</v>
      </c>
      <c r="AI101" s="151">
        <v>33.35</v>
      </c>
      <c r="AJ101" s="151" t="s">
        <v>1675</v>
      </c>
      <c r="AK101" s="151">
        <v>9.7799999999999994</v>
      </c>
      <c r="AL101" s="151" t="s">
        <v>1675</v>
      </c>
      <c r="AN101" s="155">
        <f t="shared" si="26"/>
        <v>32.5</v>
      </c>
      <c r="AO101" s="156">
        <f t="shared" si="27"/>
        <v>823.47</v>
      </c>
      <c r="AP101" s="275"/>
      <c r="AQ101" s="150">
        <v>32.5</v>
      </c>
      <c r="AR101" s="151" t="s">
        <v>593</v>
      </c>
      <c r="AS101" s="152">
        <v>1.7629999999999999</v>
      </c>
      <c r="AT101" s="152">
        <v>9.4539999999999999E-4</v>
      </c>
      <c r="AU101" s="151">
        <v>10.119999999999999</v>
      </c>
      <c r="AV101" s="151" t="s">
        <v>1623</v>
      </c>
      <c r="AW101" s="151">
        <v>419.25</v>
      </c>
      <c r="AX101" s="151" t="s">
        <v>1675</v>
      </c>
      <c r="AY101" s="151">
        <v>227.04</v>
      </c>
      <c r="AZ101" s="151" t="s">
        <v>1675</v>
      </c>
      <c r="BB101" s="155">
        <f t="shared" si="28"/>
        <v>32.5</v>
      </c>
      <c r="BC101" s="156">
        <f t="shared" si="29"/>
        <v>10120</v>
      </c>
      <c r="BE101" s="150">
        <v>32.5</v>
      </c>
      <c r="BF101" s="151" t="s">
        <v>593</v>
      </c>
      <c r="BG101" s="152">
        <v>462.8</v>
      </c>
      <c r="BH101" s="152">
        <v>0.29759999999999998</v>
      </c>
      <c r="BI101" s="151">
        <v>49.56</v>
      </c>
      <c r="BJ101" s="151" t="s">
        <v>1675</v>
      </c>
      <c r="BK101" s="151">
        <v>1.7</v>
      </c>
      <c r="BL101" s="151" t="s">
        <v>1675</v>
      </c>
      <c r="BM101" s="151">
        <v>4925</v>
      </c>
      <c r="BN101" s="151" t="s">
        <v>1718</v>
      </c>
      <c r="BP101" s="155">
        <f t="shared" si="30"/>
        <v>32.5</v>
      </c>
      <c r="BQ101" s="156">
        <f t="shared" si="31"/>
        <v>49.56</v>
      </c>
      <c r="BS101" s="150">
        <v>32.5</v>
      </c>
      <c r="BT101" s="151" t="s">
        <v>593</v>
      </c>
      <c r="BU101" s="152">
        <v>1081</v>
      </c>
      <c r="BV101" s="152">
        <v>0.91739999999999999</v>
      </c>
      <c r="BW101" s="151">
        <v>25.77</v>
      </c>
      <c r="BX101" s="151" t="s">
        <v>1675</v>
      </c>
      <c r="BY101" s="151">
        <v>7991</v>
      </c>
      <c r="BZ101" s="151" t="s">
        <v>1718</v>
      </c>
      <c r="CA101" s="151">
        <v>3497</v>
      </c>
      <c r="CB101" s="151" t="s">
        <v>1718</v>
      </c>
      <c r="CD101" s="155">
        <f t="shared" si="32"/>
        <v>32.5</v>
      </c>
      <c r="CE101" s="156">
        <f t="shared" si="33"/>
        <v>25.77</v>
      </c>
      <c r="CG101" s="150">
        <v>32.5</v>
      </c>
      <c r="CH101" s="151" t="s">
        <v>593</v>
      </c>
      <c r="CI101" s="152">
        <v>1400</v>
      </c>
      <c r="CJ101" s="152">
        <v>1.2809999999999999</v>
      </c>
      <c r="CK101" s="151">
        <v>22.71</v>
      </c>
      <c r="CL101" s="151" t="s">
        <v>1675</v>
      </c>
      <c r="CM101" s="151">
        <v>6631</v>
      </c>
      <c r="CN101" s="151" t="s">
        <v>1718</v>
      </c>
      <c r="CO101" s="151">
        <v>3697</v>
      </c>
      <c r="CP101" s="151" t="s">
        <v>1718</v>
      </c>
      <c r="CR101" s="155">
        <f t="shared" si="21"/>
        <v>32.5</v>
      </c>
      <c r="CS101" s="156">
        <f t="shared" si="34"/>
        <v>22.71</v>
      </c>
      <c r="CU101" s="151">
        <v>32.5</v>
      </c>
      <c r="CV101" s="152" t="s">
        <v>593</v>
      </c>
      <c r="CW101" s="152">
        <v>3661</v>
      </c>
      <c r="CX101" s="152">
        <v>6.8680000000000003</v>
      </c>
      <c r="CY101" s="151">
        <v>12.83</v>
      </c>
      <c r="CZ101" s="151" t="s">
        <v>1675</v>
      </c>
      <c r="DA101" s="151">
        <v>3605</v>
      </c>
      <c r="DB101" s="151" t="s">
        <v>1718</v>
      </c>
      <c r="DC101" s="151">
        <v>3231</v>
      </c>
      <c r="DD101" t="s">
        <v>1718</v>
      </c>
      <c r="DF101" s="155">
        <f t="shared" si="35"/>
        <v>32.5</v>
      </c>
      <c r="DG101" s="156">
        <f t="shared" si="38"/>
        <v>12.83</v>
      </c>
      <c r="DI101" s="151">
        <v>32.5</v>
      </c>
      <c r="DJ101" s="152" t="s">
        <v>593</v>
      </c>
      <c r="DK101" s="152">
        <v>3526</v>
      </c>
      <c r="DL101" s="152">
        <v>6.6580000000000004</v>
      </c>
      <c r="DM101" s="151">
        <v>13.77</v>
      </c>
      <c r="DN101" s="151" t="s">
        <v>1675</v>
      </c>
      <c r="DO101" s="151">
        <v>3804</v>
      </c>
      <c r="DP101" s="151" t="s">
        <v>1718</v>
      </c>
      <c r="DQ101" s="151">
        <v>3401</v>
      </c>
      <c r="DR101" t="s">
        <v>1718</v>
      </c>
      <c r="DT101" s="155">
        <f t="shared" si="36"/>
        <v>32.5</v>
      </c>
      <c r="DU101" s="156">
        <f t="shared" si="39"/>
        <v>13.77</v>
      </c>
      <c r="DW101" s="401">
        <v>32.5</v>
      </c>
      <c r="DX101" s="401" t="s">
        <v>593</v>
      </c>
      <c r="DY101" s="402">
        <v>147.80000000000001</v>
      </c>
      <c r="DZ101" s="402">
        <v>8.5370000000000001E-2</v>
      </c>
      <c r="EA101" s="401">
        <v>129.16</v>
      </c>
      <c r="EB101" s="401" t="s">
        <v>1675</v>
      </c>
      <c r="EC101" s="401">
        <v>4.96</v>
      </c>
      <c r="ED101" s="401" t="s">
        <v>1675</v>
      </c>
      <c r="EE101" s="401">
        <v>1.21</v>
      </c>
      <c r="EF101" s="403" t="s">
        <v>1675</v>
      </c>
      <c r="EH101" s="155">
        <f t="shared" si="37"/>
        <v>32.5</v>
      </c>
      <c r="EI101" s="156">
        <f t="shared" si="40"/>
        <v>129.16</v>
      </c>
    </row>
    <row r="102" spans="1:139" x14ac:dyDescent="0.2">
      <c r="A102" s="150">
        <v>35</v>
      </c>
      <c r="B102" s="151" t="s">
        <v>593</v>
      </c>
      <c r="C102" s="152">
        <v>1524</v>
      </c>
      <c r="D102" s="152">
        <v>1.4330000000000001</v>
      </c>
      <c r="E102" s="151">
        <v>21.9</v>
      </c>
      <c r="F102" s="151" t="s">
        <v>1675</v>
      </c>
      <c r="G102" s="151">
        <v>6382</v>
      </c>
      <c r="H102" s="151" t="s">
        <v>1718</v>
      </c>
      <c r="I102" s="151">
        <v>3775</v>
      </c>
      <c r="J102" s="151" t="s">
        <v>1718</v>
      </c>
      <c r="L102" s="155">
        <f t="shared" si="22"/>
        <v>35</v>
      </c>
      <c r="M102" s="156">
        <f t="shared" si="23"/>
        <v>21.9</v>
      </c>
      <c r="N102" s="275"/>
      <c r="O102" s="150">
        <v>35</v>
      </c>
      <c r="P102" s="151" t="s">
        <v>593</v>
      </c>
      <c r="Q102" s="152">
        <v>1258</v>
      </c>
      <c r="R102" s="152">
        <v>1.046</v>
      </c>
      <c r="S102" s="151">
        <v>24.85</v>
      </c>
      <c r="T102" s="151" t="s">
        <v>1675</v>
      </c>
      <c r="U102" s="151">
        <v>7407</v>
      </c>
      <c r="V102" s="151" t="s">
        <v>1718</v>
      </c>
      <c r="W102" s="151">
        <v>3646</v>
      </c>
      <c r="X102" s="151" t="s">
        <v>1718</v>
      </c>
      <c r="Z102" s="155">
        <f t="shared" si="24"/>
        <v>35</v>
      </c>
      <c r="AA102" s="156">
        <f t="shared" si="25"/>
        <v>24.85</v>
      </c>
      <c r="AB102" s="275"/>
      <c r="AC102" s="150">
        <v>35</v>
      </c>
      <c r="AD102" s="151" t="s">
        <v>593</v>
      </c>
      <c r="AE102" s="152">
        <v>20.7</v>
      </c>
      <c r="AF102" s="152">
        <v>1.2540000000000001E-2</v>
      </c>
      <c r="AG102" s="151">
        <v>940.57</v>
      </c>
      <c r="AH102" s="151" t="s">
        <v>1675</v>
      </c>
      <c r="AI102" s="151">
        <v>37.32</v>
      </c>
      <c r="AJ102" s="151" t="s">
        <v>1675</v>
      </c>
      <c r="AK102" s="151">
        <v>11.12</v>
      </c>
      <c r="AL102" s="151" t="s">
        <v>1675</v>
      </c>
      <c r="AN102" s="155">
        <f t="shared" si="26"/>
        <v>35</v>
      </c>
      <c r="AO102" s="156">
        <f t="shared" si="27"/>
        <v>940.57</v>
      </c>
      <c r="AP102" s="275"/>
      <c r="AQ102" s="150">
        <v>35</v>
      </c>
      <c r="AR102" s="151" t="s">
        <v>593</v>
      </c>
      <c r="AS102" s="152">
        <v>1.66</v>
      </c>
      <c r="AT102" s="152">
        <v>8.8340000000000001E-4</v>
      </c>
      <c r="AU102" s="151">
        <v>11.58</v>
      </c>
      <c r="AV102" s="151" t="s">
        <v>1623</v>
      </c>
      <c r="AW102" s="151">
        <v>469.47</v>
      </c>
      <c r="AX102" s="151" t="s">
        <v>1675</v>
      </c>
      <c r="AY102" s="151">
        <v>258.95999999999998</v>
      </c>
      <c r="AZ102" s="151" t="s">
        <v>1675</v>
      </c>
      <c r="BB102" s="155">
        <f t="shared" si="28"/>
        <v>35</v>
      </c>
      <c r="BC102" s="156">
        <f t="shared" si="29"/>
        <v>11580</v>
      </c>
      <c r="BE102" s="150">
        <v>35</v>
      </c>
      <c r="BF102" s="151" t="s">
        <v>593</v>
      </c>
      <c r="BG102" s="152">
        <v>438.9</v>
      </c>
      <c r="BH102" s="152">
        <v>0.27879999999999999</v>
      </c>
      <c r="BI102" s="151">
        <v>55.11</v>
      </c>
      <c r="BJ102" s="151" t="s">
        <v>1675</v>
      </c>
      <c r="BK102" s="151">
        <v>1.88</v>
      </c>
      <c r="BL102" s="151" t="s">
        <v>1675</v>
      </c>
      <c r="BM102" s="151">
        <v>5263</v>
      </c>
      <c r="BN102" s="151" t="s">
        <v>1718</v>
      </c>
      <c r="BP102" s="155">
        <f t="shared" si="30"/>
        <v>35</v>
      </c>
      <c r="BQ102" s="156">
        <f t="shared" si="31"/>
        <v>55.11</v>
      </c>
      <c r="BS102" s="150">
        <v>35</v>
      </c>
      <c r="BT102" s="151" t="s">
        <v>593</v>
      </c>
      <c r="BU102" s="152">
        <v>1043</v>
      </c>
      <c r="BV102" s="152">
        <v>0.86</v>
      </c>
      <c r="BW102" s="151">
        <v>28.12</v>
      </c>
      <c r="BX102" s="151" t="s">
        <v>1675</v>
      </c>
      <c r="BY102" s="151">
        <v>8668</v>
      </c>
      <c r="BZ102" s="151" t="s">
        <v>1718</v>
      </c>
      <c r="CA102" s="151">
        <v>3613</v>
      </c>
      <c r="CB102" s="151" t="s">
        <v>1718</v>
      </c>
      <c r="CD102" s="155">
        <f t="shared" si="32"/>
        <v>35</v>
      </c>
      <c r="CE102" s="156">
        <f t="shared" si="33"/>
        <v>28.12</v>
      </c>
      <c r="CG102" s="150">
        <v>35</v>
      </c>
      <c r="CH102" s="151" t="s">
        <v>593</v>
      </c>
      <c r="CI102" s="152">
        <v>1354</v>
      </c>
      <c r="CJ102" s="152">
        <v>1.2010000000000001</v>
      </c>
      <c r="CK102" s="151">
        <v>24.52</v>
      </c>
      <c r="CL102" s="151" t="s">
        <v>1675</v>
      </c>
      <c r="CM102" s="151">
        <v>7119</v>
      </c>
      <c r="CN102" s="151" t="s">
        <v>1718</v>
      </c>
      <c r="CO102" s="151">
        <v>3776</v>
      </c>
      <c r="CP102" s="151" t="s">
        <v>1718</v>
      </c>
      <c r="CR102" s="155">
        <f t="shared" si="21"/>
        <v>35</v>
      </c>
      <c r="CS102" s="156">
        <f t="shared" si="34"/>
        <v>24.52</v>
      </c>
      <c r="CU102" s="151">
        <v>35</v>
      </c>
      <c r="CV102" s="152" t="s">
        <v>593</v>
      </c>
      <c r="CW102" s="152">
        <v>3643</v>
      </c>
      <c r="CX102" s="152">
        <v>6.452</v>
      </c>
      <c r="CY102" s="151">
        <v>13.51</v>
      </c>
      <c r="CZ102" s="151" t="s">
        <v>1675</v>
      </c>
      <c r="DA102" s="151">
        <v>3737</v>
      </c>
      <c r="DB102" s="151" t="s">
        <v>1718</v>
      </c>
      <c r="DC102" s="151">
        <v>3265</v>
      </c>
      <c r="DD102" t="s">
        <v>1718</v>
      </c>
      <c r="DF102" s="155">
        <f t="shared" si="35"/>
        <v>35</v>
      </c>
      <c r="DG102" s="156">
        <f t="shared" si="38"/>
        <v>13.51</v>
      </c>
      <c r="DI102" s="151">
        <v>35</v>
      </c>
      <c r="DJ102" s="152" t="s">
        <v>593</v>
      </c>
      <c r="DK102" s="152">
        <v>3502</v>
      </c>
      <c r="DL102" s="152">
        <v>6.2539999999999996</v>
      </c>
      <c r="DM102" s="151">
        <v>14.48</v>
      </c>
      <c r="DN102" s="151" t="s">
        <v>1675</v>
      </c>
      <c r="DO102" s="151">
        <v>3940</v>
      </c>
      <c r="DP102" s="151" t="s">
        <v>1718</v>
      </c>
      <c r="DQ102" s="151">
        <v>3436</v>
      </c>
      <c r="DR102" t="s">
        <v>1718</v>
      </c>
      <c r="DT102" s="155">
        <f t="shared" si="36"/>
        <v>35</v>
      </c>
      <c r="DU102" s="156">
        <f t="shared" si="39"/>
        <v>14.48</v>
      </c>
      <c r="DW102" s="401">
        <v>35</v>
      </c>
      <c r="DX102" s="401" t="s">
        <v>593</v>
      </c>
      <c r="DY102" s="402">
        <v>138.9</v>
      </c>
      <c r="DZ102" s="402">
        <v>7.9890000000000003E-2</v>
      </c>
      <c r="EA102" s="401">
        <v>146.6</v>
      </c>
      <c r="EB102" s="401" t="s">
        <v>1675</v>
      </c>
      <c r="EC102" s="401">
        <v>5.55</v>
      </c>
      <c r="ED102" s="401" t="s">
        <v>1675</v>
      </c>
      <c r="EE102" s="401">
        <v>1.35</v>
      </c>
      <c r="EF102" s="403" t="s">
        <v>1675</v>
      </c>
      <c r="EH102" s="155">
        <f t="shared" si="37"/>
        <v>35</v>
      </c>
      <c r="EI102" s="156">
        <f t="shared" si="40"/>
        <v>146.6</v>
      </c>
    </row>
    <row r="103" spans="1:139" x14ac:dyDescent="0.2">
      <c r="A103" s="150">
        <v>37.5</v>
      </c>
      <c r="B103" s="151" t="s">
        <v>593</v>
      </c>
      <c r="C103" s="152">
        <v>1474</v>
      </c>
      <c r="D103" s="152">
        <v>1.35</v>
      </c>
      <c r="E103" s="151">
        <v>23.57</v>
      </c>
      <c r="F103" s="151" t="s">
        <v>1675</v>
      </c>
      <c r="G103" s="151">
        <v>6812</v>
      </c>
      <c r="H103" s="151" t="s">
        <v>1718</v>
      </c>
      <c r="I103" s="151">
        <v>3844</v>
      </c>
      <c r="J103" s="151" t="s">
        <v>1718</v>
      </c>
      <c r="L103" s="155">
        <f t="shared" si="22"/>
        <v>37.5</v>
      </c>
      <c r="M103" s="156">
        <f t="shared" si="23"/>
        <v>23.57</v>
      </c>
      <c r="N103" s="275"/>
      <c r="O103" s="150">
        <v>37.5</v>
      </c>
      <c r="P103" s="151" t="s">
        <v>593</v>
      </c>
      <c r="Q103" s="152">
        <v>1225</v>
      </c>
      <c r="R103" s="152">
        <v>0.9849</v>
      </c>
      <c r="S103" s="151">
        <v>26.86</v>
      </c>
      <c r="T103" s="151" t="s">
        <v>1675</v>
      </c>
      <c r="U103" s="151">
        <v>7945</v>
      </c>
      <c r="V103" s="151" t="s">
        <v>1718</v>
      </c>
      <c r="W103" s="151">
        <v>3739</v>
      </c>
      <c r="X103" s="151" t="s">
        <v>1718</v>
      </c>
      <c r="Z103" s="155">
        <f t="shared" si="24"/>
        <v>37.5</v>
      </c>
      <c r="AA103" s="156">
        <f t="shared" si="25"/>
        <v>26.86</v>
      </c>
      <c r="AB103" s="275"/>
      <c r="AC103" s="150">
        <v>37.5</v>
      </c>
      <c r="AD103" s="151" t="s">
        <v>593</v>
      </c>
      <c r="AE103" s="152">
        <v>19.559999999999999</v>
      </c>
      <c r="AF103" s="152">
        <v>1.1780000000000001E-2</v>
      </c>
      <c r="AG103" s="151">
        <v>1.06</v>
      </c>
      <c r="AH103" s="151" t="s">
        <v>1623</v>
      </c>
      <c r="AI103" s="151">
        <v>41.33</v>
      </c>
      <c r="AJ103" s="151" t="s">
        <v>1675</v>
      </c>
      <c r="AK103" s="151">
        <v>12.53</v>
      </c>
      <c r="AL103" s="151" t="s">
        <v>1675</v>
      </c>
      <c r="AN103" s="155">
        <f t="shared" si="26"/>
        <v>37.5</v>
      </c>
      <c r="AO103" s="156">
        <f t="shared" si="27"/>
        <v>1060</v>
      </c>
      <c r="AP103" s="275"/>
      <c r="AQ103" s="150">
        <v>37.5</v>
      </c>
      <c r="AR103" s="151" t="s">
        <v>593</v>
      </c>
      <c r="AS103" s="152">
        <v>1.569</v>
      </c>
      <c r="AT103" s="152">
        <v>8.2930000000000005E-4</v>
      </c>
      <c r="AU103" s="151">
        <v>13.13</v>
      </c>
      <c r="AV103" s="151" t="s">
        <v>1623</v>
      </c>
      <c r="AW103" s="151">
        <v>520.27</v>
      </c>
      <c r="AX103" s="151" t="s">
        <v>1675</v>
      </c>
      <c r="AY103" s="151">
        <v>292.69</v>
      </c>
      <c r="AZ103" s="151" t="s">
        <v>1675</v>
      </c>
      <c r="BB103" s="155">
        <f t="shared" si="28"/>
        <v>37.5</v>
      </c>
      <c r="BC103" s="156">
        <f t="shared" si="29"/>
        <v>13130</v>
      </c>
      <c r="BE103" s="150">
        <v>37.5</v>
      </c>
      <c r="BF103" s="151" t="s">
        <v>593</v>
      </c>
      <c r="BG103" s="152">
        <v>417.5</v>
      </c>
      <c r="BH103" s="152">
        <v>0.26229999999999998</v>
      </c>
      <c r="BI103" s="151">
        <v>60.95</v>
      </c>
      <c r="BJ103" s="151" t="s">
        <v>1675</v>
      </c>
      <c r="BK103" s="151">
        <v>2.0499999999999998</v>
      </c>
      <c r="BL103" s="151" t="s">
        <v>1675</v>
      </c>
      <c r="BM103" s="151">
        <v>5620</v>
      </c>
      <c r="BN103" s="151" t="s">
        <v>1718</v>
      </c>
      <c r="BP103" s="155">
        <f t="shared" si="30"/>
        <v>37.5</v>
      </c>
      <c r="BQ103" s="156">
        <f t="shared" si="31"/>
        <v>60.95</v>
      </c>
      <c r="BS103" s="150">
        <v>37.5</v>
      </c>
      <c r="BT103" s="151" t="s">
        <v>593</v>
      </c>
      <c r="BU103" s="152">
        <v>1017</v>
      </c>
      <c r="BV103" s="152">
        <v>0.80969999999999998</v>
      </c>
      <c r="BW103" s="151">
        <v>30.54</v>
      </c>
      <c r="BX103" s="151" t="s">
        <v>1675</v>
      </c>
      <c r="BY103" s="151">
        <v>9333</v>
      </c>
      <c r="BZ103" s="151" t="s">
        <v>1718</v>
      </c>
      <c r="CA103" s="151">
        <v>3732</v>
      </c>
      <c r="CB103" s="151" t="s">
        <v>1718</v>
      </c>
      <c r="CD103" s="155">
        <f t="shared" si="32"/>
        <v>37.5</v>
      </c>
      <c r="CE103" s="156">
        <f t="shared" si="33"/>
        <v>30.54</v>
      </c>
      <c r="CG103" s="150">
        <v>37.5</v>
      </c>
      <c r="CH103" s="151" t="s">
        <v>593</v>
      </c>
      <c r="CI103" s="152">
        <v>1311</v>
      </c>
      <c r="CJ103" s="152">
        <v>1.131</v>
      </c>
      <c r="CK103" s="151">
        <v>26.4</v>
      </c>
      <c r="CL103" s="151" t="s">
        <v>1675</v>
      </c>
      <c r="CM103" s="151">
        <v>7606</v>
      </c>
      <c r="CN103" s="151" t="s">
        <v>1718</v>
      </c>
      <c r="CO103" s="151">
        <v>3857</v>
      </c>
      <c r="CP103" s="151" t="s">
        <v>1718</v>
      </c>
      <c r="CR103" s="155">
        <f t="shared" si="21"/>
        <v>37.5</v>
      </c>
      <c r="CS103" s="156">
        <f t="shared" si="34"/>
        <v>26.4</v>
      </c>
      <c r="CU103" s="151">
        <v>37.5</v>
      </c>
      <c r="CV103" s="152" t="s">
        <v>593</v>
      </c>
      <c r="CW103" s="152">
        <v>3619</v>
      </c>
      <c r="CX103" s="152">
        <v>6.0860000000000003</v>
      </c>
      <c r="CY103" s="151">
        <v>14.2</v>
      </c>
      <c r="CZ103" s="151" t="s">
        <v>1675</v>
      </c>
      <c r="DA103" s="151">
        <v>3867</v>
      </c>
      <c r="DB103" s="151" t="s">
        <v>1718</v>
      </c>
      <c r="DC103" s="151">
        <v>3298</v>
      </c>
      <c r="DD103" t="s">
        <v>1718</v>
      </c>
      <c r="DF103" s="155">
        <f t="shared" si="35"/>
        <v>37.5</v>
      </c>
      <c r="DG103" s="156">
        <f t="shared" si="38"/>
        <v>14.2</v>
      </c>
      <c r="DI103" s="151">
        <v>37.5</v>
      </c>
      <c r="DJ103" s="152" t="s">
        <v>593</v>
      </c>
      <c r="DK103" s="152">
        <v>3471</v>
      </c>
      <c r="DL103" s="152">
        <v>5.9</v>
      </c>
      <c r="DM103" s="151">
        <v>15.2</v>
      </c>
      <c r="DN103" s="151" t="s">
        <v>1675</v>
      </c>
      <c r="DO103" s="151">
        <v>4073</v>
      </c>
      <c r="DP103" s="151" t="s">
        <v>1718</v>
      </c>
      <c r="DQ103" s="151">
        <v>3469</v>
      </c>
      <c r="DR103" t="s">
        <v>1718</v>
      </c>
      <c r="DT103" s="155">
        <f t="shared" si="36"/>
        <v>37.5</v>
      </c>
      <c r="DU103" s="156">
        <f t="shared" si="39"/>
        <v>15.2</v>
      </c>
      <c r="DW103" s="401">
        <v>37.5</v>
      </c>
      <c r="DX103" s="401" t="s">
        <v>593</v>
      </c>
      <c r="DY103" s="402">
        <v>131</v>
      </c>
      <c r="DZ103" s="402">
        <v>7.5109999999999996E-2</v>
      </c>
      <c r="EA103" s="401">
        <v>165.13</v>
      </c>
      <c r="EB103" s="401" t="s">
        <v>1675</v>
      </c>
      <c r="EC103" s="401">
        <v>6.15</v>
      </c>
      <c r="ED103" s="401" t="s">
        <v>1675</v>
      </c>
      <c r="EE103" s="401">
        <v>1.5</v>
      </c>
      <c r="EF103" s="403" t="s">
        <v>1675</v>
      </c>
      <c r="EH103" s="155">
        <f t="shared" si="37"/>
        <v>37.5</v>
      </c>
      <c r="EI103" s="156">
        <f t="shared" si="40"/>
        <v>165.13</v>
      </c>
    </row>
    <row r="104" spans="1:139" x14ac:dyDescent="0.2">
      <c r="A104" s="150">
        <v>40</v>
      </c>
      <c r="B104" s="151" t="s">
        <v>593</v>
      </c>
      <c r="C104" s="152">
        <v>1427</v>
      </c>
      <c r="D104" s="152">
        <v>1.276</v>
      </c>
      <c r="E104" s="151">
        <v>25.29</v>
      </c>
      <c r="F104" s="151" t="s">
        <v>1675</v>
      </c>
      <c r="G104" s="151">
        <v>7243</v>
      </c>
      <c r="H104" s="151" t="s">
        <v>1718</v>
      </c>
      <c r="I104" s="151">
        <v>3915</v>
      </c>
      <c r="J104" s="151" t="s">
        <v>1718</v>
      </c>
      <c r="L104" s="155">
        <f t="shared" si="22"/>
        <v>40</v>
      </c>
      <c r="M104" s="156">
        <f t="shared" si="23"/>
        <v>25.29</v>
      </c>
      <c r="N104" s="275"/>
      <c r="O104" s="150">
        <v>40</v>
      </c>
      <c r="P104" s="151" t="s">
        <v>593</v>
      </c>
      <c r="Q104" s="152">
        <v>1198</v>
      </c>
      <c r="R104" s="152">
        <v>0.93089999999999995</v>
      </c>
      <c r="S104" s="151">
        <v>28.92</v>
      </c>
      <c r="T104" s="151" t="s">
        <v>1675</v>
      </c>
      <c r="U104" s="151">
        <v>8472</v>
      </c>
      <c r="V104" s="151" t="s">
        <v>1718</v>
      </c>
      <c r="W104" s="151">
        <v>3835</v>
      </c>
      <c r="X104" s="151" t="s">
        <v>1718</v>
      </c>
      <c r="Z104" s="155">
        <f t="shared" si="24"/>
        <v>40</v>
      </c>
      <c r="AA104" s="156">
        <f t="shared" si="25"/>
        <v>28.92</v>
      </c>
      <c r="AB104" s="275"/>
      <c r="AC104" s="150">
        <v>40</v>
      </c>
      <c r="AD104" s="151" t="s">
        <v>593</v>
      </c>
      <c r="AE104" s="152">
        <v>18.55</v>
      </c>
      <c r="AF104" s="152">
        <v>1.111E-2</v>
      </c>
      <c r="AG104" s="151">
        <v>1.2</v>
      </c>
      <c r="AH104" s="151" t="s">
        <v>1623</v>
      </c>
      <c r="AI104" s="151">
        <v>45.4</v>
      </c>
      <c r="AJ104" s="151" t="s">
        <v>1675</v>
      </c>
      <c r="AK104" s="151">
        <v>14.03</v>
      </c>
      <c r="AL104" s="151" t="s">
        <v>1675</v>
      </c>
      <c r="AN104" s="155">
        <f t="shared" si="26"/>
        <v>40</v>
      </c>
      <c r="AO104" s="156">
        <f t="shared" si="27"/>
        <v>1200</v>
      </c>
      <c r="AP104" s="275"/>
      <c r="AQ104" s="150">
        <v>40</v>
      </c>
      <c r="AR104" s="151" t="s">
        <v>593</v>
      </c>
      <c r="AS104" s="152">
        <v>1.4890000000000001</v>
      </c>
      <c r="AT104" s="152">
        <v>7.8169999999999997E-4</v>
      </c>
      <c r="AU104" s="151">
        <v>14.76</v>
      </c>
      <c r="AV104" s="151" t="s">
        <v>1623</v>
      </c>
      <c r="AW104" s="151">
        <v>571.74</v>
      </c>
      <c r="AX104" s="151" t="s">
        <v>1675</v>
      </c>
      <c r="AY104" s="151">
        <v>328.19</v>
      </c>
      <c r="AZ104" s="151" t="s">
        <v>1675</v>
      </c>
      <c r="BB104" s="155">
        <f t="shared" si="28"/>
        <v>40</v>
      </c>
      <c r="BC104" s="156">
        <f t="shared" si="29"/>
        <v>14760</v>
      </c>
      <c r="BE104" s="150">
        <v>40</v>
      </c>
      <c r="BF104" s="151" t="s">
        <v>593</v>
      </c>
      <c r="BG104" s="152">
        <v>398.3</v>
      </c>
      <c r="BH104" s="152">
        <v>0.2477</v>
      </c>
      <c r="BI104" s="151">
        <v>67.069999999999993</v>
      </c>
      <c r="BJ104" s="151" t="s">
        <v>1675</v>
      </c>
      <c r="BK104" s="151">
        <v>2.23</v>
      </c>
      <c r="BL104" s="151" t="s">
        <v>1675</v>
      </c>
      <c r="BM104" s="151">
        <v>5996</v>
      </c>
      <c r="BN104" s="151" t="s">
        <v>1718</v>
      </c>
      <c r="BP104" s="155">
        <f t="shared" si="30"/>
        <v>40</v>
      </c>
      <c r="BQ104" s="156">
        <f t="shared" si="31"/>
        <v>67.069999999999993</v>
      </c>
      <c r="BS104" s="150">
        <v>40</v>
      </c>
      <c r="BT104" s="151" t="s">
        <v>593</v>
      </c>
      <c r="BU104" s="152">
        <v>995.4</v>
      </c>
      <c r="BV104" s="152">
        <v>0.76529999999999998</v>
      </c>
      <c r="BW104" s="151">
        <v>33.03</v>
      </c>
      <c r="BX104" s="151" t="s">
        <v>1675</v>
      </c>
      <c r="BY104" s="151">
        <v>9983</v>
      </c>
      <c r="BZ104" s="151" t="s">
        <v>1718</v>
      </c>
      <c r="CA104" s="151">
        <v>3854</v>
      </c>
      <c r="CB104" s="151" t="s">
        <v>1718</v>
      </c>
      <c r="CD104" s="155">
        <f t="shared" si="32"/>
        <v>40</v>
      </c>
      <c r="CE104" s="156">
        <f t="shared" si="33"/>
        <v>33.03</v>
      </c>
      <c r="CG104" s="150">
        <v>40</v>
      </c>
      <c r="CH104" s="151" t="s">
        <v>593</v>
      </c>
      <c r="CI104" s="152">
        <v>1270</v>
      </c>
      <c r="CJ104" s="152">
        <v>1.07</v>
      </c>
      <c r="CK104" s="151">
        <v>28.33</v>
      </c>
      <c r="CL104" s="151" t="s">
        <v>1675</v>
      </c>
      <c r="CM104" s="151">
        <v>8092</v>
      </c>
      <c r="CN104" s="151" t="s">
        <v>1718</v>
      </c>
      <c r="CO104" s="151">
        <v>3941</v>
      </c>
      <c r="CP104" s="151" t="s">
        <v>1718</v>
      </c>
      <c r="CR104" s="155">
        <f t="shared" si="21"/>
        <v>40</v>
      </c>
      <c r="CS104" s="156">
        <f t="shared" si="34"/>
        <v>28.33</v>
      </c>
      <c r="CU104" s="151">
        <v>40</v>
      </c>
      <c r="CV104" s="152" t="s">
        <v>593</v>
      </c>
      <c r="CW104" s="152">
        <v>3590</v>
      </c>
      <c r="CX104" s="152">
        <v>5.7619999999999996</v>
      </c>
      <c r="CY104" s="151">
        <v>14.89</v>
      </c>
      <c r="CZ104" s="151" t="s">
        <v>1675</v>
      </c>
      <c r="DA104" s="151">
        <v>3994</v>
      </c>
      <c r="DB104" s="151" t="s">
        <v>1718</v>
      </c>
      <c r="DC104" s="151">
        <v>3330</v>
      </c>
      <c r="DD104" t="s">
        <v>1718</v>
      </c>
      <c r="DF104" s="155">
        <f t="shared" si="35"/>
        <v>40</v>
      </c>
      <c r="DG104" s="156">
        <f t="shared" si="38"/>
        <v>14.89</v>
      </c>
      <c r="DI104" s="151">
        <v>40</v>
      </c>
      <c r="DJ104" s="152" t="s">
        <v>593</v>
      </c>
      <c r="DK104" s="152">
        <v>3435</v>
      </c>
      <c r="DL104" s="152">
        <v>5.5860000000000003</v>
      </c>
      <c r="DM104" s="151">
        <v>15.92</v>
      </c>
      <c r="DN104" s="151" t="s">
        <v>1675</v>
      </c>
      <c r="DO104" s="151">
        <v>4204</v>
      </c>
      <c r="DP104" s="151" t="s">
        <v>1718</v>
      </c>
      <c r="DQ104" s="151">
        <v>3502</v>
      </c>
      <c r="DR104" t="s">
        <v>1718</v>
      </c>
      <c r="DT104" s="155">
        <f t="shared" si="36"/>
        <v>40</v>
      </c>
      <c r="DU104" s="156">
        <f t="shared" si="39"/>
        <v>15.92</v>
      </c>
      <c r="DW104" s="401">
        <v>40</v>
      </c>
      <c r="DX104" s="401" t="s">
        <v>593</v>
      </c>
      <c r="DY104" s="402">
        <v>124</v>
      </c>
      <c r="DZ104" s="402">
        <v>7.0900000000000005E-2</v>
      </c>
      <c r="EA104" s="401">
        <v>184.73</v>
      </c>
      <c r="EB104" s="401" t="s">
        <v>1675</v>
      </c>
      <c r="EC104" s="401">
        <v>6.75</v>
      </c>
      <c r="ED104" s="401" t="s">
        <v>1675</v>
      </c>
      <c r="EE104" s="401">
        <v>1.66</v>
      </c>
      <c r="EF104" s="403" t="s">
        <v>1675</v>
      </c>
      <c r="EH104" s="155">
        <f t="shared" si="37"/>
        <v>40</v>
      </c>
      <c r="EI104" s="156">
        <f t="shared" si="40"/>
        <v>184.73</v>
      </c>
    </row>
    <row r="105" spans="1:139" x14ac:dyDescent="0.2">
      <c r="A105" s="150">
        <v>45</v>
      </c>
      <c r="B105" s="151" t="s">
        <v>593</v>
      </c>
      <c r="C105" s="152">
        <v>1362</v>
      </c>
      <c r="D105" s="152">
        <v>1.1519999999999999</v>
      </c>
      <c r="E105" s="151">
        <v>28.87</v>
      </c>
      <c r="F105" s="151" t="s">
        <v>1675</v>
      </c>
      <c r="G105" s="151">
        <v>8857</v>
      </c>
      <c r="H105" s="151" t="s">
        <v>1718</v>
      </c>
      <c r="I105" s="151">
        <v>4063</v>
      </c>
      <c r="J105" s="151" t="s">
        <v>1718</v>
      </c>
      <c r="L105" s="155">
        <f t="shared" si="22"/>
        <v>45</v>
      </c>
      <c r="M105" s="156">
        <f t="shared" si="23"/>
        <v>28.87</v>
      </c>
      <c r="N105" s="275"/>
      <c r="O105" s="150">
        <v>45</v>
      </c>
      <c r="P105" s="151" t="s">
        <v>593</v>
      </c>
      <c r="Q105" s="152">
        <v>1133</v>
      </c>
      <c r="R105" s="152">
        <v>0.83979999999999999</v>
      </c>
      <c r="S105" s="151">
        <v>33.21</v>
      </c>
      <c r="T105" s="151" t="s">
        <v>1675</v>
      </c>
      <c r="U105" s="151">
        <v>1.04</v>
      </c>
      <c r="V105" s="151" t="s">
        <v>1675</v>
      </c>
      <c r="W105" s="151">
        <v>4035</v>
      </c>
      <c r="X105" s="151" t="s">
        <v>1718</v>
      </c>
      <c r="Z105" s="155">
        <f t="shared" si="24"/>
        <v>45</v>
      </c>
      <c r="AA105" s="156">
        <f t="shared" si="25"/>
        <v>33.21</v>
      </c>
      <c r="AB105" s="275"/>
      <c r="AC105" s="150">
        <v>45</v>
      </c>
      <c r="AD105" s="151" t="s">
        <v>593</v>
      </c>
      <c r="AE105" s="152">
        <v>16.84</v>
      </c>
      <c r="AF105" s="152">
        <v>9.9869999999999994E-3</v>
      </c>
      <c r="AG105" s="151">
        <v>1.48</v>
      </c>
      <c r="AH105" s="151" t="s">
        <v>1623</v>
      </c>
      <c r="AI105" s="151">
        <v>60.68</v>
      </c>
      <c r="AJ105" s="151" t="s">
        <v>1675</v>
      </c>
      <c r="AK105" s="151">
        <v>17.239999999999998</v>
      </c>
      <c r="AL105" s="151" t="s">
        <v>1675</v>
      </c>
      <c r="AN105" s="155">
        <f t="shared" si="26"/>
        <v>45</v>
      </c>
      <c r="AO105" s="156">
        <f t="shared" si="27"/>
        <v>1480</v>
      </c>
      <c r="AP105" s="275"/>
      <c r="AQ105" s="150">
        <v>45</v>
      </c>
      <c r="AR105" s="151" t="s">
        <v>593</v>
      </c>
      <c r="AS105" s="152">
        <v>1.3540000000000001</v>
      </c>
      <c r="AT105" s="152">
        <v>7.0169999999999998E-4</v>
      </c>
      <c r="AU105" s="151">
        <v>18.28</v>
      </c>
      <c r="AV105" s="151" t="s">
        <v>1623</v>
      </c>
      <c r="AW105" s="151">
        <v>762.47</v>
      </c>
      <c r="AX105" s="151" t="s">
        <v>1675</v>
      </c>
      <c r="AY105" s="151">
        <v>404.39</v>
      </c>
      <c r="AZ105" s="151" t="s">
        <v>1675</v>
      </c>
      <c r="BB105" s="155">
        <f t="shared" si="28"/>
        <v>45</v>
      </c>
      <c r="BC105" s="156">
        <f t="shared" si="29"/>
        <v>18280</v>
      </c>
      <c r="BE105" s="150">
        <v>45</v>
      </c>
      <c r="BF105" s="151" t="s">
        <v>593</v>
      </c>
      <c r="BG105" s="152">
        <v>365.2</v>
      </c>
      <c r="BH105" s="152">
        <v>0.22309999999999999</v>
      </c>
      <c r="BI105" s="151">
        <v>80.180000000000007</v>
      </c>
      <c r="BJ105" s="151" t="s">
        <v>1675</v>
      </c>
      <c r="BK105" s="151">
        <v>2.91</v>
      </c>
      <c r="BL105" s="151" t="s">
        <v>1675</v>
      </c>
      <c r="BM105" s="151">
        <v>6805</v>
      </c>
      <c r="BN105" s="151" t="s">
        <v>1718</v>
      </c>
      <c r="BP105" s="155">
        <f t="shared" si="30"/>
        <v>45</v>
      </c>
      <c r="BQ105" s="156">
        <f t="shared" si="31"/>
        <v>80.180000000000007</v>
      </c>
      <c r="BS105" s="150">
        <v>45</v>
      </c>
      <c r="BT105" s="151" t="s">
        <v>593</v>
      </c>
      <c r="BU105" s="152">
        <v>943.2</v>
      </c>
      <c r="BV105" s="152">
        <v>0.69020000000000004</v>
      </c>
      <c r="BW105" s="151">
        <v>38.19</v>
      </c>
      <c r="BX105" s="151" t="s">
        <v>1675</v>
      </c>
      <c r="BY105" s="151">
        <v>1.24</v>
      </c>
      <c r="BZ105" s="151" t="s">
        <v>1675</v>
      </c>
      <c r="CA105" s="151">
        <v>4109</v>
      </c>
      <c r="CB105" s="151" t="s">
        <v>1718</v>
      </c>
      <c r="CD105" s="155">
        <f t="shared" si="32"/>
        <v>45</v>
      </c>
      <c r="CE105" s="156">
        <f t="shared" si="33"/>
        <v>38.19</v>
      </c>
      <c r="CG105" s="150">
        <v>45</v>
      </c>
      <c r="CH105" s="151" t="s">
        <v>593</v>
      </c>
      <c r="CI105" s="152">
        <v>1214</v>
      </c>
      <c r="CJ105" s="152">
        <v>0.96509999999999996</v>
      </c>
      <c r="CK105" s="151">
        <v>32.36</v>
      </c>
      <c r="CL105" s="151" t="s">
        <v>1675</v>
      </c>
      <c r="CM105" s="151">
        <v>9909</v>
      </c>
      <c r="CN105" s="151" t="s">
        <v>1718</v>
      </c>
      <c r="CO105" s="151">
        <v>4115</v>
      </c>
      <c r="CP105" s="151" t="s">
        <v>1718</v>
      </c>
      <c r="CR105" s="155">
        <f t="shared" ref="CR105:CR140" si="41">IF((CH105="GeV"),CG105*1000,IF((CH105="keV"),CG105*0.001,CG105))</f>
        <v>45</v>
      </c>
      <c r="CS105" s="156">
        <f t="shared" si="34"/>
        <v>32.36</v>
      </c>
      <c r="CU105" s="151">
        <v>45</v>
      </c>
      <c r="CV105" s="152" t="s">
        <v>593</v>
      </c>
      <c r="CW105" s="152">
        <v>3522</v>
      </c>
      <c r="CX105" s="152">
        <v>5.2140000000000004</v>
      </c>
      <c r="CY105" s="151">
        <v>16.29</v>
      </c>
      <c r="CZ105" s="151" t="s">
        <v>1675</v>
      </c>
      <c r="DA105" s="151">
        <v>4469</v>
      </c>
      <c r="DB105" s="151" t="s">
        <v>1718</v>
      </c>
      <c r="DC105" s="151">
        <v>3391</v>
      </c>
      <c r="DD105" t="s">
        <v>1718</v>
      </c>
      <c r="DF105" s="155">
        <f t="shared" si="35"/>
        <v>45</v>
      </c>
      <c r="DG105" s="156">
        <f t="shared" si="38"/>
        <v>16.29</v>
      </c>
      <c r="DI105" s="151">
        <v>45</v>
      </c>
      <c r="DJ105" s="152" t="s">
        <v>593</v>
      </c>
      <c r="DK105" s="152">
        <v>3355</v>
      </c>
      <c r="DL105" s="152">
        <v>5.0549999999999997</v>
      </c>
      <c r="DM105" s="151">
        <v>17.39</v>
      </c>
      <c r="DN105" s="151" t="s">
        <v>1675</v>
      </c>
      <c r="DO105" s="151">
        <v>4699</v>
      </c>
      <c r="DP105" s="151" t="s">
        <v>1718</v>
      </c>
      <c r="DQ105" s="151">
        <v>3565</v>
      </c>
      <c r="DR105" t="s">
        <v>1718</v>
      </c>
      <c r="DT105" s="155">
        <f t="shared" si="36"/>
        <v>45</v>
      </c>
      <c r="DU105" s="156">
        <f t="shared" si="39"/>
        <v>17.39</v>
      </c>
      <c r="DW105" s="401">
        <v>45</v>
      </c>
      <c r="DX105" s="401" t="s">
        <v>593</v>
      </c>
      <c r="DY105" s="402">
        <v>112.1</v>
      </c>
      <c r="DZ105" s="402">
        <v>6.3789999999999999E-2</v>
      </c>
      <c r="EA105" s="401">
        <v>227.14</v>
      </c>
      <c r="EB105" s="401" t="s">
        <v>1675</v>
      </c>
      <c r="EC105" s="401">
        <v>9.0500000000000007</v>
      </c>
      <c r="ED105" s="401" t="s">
        <v>1675</v>
      </c>
      <c r="EE105" s="401">
        <v>2.0099999999999998</v>
      </c>
      <c r="EF105" s="403" t="s">
        <v>1675</v>
      </c>
      <c r="EH105" s="155">
        <f t="shared" si="37"/>
        <v>45</v>
      </c>
      <c r="EI105" s="156">
        <f t="shared" si="40"/>
        <v>227.14</v>
      </c>
    </row>
    <row r="106" spans="1:139" x14ac:dyDescent="0.2">
      <c r="A106" s="150">
        <v>50</v>
      </c>
      <c r="B106" s="151" t="s">
        <v>593</v>
      </c>
      <c r="C106" s="152">
        <v>1304</v>
      </c>
      <c r="D106" s="152">
        <v>1.0509999999999999</v>
      </c>
      <c r="E106" s="151">
        <v>32.619999999999997</v>
      </c>
      <c r="F106" s="151" t="s">
        <v>1675</v>
      </c>
      <c r="G106" s="151">
        <v>1.03</v>
      </c>
      <c r="H106" s="151" t="s">
        <v>1675</v>
      </c>
      <c r="I106" s="151">
        <v>4219</v>
      </c>
      <c r="J106" s="151" t="s">
        <v>1718</v>
      </c>
      <c r="L106" s="155">
        <f t="shared" si="22"/>
        <v>50</v>
      </c>
      <c r="M106" s="156">
        <f t="shared" si="23"/>
        <v>32.619999999999997</v>
      </c>
      <c r="N106" s="275"/>
      <c r="O106" s="150">
        <v>50</v>
      </c>
      <c r="P106" s="151" t="s">
        <v>593</v>
      </c>
      <c r="Q106" s="152">
        <v>1067</v>
      </c>
      <c r="R106" s="152">
        <v>0.76580000000000004</v>
      </c>
      <c r="S106" s="151">
        <v>37.75</v>
      </c>
      <c r="T106" s="151" t="s">
        <v>1675</v>
      </c>
      <c r="U106" s="151">
        <v>1.23</v>
      </c>
      <c r="V106" s="151" t="s">
        <v>1675</v>
      </c>
      <c r="W106" s="151">
        <v>4247</v>
      </c>
      <c r="X106" s="151" t="s">
        <v>1718</v>
      </c>
      <c r="Z106" s="155">
        <f t="shared" si="24"/>
        <v>50</v>
      </c>
      <c r="AA106" s="156">
        <f t="shared" si="25"/>
        <v>37.75</v>
      </c>
      <c r="AB106" s="275"/>
      <c r="AC106" s="150">
        <v>50</v>
      </c>
      <c r="AD106" s="151" t="s">
        <v>593</v>
      </c>
      <c r="AE106" s="152">
        <v>15.44</v>
      </c>
      <c r="AF106" s="152">
        <v>9.0760000000000007E-3</v>
      </c>
      <c r="AG106" s="151">
        <v>1.79</v>
      </c>
      <c r="AH106" s="151" t="s">
        <v>1623</v>
      </c>
      <c r="AI106" s="151">
        <v>75.040000000000006</v>
      </c>
      <c r="AJ106" s="151" t="s">
        <v>1675</v>
      </c>
      <c r="AK106" s="151">
        <v>20.75</v>
      </c>
      <c r="AL106" s="151" t="s">
        <v>1675</v>
      </c>
      <c r="AN106" s="155">
        <f t="shared" si="26"/>
        <v>50</v>
      </c>
      <c r="AO106" s="156">
        <f t="shared" si="27"/>
        <v>1790</v>
      </c>
      <c r="AP106" s="275"/>
      <c r="AQ106" s="150">
        <v>50</v>
      </c>
      <c r="AR106" s="151" t="s">
        <v>593</v>
      </c>
      <c r="AS106" s="152">
        <v>1.244</v>
      </c>
      <c r="AT106" s="152">
        <v>6.3710000000000004E-4</v>
      </c>
      <c r="AU106" s="151">
        <v>22.12</v>
      </c>
      <c r="AV106" s="151" t="s">
        <v>1623</v>
      </c>
      <c r="AW106" s="151">
        <v>941.67</v>
      </c>
      <c r="AX106" s="151" t="s">
        <v>1675</v>
      </c>
      <c r="AY106" s="151">
        <v>487.3</v>
      </c>
      <c r="AZ106" s="151" t="s">
        <v>1675</v>
      </c>
      <c r="BB106" s="155">
        <f t="shared" si="28"/>
        <v>50</v>
      </c>
      <c r="BC106" s="156">
        <f t="shared" si="29"/>
        <v>22120</v>
      </c>
      <c r="BE106" s="150">
        <v>50</v>
      </c>
      <c r="BF106" s="151" t="s">
        <v>593</v>
      </c>
      <c r="BG106" s="152">
        <v>337.6</v>
      </c>
      <c r="BH106" s="152">
        <v>0.20319999999999999</v>
      </c>
      <c r="BI106" s="151">
        <v>94.42</v>
      </c>
      <c r="BJ106" s="151" t="s">
        <v>1675</v>
      </c>
      <c r="BK106" s="151">
        <v>3.54</v>
      </c>
      <c r="BL106" s="151" t="s">
        <v>1675</v>
      </c>
      <c r="BM106" s="151">
        <v>7688</v>
      </c>
      <c r="BN106" s="151" t="s">
        <v>1718</v>
      </c>
      <c r="BP106" s="155">
        <f t="shared" si="30"/>
        <v>50</v>
      </c>
      <c r="BQ106" s="156">
        <f t="shared" si="31"/>
        <v>94.42</v>
      </c>
      <c r="BS106" s="150">
        <v>50</v>
      </c>
      <c r="BT106" s="151" t="s">
        <v>593</v>
      </c>
      <c r="BU106" s="152">
        <v>890.3</v>
      </c>
      <c r="BV106" s="152">
        <v>0.62919999999999998</v>
      </c>
      <c r="BW106" s="151">
        <v>43.64</v>
      </c>
      <c r="BX106" s="151" t="s">
        <v>1675</v>
      </c>
      <c r="BY106" s="151">
        <v>1.46</v>
      </c>
      <c r="BZ106" s="151" t="s">
        <v>1675</v>
      </c>
      <c r="CA106" s="151">
        <v>4380</v>
      </c>
      <c r="CB106" s="151" t="s">
        <v>1718</v>
      </c>
      <c r="CD106" s="155">
        <f t="shared" si="32"/>
        <v>50</v>
      </c>
      <c r="CE106" s="156">
        <f t="shared" si="33"/>
        <v>43.64</v>
      </c>
      <c r="CG106" s="150">
        <v>50</v>
      </c>
      <c r="CH106" s="151" t="s">
        <v>593</v>
      </c>
      <c r="CI106" s="152">
        <v>1163</v>
      </c>
      <c r="CJ106" s="152">
        <v>0.88019999999999998</v>
      </c>
      <c r="CK106" s="151">
        <v>36.56</v>
      </c>
      <c r="CL106" s="151" t="s">
        <v>1675</v>
      </c>
      <c r="CM106" s="151">
        <v>1.1599999999999999</v>
      </c>
      <c r="CN106" s="151" t="s">
        <v>1675</v>
      </c>
      <c r="CO106" s="151">
        <v>4297</v>
      </c>
      <c r="CP106" s="151" t="s">
        <v>1718</v>
      </c>
      <c r="CR106" s="155">
        <f t="shared" si="41"/>
        <v>50</v>
      </c>
      <c r="CS106" s="156">
        <f t="shared" si="34"/>
        <v>36.56</v>
      </c>
      <c r="CU106" s="151">
        <v>50</v>
      </c>
      <c r="CV106" s="152" t="s">
        <v>593</v>
      </c>
      <c r="CW106" s="152">
        <v>3447</v>
      </c>
      <c r="CX106" s="152">
        <v>4.7670000000000003</v>
      </c>
      <c r="CY106" s="151">
        <v>17.73</v>
      </c>
      <c r="CZ106" s="151" t="s">
        <v>1675</v>
      </c>
      <c r="DA106" s="151">
        <v>4915</v>
      </c>
      <c r="DB106" s="151" t="s">
        <v>1718</v>
      </c>
      <c r="DC106" s="151">
        <v>3451</v>
      </c>
      <c r="DD106" t="s">
        <v>1718</v>
      </c>
      <c r="DF106" s="155">
        <f t="shared" si="35"/>
        <v>50</v>
      </c>
      <c r="DG106" s="156">
        <f t="shared" si="38"/>
        <v>17.73</v>
      </c>
      <c r="DI106" s="151">
        <v>50</v>
      </c>
      <c r="DJ106" s="152" t="s">
        <v>593</v>
      </c>
      <c r="DK106" s="152">
        <v>3269</v>
      </c>
      <c r="DL106" s="152">
        <v>4.6210000000000004</v>
      </c>
      <c r="DM106" s="151">
        <v>18.899999999999999</v>
      </c>
      <c r="DN106" s="151" t="s">
        <v>1675</v>
      </c>
      <c r="DO106" s="151">
        <v>5168</v>
      </c>
      <c r="DP106" s="151" t="s">
        <v>1718</v>
      </c>
      <c r="DQ106" s="151">
        <v>3626</v>
      </c>
      <c r="DR106" t="s">
        <v>1718</v>
      </c>
      <c r="DT106" s="155">
        <f t="shared" si="36"/>
        <v>50</v>
      </c>
      <c r="DU106" s="156">
        <f t="shared" si="39"/>
        <v>18.899999999999999</v>
      </c>
      <c r="DW106" s="401">
        <v>50</v>
      </c>
      <c r="DX106" s="401" t="s">
        <v>593</v>
      </c>
      <c r="DY106" s="402">
        <v>102.3</v>
      </c>
      <c r="DZ106" s="402">
        <v>5.8040000000000001E-2</v>
      </c>
      <c r="EA106" s="401">
        <v>273.81</v>
      </c>
      <c r="EB106" s="401" t="s">
        <v>1675</v>
      </c>
      <c r="EC106" s="401">
        <v>11.22</v>
      </c>
      <c r="ED106" s="401" t="s">
        <v>1675</v>
      </c>
      <c r="EE106" s="401">
        <v>2.39</v>
      </c>
      <c r="EF106" s="403" t="s">
        <v>1675</v>
      </c>
      <c r="EH106" s="155">
        <f t="shared" si="37"/>
        <v>50</v>
      </c>
      <c r="EI106" s="156">
        <f t="shared" si="40"/>
        <v>273.81</v>
      </c>
    </row>
    <row r="107" spans="1:139" x14ac:dyDescent="0.2">
      <c r="A107" s="153">
        <v>55</v>
      </c>
      <c r="B107" s="151" t="s">
        <v>593</v>
      </c>
      <c r="C107" s="152">
        <v>1236</v>
      </c>
      <c r="D107" s="152">
        <v>0.96689999999999998</v>
      </c>
      <c r="E107" s="151">
        <v>36.56</v>
      </c>
      <c r="F107" s="151" t="s">
        <v>1675</v>
      </c>
      <c r="G107" s="151">
        <v>1.18</v>
      </c>
      <c r="H107" s="151" t="s">
        <v>1675</v>
      </c>
      <c r="I107" s="151">
        <v>4385</v>
      </c>
      <c r="J107" s="151" t="s">
        <v>1718</v>
      </c>
      <c r="L107" s="155">
        <f t="shared" si="22"/>
        <v>55</v>
      </c>
      <c r="M107" s="156">
        <f t="shared" si="23"/>
        <v>36.56</v>
      </c>
      <c r="N107" s="275"/>
      <c r="O107" s="153">
        <v>55</v>
      </c>
      <c r="P107" s="151" t="s">
        <v>593</v>
      </c>
      <c r="Q107" s="152">
        <v>1009</v>
      </c>
      <c r="R107" s="152">
        <v>0.70430000000000004</v>
      </c>
      <c r="S107" s="151">
        <v>42.57</v>
      </c>
      <c r="T107" s="151" t="s">
        <v>1675</v>
      </c>
      <c r="U107" s="151">
        <v>1.41</v>
      </c>
      <c r="V107" s="151" t="s">
        <v>1675</v>
      </c>
      <c r="W107" s="151">
        <v>4474</v>
      </c>
      <c r="X107" s="151" t="s">
        <v>1718</v>
      </c>
      <c r="Z107" s="155">
        <f t="shared" si="24"/>
        <v>55</v>
      </c>
      <c r="AA107" s="156">
        <f t="shared" si="25"/>
        <v>42.57</v>
      </c>
      <c r="AB107" s="275"/>
      <c r="AC107" s="153">
        <v>55</v>
      </c>
      <c r="AD107" s="151" t="s">
        <v>593</v>
      </c>
      <c r="AE107" s="152">
        <v>14.28</v>
      </c>
      <c r="AF107" s="152">
        <v>8.3230000000000005E-3</v>
      </c>
      <c r="AG107" s="151">
        <v>2.13</v>
      </c>
      <c r="AH107" s="151" t="s">
        <v>1623</v>
      </c>
      <c r="AI107" s="151">
        <v>89.06</v>
      </c>
      <c r="AJ107" s="151" t="s">
        <v>1675</v>
      </c>
      <c r="AK107" s="151">
        <v>24.54</v>
      </c>
      <c r="AL107" s="151" t="s">
        <v>1675</v>
      </c>
      <c r="AN107" s="155">
        <f t="shared" si="26"/>
        <v>55</v>
      </c>
      <c r="AO107" s="156">
        <f t="shared" si="27"/>
        <v>2130</v>
      </c>
      <c r="AP107" s="275"/>
      <c r="AQ107" s="153">
        <v>55</v>
      </c>
      <c r="AR107" s="151" t="s">
        <v>593</v>
      </c>
      <c r="AS107" s="152">
        <v>1.153</v>
      </c>
      <c r="AT107" s="152">
        <v>5.8370000000000004E-4</v>
      </c>
      <c r="AU107" s="151">
        <v>26.29</v>
      </c>
      <c r="AV107" s="151" t="s">
        <v>1623</v>
      </c>
      <c r="AW107" s="151">
        <v>1.1200000000000001</v>
      </c>
      <c r="AX107" s="151" t="s">
        <v>1623</v>
      </c>
      <c r="AY107" s="151">
        <v>576.67999999999995</v>
      </c>
      <c r="AZ107" s="151" t="s">
        <v>1675</v>
      </c>
      <c r="BB107" s="155">
        <f t="shared" si="28"/>
        <v>55</v>
      </c>
      <c r="BC107" s="156">
        <f t="shared" si="29"/>
        <v>26290</v>
      </c>
      <c r="BE107" s="153">
        <v>55</v>
      </c>
      <c r="BF107" s="151" t="s">
        <v>593</v>
      </c>
      <c r="BG107" s="152">
        <v>314.10000000000002</v>
      </c>
      <c r="BH107" s="152">
        <v>0.1867</v>
      </c>
      <c r="BI107" s="151">
        <v>109.77</v>
      </c>
      <c r="BJ107" s="151" t="s">
        <v>1675</v>
      </c>
      <c r="BK107" s="151">
        <v>4.16</v>
      </c>
      <c r="BL107" s="151" t="s">
        <v>1675</v>
      </c>
      <c r="BM107" s="151">
        <v>8644</v>
      </c>
      <c r="BN107" s="151" t="s">
        <v>1718</v>
      </c>
      <c r="BP107" s="155">
        <f t="shared" si="30"/>
        <v>55</v>
      </c>
      <c r="BQ107" s="156">
        <f t="shared" si="31"/>
        <v>109.77</v>
      </c>
      <c r="BS107" s="153">
        <v>55</v>
      </c>
      <c r="BT107" s="151" t="s">
        <v>593</v>
      </c>
      <c r="BU107" s="152">
        <v>844.2</v>
      </c>
      <c r="BV107" s="152">
        <v>0.57869999999999999</v>
      </c>
      <c r="BW107" s="151">
        <v>49.4</v>
      </c>
      <c r="BX107" s="151" t="s">
        <v>1675</v>
      </c>
      <c r="BY107" s="151">
        <v>1.67</v>
      </c>
      <c r="BZ107" s="151" t="s">
        <v>1675</v>
      </c>
      <c r="CA107" s="151">
        <v>4667</v>
      </c>
      <c r="CB107" s="151" t="s">
        <v>1718</v>
      </c>
      <c r="CD107" s="155">
        <f t="shared" si="32"/>
        <v>55</v>
      </c>
      <c r="CE107" s="156">
        <f t="shared" si="33"/>
        <v>49.4</v>
      </c>
      <c r="CG107" s="153">
        <v>55</v>
      </c>
      <c r="CH107" s="151" t="s">
        <v>593</v>
      </c>
      <c r="CI107" s="152">
        <v>1103</v>
      </c>
      <c r="CJ107" s="152">
        <v>0.80969999999999998</v>
      </c>
      <c r="CK107" s="151">
        <v>40.98</v>
      </c>
      <c r="CL107" s="151" t="s">
        <v>1675</v>
      </c>
      <c r="CM107" s="151">
        <v>1.32</v>
      </c>
      <c r="CN107" s="151" t="s">
        <v>1675</v>
      </c>
      <c r="CO107" s="151">
        <v>4488</v>
      </c>
      <c r="CP107" s="151" t="s">
        <v>1718</v>
      </c>
      <c r="CR107" s="155">
        <f t="shared" si="41"/>
        <v>55</v>
      </c>
      <c r="CS107" s="156">
        <f t="shared" si="34"/>
        <v>40.98</v>
      </c>
      <c r="CU107" s="151">
        <v>55</v>
      </c>
      <c r="CV107" s="152" t="s">
        <v>593</v>
      </c>
      <c r="CW107" s="152">
        <v>3367</v>
      </c>
      <c r="CX107" s="152">
        <v>4.3940000000000001</v>
      </c>
      <c r="CY107" s="151">
        <v>19.190000000000001</v>
      </c>
      <c r="CZ107" s="151" t="s">
        <v>1675</v>
      </c>
      <c r="DA107" s="151">
        <v>5341</v>
      </c>
      <c r="DB107" s="151" t="s">
        <v>1718</v>
      </c>
      <c r="DC107" s="151">
        <v>3509</v>
      </c>
      <c r="DD107" t="s">
        <v>1718</v>
      </c>
      <c r="DF107" s="155">
        <f t="shared" si="35"/>
        <v>55</v>
      </c>
      <c r="DG107" s="156">
        <f t="shared" si="38"/>
        <v>19.190000000000001</v>
      </c>
      <c r="DI107" s="151">
        <v>55</v>
      </c>
      <c r="DJ107" s="152" t="s">
        <v>593</v>
      </c>
      <c r="DK107" s="152">
        <v>3181</v>
      </c>
      <c r="DL107" s="152">
        <v>4.26</v>
      </c>
      <c r="DM107" s="151">
        <v>20.45</v>
      </c>
      <c r="DN107" s="151" t="s">
        <v>1675</v>
      </c>
      <c r="DO107" s="151">
        <v>5620</v>
      </c>
      <c r="DP107" s="151" t="s">
        <v>1718</v>
      </c>
      <c r="DQ107" s="151">
        <v>3686</v>
      </c>
      <c r="DR107" t="s">
        <v>1718</v>
      </c>
      <c r="DT107" s="155">
        <f t="shared" si="36"/>
        <v>55</v>
      </c>
      <c r="DU107" s="156">
        <f t="shared" si="39"/>
        <v>20.45</v>
      </c>
      <c r="DW107" s="401">
        <v>55</v>
      </c>
      <c r="DX107" s="401" t="s">
        <v>593</v>
      </c>
      <c r="DY107" s="402">
        <v>94.17</v>
      </c>
      <c r="DZ107" s="402">
        <v>5.3269999999999998E-2</v>
      </c>
      <c r="EA107" s="401">
        <v>324.73</v>
      </c>
      <c r="EB107" s="401" t="s">
        <v>1675</v>
      </c>
      <c r="EC107" s="401">
        <v>13.36</v>
      </c>
      <c r="ED107" s="401" t="s">
        <v>1675</v>
      </c>
      <c r="EE107" s="401">
        <v>2.8</v>
      </c>
      <c r="EF107" s="403" t="s">
        <v>1675</v>
      </c>
      <c r="EH107" s="155">
        <f t="shared" si="37"/>
        <v>55</v>
      </c>
      <c r="EI107" s="156">
        <f t="shared" si="40"/>
        <v>324.73</v>
      </c>
    </row>
    <row r="108" spans="1:139" x14ac:dyDescent="0.2">
      <c r="A108" s="153">
        <v>60</v>
      </c>
      <c r="B108" s="151" t="s">
        <v>593</v>
      </c>
      <c r="C108" s="152">
        <v>1176</v>
      </c>
      <c r="D108" s="152">
        <v>0.89600000000000002</v>
      </c>
      <c r="E108" s="151">
        <v>40.71</v>
      </c>
      <c r="F108" s="151" t="s">
        <v>1675</v>
      </c>
      <c r="G108" s="151">
        <v>1.32</v>
      </c>
      <c r="H108" s="151" t="s">
        <v>1675</v>
      </c>
      <c r="I108" s="151">
        <v>4560</v>
      </c>
      <c r="J108" s="151" t="s">
        <v>1718</v>
      </c>
      <c r="L108" s="155">
        <f t="shared" si="22"/>
        <v>60</v>
      </c>
      <c r="M108" s="156">
        <f t="shared" si="23"/>
        <v>40.71</v>
      </c>
      <c r="N108" s="275"/>
      <c r="O108" s="153">
        <v>60</v>
      </c>
      <c r="P108" s="151" t="s">
        <v>593</v>
      </c>
      <c r="Q108" s="152">
        <v>959.1</v>
      </c>
      <c r="R108" s="152">
        <v>0.65249999999999997</v>
      </c>
      <c r="S108" s="151">
        <v>47.65</v>
      </c>
      <c r="T108" s="151" t="s">
        <v>1675</v>
      </c>
      <c r="U108" s="151">
        <v>1.58</v>
      </c>
      <c r="V108" s="151" t="s">
        <v>1675</v>
      </c>
      <c r="W108" s="151">
        <v>4714</v>
      </c>
      <c r="X108" s="151" t="s">
        <v>1718</v>
      </c>
      <c r="Z108" s="155">
        <f t="shared" si="24"/>
        <v>60</v>
      </c>
      <c r="AA108" s="156">
        <f t="shared" si="25"/>
        <v>47.65</v>
      </c>
      <c r="AB108" s="275"/>
      <c r="AC108" s="153">
        <v>60</v>
      </c>
      <c r="AD108" s="151" t="s">
        <v>593</v>
      </c>
      <c r="AE108" s="152">
        <v>13.29</v>
      </c>
      <c r="AF108" s="152">
        <v>7.6899999999999998E-3</v>
      </c>
      <c r="AG108" s="151">
        <v>2.4900000000000002</v>
      </c>
      <c r="AH108" s="151" t="s">
        <v>1623</v>
      </c>
      <c r="AI108" s="151">
        <v>103.01</v>
      </c>
      <c r="AJ108" s="151" t="s">
        <v>1675</v>
      </c>
      <c r="AK108" s="151">
        <v>28.62</v>
      </c>
      <c r="AL108" s="151" t="s">
        <v>1675</v>
      </c>
      <c r="AN108" s="155">
        <f t="shared" si="26"/>
        <v>60</v>
      </c>
      <c r="AO108" s="156">
        <f t="shared" si="27"/>
        <v>2490</v>
      </c>
      <c r="AP108" s="275"/>
      <c r="AQ108" s="153">
        <v>60</v>
      </c>
      <c r="AR108" s="151" t="s">
        <v>593</v>
      </c>
      <c r="AS108" s="152">
        <v>1.0760000000000001</v>
      </c>
      <c r="AT108" s="152">
        <v>5.3890000000000003E-4</v>
      </c>
      <c r="AU108" s="151">
        <v>30.78</v>
      </c>
      <c r="AV108" s="151" t="s">
        <v>1623</v>
      </c>
      <c r="AW108" s="151">
        <v>1.29</v>
      </c>
      <c r="AX108" s="151" t="s">
        <v>1623</v>
      </c>
      <c r="AY108" s="151">
        <v>672.34</v>
      </c>
      <c r="AZ108" s="151" t="s">
        <v>1675</v>
      </c>
      <c r="BB108" s="155">
        <f t="shared" si="28"/>
        <v>60</v>
      </c>
      <c r="BC108" s="156">
        <f t="shared" si="29"/>
        <v>30780</v>
      </c>
      <c r="BE108" s="153">
        <v>60</v>
      </c>
      <c r="BF108" s="151" t="s">
        <v>593</v>
      </c>
      <c r="BG108" s="152">
        <v>294</v>
      </c>
      <c r="BH108" s="152">
        <v>0.17280000000000001</v>
      </c>
      <c r="BI108" s="151">
        <v>126.22</v>
      </c>
      <c r="BJ108" s="151" t="s">
        <v>1675</v>
      </c>
      <c r="BK108" s="151">
        <v>4.7699999999999996</v>
      </c>
      <c r="BL108" s="151" t="s">
        <v>1675</v>
      </c>
      <c r="BM108" s="151">
        <v>9670</v>
      </c>
      <c r="BN108" s="151" t="s">
        <v>1718</v>
      </c>
      <c r="BP108" s="155">
        <f t="shared" si="30"/>
        <v>60</v>
      </c>
      <c r="BQ108" s="156">
        <f t="shared" si="31"/>
        <v>126.22</v>
      </c>
      <c r="BS108" s="153">
        <v>60</v>
      </c>
      <c r="BT108" s="151" t="s">
        <v>593</v>
      </c>
      <c r="BU108" s="152">
        <v>803.4</v>
      </c>
      <c r="BV108" s="152">
        <v>0.53600000000000003</v>
      </c>
      <c r="BW108" s="151">
        <v>55.47</v>
      </c>
      <c r="BX108" s="151" t="s">
        <v>1675</v>
      </c>
      <c r="BY108" s="151">
        <v>1.88</v>
      </c>
      <c r="BZ108" s="151" t="s">
        <v>1675</v>
      </c>
      <c r="CA108" s="151">
        <v>4970</v>
      </c>
      <c r="CB108" s="151" t="s">
        <v>1718</v>
      </c>
      <c r="CD108" s="155">
        <f t="shared" si="32"/>
        <v>60</v>
      </c>
      <c r="CE108" s="156">
        <f t="shared" si="33"/>
        <v>55.47</v>
      </c>
      <c r="CG108" s="153">
        <v>60</v>
      </c>
      <c r="CH108" s="151" t="s">
        <v>593</v>
      </c>
      <c r="CI108" s="152">
        <v>1049</v>
      </c>
      <c r="CJ108" s="152">
        <v>0.75019999999999998</v>
      </c>
      <c r="CK108" s="151">
        <v>45.62</v>
      </c>
      <c r="CL108" s="151" t="s">
        <v>1675</v>
      </c>
      <c r="CM108" s="151">
        <v>1.47</v>
      </c>
      <c r="CN108" s="151" t="s">
        <v>1675</v>
      </c>
      <c r="CO108" s="151">
        <v>4690</v>
      </c>
      <c r="CP108" s="151" t="s">
        <v>1718</v>
      </c>
      <c r="CR108" s="155">
        <f t="shared" si="41"/>
        <v>60</v>
      </c>
      <c r="CS108" s="156">
        <f t="shared" si="34"/>
        <v>45.62</v>
      </c>
      <c r="CU108" s="151">
        <v>60</v>
      </c>
      <c r="CV108" s="152" t="s">
        <v>593</v>
      </c>
      <c r="CW108" s="152">
        <v>3287</v>
      </c>
      <c r="CX108" s="152">
        <v>4.0789999999999997</v>
      </c>
      <c r="CY108" s="151">
        <v>20.69</v>
      </c>
      <c r="CZ108" s="151" t="s">
        <v>1675</v>
      </c>
      <c r="DA108" s="151">
        <v>5755</v>
      </c>
      <c r="DB108" s="151" t="s">
        <v>1718</v>
      </c>
      <c r="DC108" s="151">
        <v>3567</v>
      </c>
      <c r="DD108" t="s">
        <v>1718</v>
      </c>
      <c r="DF108" s="155">
        <f t="shared" si="35"/>
        <v>60</v>
      </c>
      <c r="DG108" s="156">
        <f t="shared" si="38"/>
        <v>20.69</v>
      </c>
      <c r="DI108" s="151">
        <v>60</v>
      </c>
      <c r="DJ108" s="152" t="s">
        <v>593</v>
      </c>
      <c r="DK108" s="152">
        <v>3094</v>
      </c>
      <c r="DL108" s="152">
        <v>3.9540000000000002</v>
      </c>
      <c r="DM108" s="151">
        <v>22.04</v>
      </c>
      <c r="DN108" s="151" t="s">
        <v>1675</v>
      </c>
      <c r="DO108" s="151">
        <v>6062</v>
      </c>
      <c r="DP108" s="151" t="s">
        <v>1718</v>
      </c>
      <c r="DQ108" s="151">
        <v>3746</v>
      </c>
      <c r="DR108" t="s">
        <v>1718</v>
      </c>
      <c r="DT108" s="155">
        <f t="shared" si="36"/>
        <v>60</v>
      </c>
      <c r="DU108" s="156">
        <f t="shared" si="39"/>
        <v>22.04</v>
      </c>
      <c r="DW108" s="401">
        <v>60</v>
      </c>
      <c r="DX108" s="401" t="s">
        <v>593</v>
      </c>
      <c r="DY108" s="402">
        <v>87.26</v>
      </c>
      <c r="DZ108" s="402">
        <v>4.9259999999999998E-2</v>
      </c>
      <c r="EA108" s="401">
        <v>379.88</v>
      </c>
      <c r="EB108" s="401" t="s">
        <v>1675</v>
      </c>
      <c r="EC108" s="401">
        <v>15.49</v>
      </c>
      <c r="ED108" s="401" t="s">
        <v>1675</v>
      </c>
      <c r="EE108" s="401">
        <v>3.25</v>
      </c>
      <c r="EF108" s="403" t="s">
        <v>1675</v>
      </c>
      <c r="EH108" s="155">
        <f t="shared" si="37"/>
        <v>60</v>
      </c>
      <c r="EI108" s="156">
        <f t="shared" si="40"/>
        <v>379.88</v>
      </c>
    </row>
    <row r="109" spans="1:139" x14ac:dyDescent="0.2">
      <c r="A109" s="153">
        <v>65</v>
      </c>
      <c r="B109" s="151" t="s">
        <v>593</v>
      </c>
      <c r="C109" s="152">
        <v>1122</v>
      </c>
      <c r="D109" s="152">
        <v>0.83520000000000005</v>
      </c>
      <c r="E109" s="151">
        <v>45.06</v>
      </c>
      <c r="F109" s="151" t="s">
        <v>1675</v>
      </c>
      <c r="G109" s="151">
        <v>1.45</v>
      </c>
      <c r="H109" s="151" t="s">
        <v>1675</v>
      </c>
      <c r="I109" s="151">
        <v>4746</v>
      </c>
      <c r="J109" s="151" t="s">
        <v>1718</v>
      </c>
      <c r="L109" s="155">
        <f t="shared" si="22"/>
        <v>65</v>
      </c>
      <c r="M109" s="156">
        <f t="shared" si="23"/>
        <v>45.06</v>
      </c>
      <c r="N109" s="275"/>
      <c r="O109" s="153">
        <v>65</v>
      </c>
      <c r="P109" s="151" t="s">
        <v>593</v>
      </c>
      <c r="Q109" s="152">
        <v>914.4</v>
      </c>
      <c r="R109" s="152">
        <v>0.60809999999999997</v>
      </c>
      <c r="S109" s="151">
        <v>52.99</v>
      </c>
      <c r="T109" s="151" t="s">
        <v>1675</v>
      </c>
      <c r="U109" s="151">
        <v>1.75</v>
      </c>
      <c r="V109" s="151" t="s">
        <v>1675</v>
      </c>
      <c r="W109" s="151">
        <v>4968</v>
      </c>
      <c r="X109" s="151" t="s">
        <v>1718</v>
      </c>
      <c r="Z109" s="155">
        <f t="shared" si="24"/>
        <v>65</v>
      </c>
      <c r="AA109" s="156">
        <f t="shared" si="25"/>
        <v>52.99</v>
      </c>
      <c r="AB109" s="275"/>
      <c r="AC109" s="153">
        <v>65</v>
      </c>
      <c r="AD109" s="151" t="s">
        <v>593</v>
      </c>
      <c r="AE109" s="152">
        <v>12.44</v>
      </c>
      <c r="AF109" s="152">
        <v>7.1500000000000001E-3</v>
      </c>
      <c r="AG109" s="151">
        <v>2.88</v>
      </c>
      <c r="AH109" s="151" t="s">
        <v>1623</v>
      </c>
      <c r="AI109" s="151">
        <v>116.99</v>
      </c>
      <c r="AJ109" s="151" t="s">
        <v>1675</v>
      </c>
      <c r="AK109" s="151">
        <v>32.97</v>
      </c>
      <c r="AL109" s="151" t="s">
        <v>1675</v>
      </c>
      <c r="AN109" s="155">
        <f t="shared" si="26"/>
        <v>65</v>
      </c>
      <c r="AO109" s="156">
        <f t="shared" si="27"/>
        <v>2880</v>
      </c>
      <c r="AP109" s="275"/>
      <c r="AQ109" s="153">
        <v>65</v>
      </c>
      <c r="AR109" s="151" t="s">
        <v>593</v>
      </c>
      <c r="AS109" s="152">
        <v>1.01</v>
      </c>
      <c r="AT109" s="152">
        <v>5.0060000000000002E-4</v>
      </c>
      <c r="AU109" s="151">
        <v>35.57</v>
      </c>
      <c r="AV109" s="151" t="s">
        <v>1623</v>
      </c>
      <c r="AW109" s="151">
        <v>1.46</v>
      </c>
      <c r="AX109" s="151" t="s">
        <v>1623</v>
      </c>
      <c r="AY109" s="151">
        <v>774.06</v>
      </c>
      <c r="AZ109" s="151" t="s">
        <v>1675</v>
      </c>
      <c r="BB109" s="155">
        <f t="shared" si="28"/>
        <v>65</v>
      </c>
      <c r="BC109" s="156">
        <f t="shared" si="29"/>
        <v>35570</v>
      </c>
      <c r="BE109" s="153">
        <v>65</v>
      </c>
      <c r="BF109" s="151" t="s">
        <v>593</v>
      </c>
      <c r="BG109" s="152">
        <v>276.39999999999998</v>
      </c>
      <c r="BH109" s="152">
        <v>0.16089999999999999</v>
      </c>
      <c r="BI109" s="151">
        <v>143.76</v>
      </c>
      <c r="BJ109" s="151" t="s">
        <v>1675</v>
      </c>
      <c r="BK109" s="151">
        <v>5.38</v>
      </c>
      <c r="BL109" s="151" t="s">
        <v>1675</v>
      </c>
      <c r="BM109" s="151">
        <v>1.08</v>
      </c>
      <c r="BN109" s="151" t="s">
        <v>1675</v>
      </c>
      <c r="BP109" s="155">
        <f t="shared" si="30"/>
        <v>65</v>
      </c>
      <c r="BQ109" s="156">
        <f t="shared" si="31"/>
        <v>143.76</v>
      </c>
      <c r="BS109" s="153">
        <v>65</v>
      </c>
      <c r="BT109" s="151" t="s">
        <v>593</v>
      </c>
      <c r="BU109" s="152">
        <v>766.9</v>
      </c>
      <c r="BV109" s="152">
        <v>0.49940000000000001</v>
      </c>
      <c r="BW109" s="151">
        <v>61.84</v>
      </c>
      <c r="BX109" s="151" t="s">
        <v>1675</v>
      </c>
      <c r="BY109" s="151">
        <v>2.09</v>
      </c>
      <c r="BZ109" s="151" t="s">
        <v>1675</v>
      </c>
      <c r="CA109" s="151">
        <v>5289</v>
      </c>
      <c r="CB109" s="151" t="s">
        <v>1718</v>
      </c>
      <c r="CD109" s="155">
        <f t="shared" si="32"/>
        <v>65</v>
      </c>
      <c r="CE109" s="156">
        <f t="shared" si="33"/>
        <v>61.84</v>
      </c>
      <c r="CG109" s="153">
        <v>65</v>
      </c>
      <c r="CH109" s="151" t="s">
        <v>593</v>
      </c>
      <c r="CI109" s="152">
        <v>1002</v>
      </c>
      <c r="CJ109" s="152">
        <v>0.69920000000000004</v>
      </c>
      <c r="CK109" s="151">
        <v>50.5</v>
      </c>
      <c r="CL109" s="151" t="s">
        <v>1675</v>
      </c>
      <c r="CM109" s="151">
        <v>1.63</v>
      </c>
      <c r="CN109" s="151" t="s">
        <v>1675</v>
      </c>
      <c r="CO109" s="151">
        <v>4903</v>
      </c>
      <c r="CP109" s="151" t="s">
        <v>1718</v>
      </c>
      <c r="CR109" s="155">
        <f t="shared" si="41"/>
        <v>65</v>
      </c>
      <c r="CS109" s="156">
        <f t="shared" si="34"/>
        <v>50.5</v>
      </c>
      <c r="CU109" s="151">
        <v>65</v>
      </c>
      <c r="CV109" s="152" t="s">
        <v>593</v>
      </c>
      <c r="CW109" s="152">
        <v>3208</v>
      </c>
      <c r="CX109" s="152">
        <v>3.8079999999999998</v>
      </c>
      <c r="CY109" s="151">
        <v>22.23</v>
      </c>
      <c r="CZ109" s="151" t="s">
        <v>1675</v>
      </c>
      <c r="DA109" s="151">
        <v>6159</v>
      </c>
      <c r="DB109" s="151" t="s">
        <v>1718</v>
      </c>
      <c r="DC109" s="151">
        <v>3625</v>
      </c>
      <c r="DD109" t="s">
        <v>1718</v>
      </c>
      <c r="DF109" s="155">
        <f t="shared" si="35"/>
        <v>65</v>
      </c>
      <c r="DG109" s="156">
        <f t="shared" si="38"/>
        <v>22.23</v>
      </c>
      <c r="DI109" s="151">
        <v>65</v>
      </c>
      <c r="DJ109" s="152" t="s">
        <v>593</v>
      </c>
      <c r="DK109" s="152">
        <v>3010</v>
      </c>
      <c r="DL109" s="152">
        <v>3.6920000000000002</v>
      </c>
      <c r="DM109" s="151">
        <v>23.67</v>
      </c>
      <c r="DN109" s="151" t="s">
        <v>1675</v>
      </c>
      <c r="DO109" s="151">
        <v>6495</v>
      </c>
      <c r="DP109" s="151" t="s">
        <v>1718</v>
      </c>
      <c r="DQ109" s="151">
        <v>3805</v>
      </c>
      <c r="DR109" t="s">
        <v>1718</v>
      </c>
      <c r="DT109" s="155">
        <f t="shared" si="36"/>
        <v>65</v>
      </c>
      <c r="DU109" s="156">
        <f t="shared" si="39"/>
        <v>23.67</v>
      </c>
      <c r="DW109" s="401">
        <v>65</v>
      </c>
      <c r="DX109" s="401" t="s">
        <v>593</v>
      </c>
      <c r="DY109" s="402">
        <v>81.319999999999993</v>
      </c>
      <c r="DZ109" s="402">
        <v>4.5839999999999999E-2</v>
      </c>
      <c r="EA109" s="401">
        <v>439.22</v>
      </c>
      <c r="EB109" s="401" t="s">
        <v>1675</v>
      </c>
      <c r="EC109" s="401">
        <v>17.64</v>
      </c>
      <c r="ED109" s="401" t="s">
        <v>1675</v>
      </c>
      <c r="EE109" s="401">
        <v>3.73</v>
      </c>
      <c r="EF109" s="403" t="s">
        <v>1675</v>
      </c>
      <c r="EH109" s="155">
        <f t="shared" si="37"/>
        <v>65</v>
      </c>
      <c r="EI109" s="156">
        <f t="shared" si="40"/>
        <v>439.22</v>
      </c>
    </row>
    <row r="110" spans="1:139" x14ac:dyDescent="0.2">
      <c r="A110" s="153">
        <v>70</v>
      </c>
      <c r="B110" s="151" t="s">
        <v>593</v>
      </c>
      <c r="C110" s="152">
        <v>1075</v>
      </c>
      <c r="D110" s="152">
        <v>0.78259999999999996</v>
      </c>
      <c r="E110" s="151">
        <v>49.61</v>
      </c>
      <c r="F110" s="151" t="s">
        <v>1675</v>
      </c>
      <c r="G110" s="151">
        <v>1.59</v>
      </c>
      <c r="H110" s="151" t="s">
        <v>1675</v>
      </c>
      <c r="I110" s="151">
        <v>4943</v>
      </c>
      <c r="J110" s="151" t="s">
        <v>1718</v>
      </c>
      <c r="L110" s="155">
        <f t="shared" si="22"/>
        <v>70</v>
      </c>
      <c r="M110" s="156">
        <f t="shared" si="23"/>
        <v>49.61</v>
      </c>
      <c r="N110" s="275"/>
      <c r="O110" s="153">
        <v>70</v>
      </c>
      <c r="P110" s="151" t="s">
        <v>593</v>
      </c>
      <c r="Q110" s="152">
        <v>874.4</v>
      </c>
      <c r="R110" s="152">
        <v>0.56969999999999998</v>
      </c>
      <c r="S110" s="151">
        <v>58.58</v>
      </c>
      <c r="T110" s="151" t="s">
        <v>1675</v>
      </c>
      <c r="U110" s="151">
        <v>1.92</v>
      </c>
      <c r="V110" s="151" t="s">
        <v>1675</v>
      </c>
      <c r="W110" s="151">
        <v>5236</v>
      </c>
      <c r="X110" s="151" t="s">
        <v>1718</v>
      </c>
      <c r="Z110" s="155">
        <f t="shared" si="24"/>
        <v>70</v>
      </c>
      <c r="AA110" s="156">
        <f t="shared" si="25"/>
        <v>58.58</v>
      </c>
      <c r="AB110" s="275"/>
      <c r="AC110" s="153">
        <v>70</v>
      </c>
      <c r="AD110" s="151" t="s">
        <v>593</v>
      </c>
      <c r="AE110" s="152">
        <v>11.7</v>
      </c>
      <c r="AF110" s="152">
        <v>6.6829999999999997E-3</v>
      </c>
      <c r="AG110" s="151">
        <v>3.29</v>
      </c>
      <c r="AH110" s="151" t="s">
        <v>1623</v>
      </c>
      <c r="AI110" s="151">
        <v>131.09</v>
      </c>
      <c r="AJ110" s="151" t="s">
        <v>1675</v>
      </c>
      <c r="AK110" s="151">
        <v>37.590000000000003</v>
      </c>
      <c r="AL110" s="151" t="s">
        <v>1675</v>
      </c>
      <c r="AN110" s="155">
        <f t="shared" si="26"/>
        <v>70</v>
      </c>
      <c r="AO110" s="156">
        <f t="shared" si="27"/>
        <v>3290</v>
      </c>
      <c r="AP110" s="275"/>
      <c r="AQ110" s="153">
        <v>70</v>
      </c>
      <c r="AR110" s="151" t="s">
        <v>593</v>
      </c>
      <c r="AS110" s="152">
        <v>0.95330000000000004</v>
      </c>
      <c r="AT110" s="152">
        <v>4.6759999999999998E-4</v>
      </c>
      <c r="AU110" s="151">
        <v>40.659999999999997</v>
      </c>
      <c r="AV110" s="151" t="s">
        <v>1623</v>
      </c>
      <c r="AW110" s="151">
        <v>1.64</v>
      </c>
      <c r="AX110" s="151" t="s">
        <v>1623</v>
      </c>
      <c r="AY110" s="151">
        <v>881.66</v>
      </c>
      <c r="AZ110" s="151" t="s">
        <v>1675</v>
      </c>
      <c r="BB110" s="155">
        <f t="shared" si="28"/>
        <v>70</v>
      </c>
      <c r="BC110" s="156">
        <f t="shared" si="29"/>
        <v>40660</v>
      </c>
      <c r="BE110" s="153">
        <v>70</v>
      </c>
      <c r="BF110" s="151" t="s">
        <v>593</v>
      </c>
      <c r="BG110" s="152">
        <v>260.89999999999998</v>
      </c>
      <c r="BH110" s="152">
        <v>0.15060000000000001</v>
      </c>
      <c r="BI110" s="151">
        <v>162.37</v>
      </c>
      <c r="BJ110" s="151" t="s">
        <v>1675</v>
      </c>
      <c r="BK110" s="151">
        <v>6</v>
      </c>
      <c r="BL110" s="151" t="s">
        <v>1675</v>
      </c>
      <c r="BM110" s="151">
        <v>1.19</v>
      </c>
      <c r="BN110" s="151" t="s">
        <v>1675</v>
      </c>
      <c r="BP110" s="155">
        <f t="shared" si="30"/>
        <v>70</v>
      </c>
      <c r="BQ110" s="156">
        <f t="shared" si="31"/>
        <v>162.37</v>
      </c>
      <c r="BS110" s="153">
        <v>70</v>
      </c>
      <c r="BT110" s="151" t="s">
        <v>593</v>
      </c>
      <c r="BU110" s="152">
        <v>733.9</v>
      </c>
      <c r="BV110" s="152">
        <v>0.46779999999999999</v>
      </c>
      <c r="BW110" s="151">
        <v>68.5</v>
      </c>
      <c r="BX110" s="151" t="s">
        <v>1675</v>
      </c>
      <c r="BY110" s="151">
        <v>2.29</v>
      </c>
      <c r="BZ110" s="151" t="s">
        <v>1675</v>
      </c>
      <c r="CA110" s="151">
        <v>5624</v>
      </c>
      <c r="CB110" s="151" t="s">
        <v>1718</v>
      </c>
      <c r="CD110" s="155">
        <f t="shared" si="32"/>
        <v>70</v>
      </c>
      <c r="CE110" s="156">
        <f t="shared" si="33"/>
        <v>68.5</v>
      </c>
      <c r="CG110" s="153">
        <v>70</v>
      </c>
      <c r="CH110" s="151" t="s">
        <v>593</v>
      </c>
      <c r="CI110" s="152">
        <v>958.7</v>
      </c>
      <c r="CJ110" s="152">
        <v>0.65510000000000002</v>
      </c>
      <c r="CK110" s="151">
        <v>55.6</v>
      </c>
      <c r="CL110" s="151" t="s">
        <v>1675</v>
      </c>
      <c r="CM110" s="151">
        <v>1.78</v>
      </c>
      <c r="CN110" s="151" t="s">
        <v>1675</v>
      </c>
      <c r="CO110" s="151">
        <v>5128</v>
      </c>
      <c r="CP110" s="151" t="s">
        <v>1718</v>
      </c>
      <c r="CR110" s="155">
        <f t="shared" si="41"/>
        <v>70</v>
      </c>
      <c r="CS110" s="156">
        <f t="shared" si="34"/>
        <v>55.6</v>
      </c>
      <c r="CU110" s="151">
        <v>70</v>
      </c>
      <c r="CV110" s="152" t="s">
        <v>593</v>
      </c>
      <c r="CW110" s="152">
        <v>3130</v>
      </c>
      <c r="CX110" s="152">
        <v>3.5739999999999998</v>
      </c>
      <c r="CY110" s="151">
        <v>23.81</v>
      </c>
      <c r="CZ110" s="151" t="s">
        <v>1675</v>
      </c>
      <c r="DA110" s="151">
        <v>6556</v>
      </c>
      <c r="DB110" s="151" t="s">
        <v>1718</v>
      </c>
      <c r="DC110" s="151">
        <v>3683</v>
      </c>
      <c r="DD110" t="s">
        <v>1718</v>
      </c>
      <c r="DF110" s="155">
        <f t="shared" si="35"/>
        <v>70</v>
      </c>
      <c r="DG110" s="156">
        <f t="shared" si="38"/>
        <v>23.81</v>
      </c>
      <c r="DI110" s="151">
        <v>70</v>
      </c>
      <c r="DJ110" s="152" t="s">
        <v>593</v>
      </c>
      <c r="DK110" s="152">
        <v>2930</v>
      </c>
      <c r="DL110" s="152">
        <v>3.464</v>
      </c>
      <c r="DM110" s="151">
        <v>25.36</v>
      </c>
      <c r="DN110" s="151" t="s">
        <v>1675</v>
      </c>
      <c r="DO110" s="151">
        <v>6923</v>
      </c>
      <c r="DP110" s="151" t="s">
        <v>1718</v>
      </c>
      <c r="DQ110" s="151">
        <v>3866</v>
      </c>
      <c r="DR110" t="s">
        <v>1718</v>
      </c>
      <c r="DT110" s="155">
        <f t="shared" si="36"/>
        <v>70</v>
      </c>
      <c r="DU110" s="156">
        <f t="shared" si="39"/>
        <v>25.36</v>
      </c>
      <c r="DW110" s="401">
        <v>70</v>
      </c>
      <c r="DX110" s="401" t="s">
        <v>593</v>
      </c>
      <c r="DY110" s="402">
        <v>76.17</v>
      </c>
      <c r="DZ110" s="402">
        <v>4.2880000000000001E-2</v>
      </c>
      <c r="EA110" s="401">
        <v>502.73</v>
      </c>
      <c r="EB110" s="401" t="s">
        <v>1675</v>
      </c>
      <c r="EC110" s="401">
        <v>19.82</v>
      </c>
      <c r="ED110" s="401" t="s">
        <v>1675</v>
      </c>
      <c r="EE110" s="401">
        <v>4.25</v>
      </c>
      <c r="EF110" s="403" t="s">
        <v>1675</v>
      </c>
      <c r="EH110" s="155">
        <f t="shared" si="37"/>
        <v>70</v>
      </c>
      <c r="EI110" s="156">
        <f t="shared" si="40"/>
        <v>502.73</v>
      </c>
    </row>
    <row r="111" spans="1:139" x14ac:dyDescent="0.2">
      <c r="A111" s="153">
        <v>80</v>
      </c>
      <c r="B111" s="151" t="s">
        <v>593</v>
      </c>
      <c r="C111" s="152">
        <v>992.8</v>
      </c>
      <c r="D111" s="152">
        <v>0.69589999999999996</v>
      </c>
      <c r="E111" s="151">
        <v>59.29</v>
      </c>
      <c r="F111" s="151" t="s">
        <v>1675</v>
      </c>
      <c r="G111" s="151">
        <v>2.1</v>
      </c>
      <c r="H111" s="151" t="s">
        <v>1675</v>
      </c>
      <c r="I111" s="151">
        <v>5368</v>
      </c>
      <c r="J111" s="151" t="s">
        <v>1718</v>
      </c>
      <c r="L111" s="155">
        <f t="shared" si="22"/>
        <v>80</v>
      </c>
      <c r="M111" s="156">
        <f t="shared" si="23"/>
        <v>59.29</v>
      </c>
      <c r="N111" s="275"/>
      <c r="O111" s="153">
        <v>80</v>
      </c>
      <c r="P111" s="151" t="s">
        <v>593</v>
      </c>
      <c r="Q111" s="152">
        <v>805.6</v>
      </c>
      <c r="R111" s="152">
        <v>0.50629999999999997</v>
      </c>
      <c r="S111" s="151">
        <v>70.489999999999995</v>
      </c>
      <c r="T111" s="151" t="s">
        <v>1675</v>
      </c>
      <c r="U111" s="151">
        <v>2.56</v>
      </c>
      <c r="V111" s="151" t="s">
        <v>1675</v>
      </c>
      <c r="W111" s="151">
        <v>5813</v>
      </c>
      <c r="X111" s="151" t="s">
        <v>1718</v>
      </c>
      <c r="Z111" s="155">
        <f t="shared" si="24"/>
        <v>80</v>
      </c>
      <c r="AA111" s="156">
        <f t="shared" si="25"/>
        <v>70.489999999999995</v>
      </c>
      <c r="AB111" s="275"/>
      <c r="AC111" s="153">
        <v>80</v>
      </c>
      <c r="AD111" s="151" t="s">
        <v>593</v>
      </c>
      <c r="AE111" s="152">
        <v>10.48</v>
      </c>
      <c r="AF111" s="152">
        <v>5.9170000000000004E-3</v>
      </c>
      <c r="AG111" s="151">
        <v>4.1900000000000004</v>
      </c>
      <c r="AH111" s="151" t="s">
        <v>1623</v>
      </c>
      <c r="AI111" s="151">
        <v>183.47</v>
      </c>
      <c r="AJ111" s="151" t="s">
        <v>1675</v>
      </c>
      <c r="AK111" s="151">
        <v>47.64</v>
      </c>
      <c r="AL111" s="151" t="s">
        <v>1675</v>
      </c>
      <c r="AN111" s="155">
        <f t="shared" si="26"/>
        <v>80</v>
      </c>
      <c r="AO111" s="156">
        <f t="shared" si="27"/>
        <v>4190</v>
      </c>
      <c r="AP111" s="275"/>
      <c r="AQ111" s="153">
        <v>80</v>
      </c>
      <c r="AR111" s="151" t="s">
        <v>593</v>
      </c>
      <c r="AS111" s="152">
        <v>0.85940000000000005</v>
      </c>
      <c r="AT111" s="152">
        <v>4.1360000000000002E-4</v>
      </c>
      <c r="AU111" s="151">
        <v>51.7</v>
      </c>
      <c r="AV111" s="151" t="s">
        <v>1623</v>
      </c>
      <c r="AW111" s="151">
        <v>2.27</v>
      </c>
      <c r="AX111" s="151" t="s">
        <v>1623</v>
      </c>
      <c r="AY111" s="151">
        <v>1.1100000000000001</v>
      </c>
      <c r="AZ111" s="151" t="s">
        <v>1623</v>
      </c>
      <c r="BB111" s="155">
        <f t="shared" si="28"/>
        <v>80</v>
      </c>
      <c r="BC111" s="156">
        <f t="shared" si="29"/>
        <v>51700</v>
      </c>
      <c r="BE111" s="153">
        <v>80</v>
      </c>
      <c r="BF111" s="151" t="s">
        <v>593</v>
      </c>
      <c r="BG111" s="152">
        <v>234.9</v>
      </c>
      <c r="BH111" s="152">
        <v>0.1336</v>
      </c>
      <c r="BI111" s="151">
        <v>202.75</v>
      </c>
      <c r="BJ111" s="151" t="s">
        <v>1675</v>
      </c>
      <c r="BK111" s="151">
        <v>8.2899999999999991</v>
      </c>
      <c r="BL111" s="151" t="s">
        <v>1675</v>
      </c>
      <c r="BM111" s="151">
        <v>1.45</v>
      </c>
      <c r="BN111" s="151" t="s">
        <v>1675</v>
      </c>
      <c r="BP111" s="155">
        <f t="shared" si="30"/>
        <v>80</v>
      </c>
      <c r="BQ111" s="156">
        <f t="shared" si="31"/>
        <v>202.75</v>
      </c>
      <c r="BS111" s="153">
        <v>80</v>
      </c>
      <c r="BT111" s="151" t="s">
        <v>593</v>
      </c>
      <c r="BU111" s="152">
        <v>676.4</v>
      </c>
      <c r="BV111" s="152">
        <v>0.41570000000000001</v>
      </c>
      <c r="BW111" s="151">
        <v>82.69</v>
      </c>
      <c r="BX111" s="151" t="s">
        <v>1675</v>
      </c>
      <c r="BY111" s="151">
        <v>3.05</v>
      </c>
      <c r="BZ111" s="151" t="s">
        <v>1675</v>
      </c>
      <c r="CA111" s="151">
        <v>6339</v>
      </c>
      <c r="CB111" s="151" t="s">
        <v>1718</v>
      </c>
      <c r="CD111" s="155">
        <f t="shared" si="32"/>
        <v>80</v>
      </c>
      <c r="CE111" s="156">
        <f t="shared" si="33"/>
        <v>82.69</v>
      </c>
      <c r="CG111" s="153">
        <v>80</v>
      </c>
      <c r="CH111" s="151" t="s">
        <v>593</v>
      </c>
      <c r="CI111" s="152">
        <v>885.1</v>
      </c>
      <c r="CJ111" s="152">
        <v>0.58240000000000003</v>
      </c>
      <c r="CK111" s="151">
        <v>66.45</v>
      </c>
      <c r="CL111" s="151" t="s">
        <v>1675</v>
      </c>
      <c r="CM111" s="151">
        <v>2.35</v>
      </c>
      <c r="CN111" s="151" t="s">
        <v>1675</v>
      </c>
      <c r="CO111" s="151">
        <v>5610</v>
      </c>
      <c r="CP111" s="151" t="s">
        <v>1718</v>
      </c>
      <c r="CR111" s="155">
        <f t="shared" si="41"/>
        <v>80</v>
      </c>
      <c r="CS111" s="156">
        <f t="shared" si="34"/>
        <v>66.45</v>
      </c>
      <c r="CU111" s="151">
        <v>80</v>
      </c>
      <c r="CV111" s="152" t="s">
        <v>593</v>
      </c>
      <c r="CW111" s="152">
        <v>3033</v>
      </c>
      <c r="CX111" s="152">
        <v>3.1850000000000001</v>
      </c>
      <c r="CY111" s="151">
        <v>27.05</v>
      </c>
      <c r="CZ111" s="151" t="s">
        <v>1675</v>
      </c>
      <c r="DA111" s="151">
        <v>8011</v>
      </c>
      <c r="DB111" s="151" t="s">
        <v>1718</v>
      </c>
      <c r="DC111" s="151">
        <v>3800</v>
      </c>
      <c r="DD111" t="s">
        <v>1718</v>
      </c>
      <c r="DF111" s="155">
        <f t="shared" si="35"/>
        <v>80</v>
      </c>
      <c r="DG111" s="156">
        <f t="shared" si="38"/>
        <v>27.05</v>
      </c>
      <c r="DI111" s="151">
        <v>80</v>
      </c>
      <c r="DJ111" s="152" t="s">
        <v>593</v>
      </c>
      <c r="DK111" s="152">
        <v>2781</v>
      </c>
      <c r="DL111" s="152">
        <v>3.0880000000000001</v>
      </c>
      <c r="DM111" s="151">
        <v>28.86</v>
      </c>
      <c r="DN111" s="151" t="s">
        <v>1675</v>
      </c>
      <c r="DO111" s="151">
        <v>8522</v>
      </c>
      <c r="DP111" s="151" t="s">
        <v>1718</v>
      </c>
      <c r="DQ111" s="151">
        <v>3988</v>
      </c>
      <c r="DR111" t="s">
        <v>1718</v>
      </c>
      <c r="DT111" s="155">
        <f t="shared" si="36"/>
        <v>80</v>
      </c>
      <c r="DU111" s="156">
        <f t="shared" si="39"/>
        <v>28.86</v>
      </c>
      <c r="DW111" s="401">
        <v>80</v>
      </c>
      <c r="DX111" s="401" t="s">
        <v>593</v>
      </c>
      <c r="DY111" s="402">
        <v>67.69</v>
      </c>
      <c r="DZ111" s="402">
        <v>3.8010000000000002E-2</v>
      </c>
      <c r="EA111" s="401">
        <v>641.97</v>
      </c>
      <c r="EB111" s="401" t="s">
        <v>1675</v>
      </c>
      <c r="EC111" s="401">
        <v>28</v>
      </c>
      <c r="ED111" s="401" t="s">
        <v>1675</v>
      </c>
      <c r="EE111" s="401">
        <v>5.39</v>
      </c>
      <c r="EF111" s="403" t="s">
        <v>1675</v>
      </c>
      <c r="EH111" s="155">
        <f t="shared" si="37"/>
        <v>80</v>
      </c>
      <c r="EI111" s="156">
        <f t="shared" si="40"/>
        <v>641.97</v>
      </c>
    </row>
    <row r="112" spans="1:139" x14ac:dyDescent="0.2">
      <c r="A112" s="153">
        <v>90</v>
      </c>
      <c r="B112" s="151" t="s">
        <v>593</v>
      </c>
      <c r="C112" s="152">
        <v>925</v>
      </c>
      <c r="D112" s="152">
        <v>0.62729999999999997</v>
      </c>
      <c r="E112" s="151">
        <v>69.72</v>
      </c>
      <c r="F112" s="151" t="s">
        <v>1675</v>
      </c>
      <c r="G112" s="151">
        <v>2.57</v>
      </c>
      <c r="H112" s="151" t="s">
        <v>1675</v>
      </c>
      <c r="I112" s="151">
        <v>5835</v>
      </c>
      <c r="J112" s="151" t="s">
        <v>1718</v>
      </c>
      <c r="L112" s="155">
        <f t="shared" si="22"/>
        <v>90</v>
      </c>
      <c r="M112" s="156">
        <f t="shared" si="23"/>
        <v>69.72</v>
      </c>
      <c r="N112" s="275"/>
      <c r="O112" s="153">
        <v>90</v>
      </c>
      <c r="P112" s="151" t="s">
        <v>593</v>
      </c>
      <c r="Q112" s="152">
        <v>748.2</v>
      </c>
      <c r="R112" s="152">
        <v>0.45619999999999999</v>
      </c>
      <c r="S112" s="151">
        <v>83.37</v>
      </c>
      <c r="T112" s="151" t="s">
        <v>1675</v>
      </c>
      <c r="U112" s="151">
        <v>3.15</v>
      </c>
      <c r="V112" s="151" t="s">
        <v>1675</v>
      </c>
      <c r="W112" s="151">
        <v>6444</v>
      </c>
      <c r="X112" s="151" t="s">
        <v>1718</v>
      </c>
      <c r="Z112" s="155">
        <f t="shared" si="24"/>
        <v>90</v>
      </c>
      <c r="AA112" s="156">
        <f t="shared" si="25"/>
        <v>83.37</v>
      </c>
      <c r="AB112" s="275"/>
      <c r="AC112" s="153">
        <v>90</v>
      </c>
      <c r="AD112" s="151" t="s">
        <v>593</v>
      </c>
      <c r="AE112" s="152">
        <v>9.5120000000000005</v>
      </c>
      <c r="AF112" s="152">
        <v>5.3140000000000001E-3</v>
      </c>
      <c r="AG112" s="151">
        <v>5.19</v>
      </c>
      <c r="AH112" s="151" t="s">
        <v>1623</v>
      </c>
      <c r="AI112" s="151">
        <v>232.27</v>
      </c>
      <c r="AJ112" s="151" t="s">
        <v>1675</v>
      </c>
      <c r="AK112" s="151">
        <v>58.72</v>
      </c>
      <c r="AL112" s="151" t="s">
        <v>1675</v>
      </c>
      <c r="AN112" s="155">
        <f t="shared" si="26"/>
        <v>90</v>
      </c>
      <c r="AO112" s="156">
        <f t="shared" si="27"/>
        <v>5190</v>
      </c>
      <c r="AP112" s="275"/>
      <c r="AQ112" s="153">
        <v>90</v>
      </c>
      <c r="AR112" s="151" t="s">
        <v>593</v>
      </c>
      <c r="AS112" s="152">
        <v>0.7853</v>
      </c>
      <c r="AT112" s="152">
        <v>3.7100000000000002E-4</v>
      </c>
      <c r="AU112" s="151">
        <v>63.86</v>
      </c>
      <c r="AV112" s="151" t="s">
        <v>1623</v>
      </c>
      <c r="AW112" s="151">
        <v>2.86</v>
      </c>
      <c r="AX112" s="151" t="s">
        <v>1623</v>
      </c>
      <c r="AY112" s="151">
        <v>1.37</v>
      </c>
      <c r="AZ112" s="151" t="s">
        <v>1623</v>
      </c>
      <c r="BB112" s="155">
        <f t="shared" si="28"/>
        <v>90</v>
      </c>
      <c r="BC112" s="156">
        <f t="shared" si="29"/>
        <v>63860</v>
      </c>
      <c r="BE112" s="153">
        <v>90</v>
      </c>
      <c r="BF112" s="151" t="s">
        <v>593</v>
      </c>
      <c r="BG112" s="152">
        <v>213.8</v>
      </c>
      <c r="BH112" s="152">
        <v>0.1203</v>
      </c>
      <c r="BI112" s="151">
        <v>247.37</v>
      </c>
      <c r="BJ112" s="151" t="s">
        <v>1675</v>
      </c>
      <c r="BK112" s="151">
        <v>10.43</v>
      </c>
      <c r="BL112" s="151" t="s">
        <v>1675</v>
      </c>
      <c r="BM112" s="151">
        <v>1.72</v>
      </c>
      <c r="BN112" s="151" t="s">
        <v>1675</v>
      </c>
      <c r="BP112" s="155">
        <f t="shared" si="30"/>
        <v>90</v>
      </c>
      <c r="BQ112" s="156">
        <f t="shared" si="31"/>
        <v>247.37</v>
      </c>
      <c r="BS112" s="153">
        <v>90</v>
      </c>
      <c r="BT112" s="151" t="s">
        <v>593</v>
      </c>
      <c r="BU112" s="152">
        <v>627.5</v>
      </c>
      <c r="BV112" s="152">
        <v>0.3745</v>
      </c>
      <c r="BW112" s="151">
        <v>98.04</v>
      </c>
      <c r="BX112" s="151" t="s">
        <v>1675</v>
      </c>
      <c r="BY112" s="151">
        <v>3.75</v>
      </c>
      <c r="BZ112" s="151" t="s">
        <v>1675</v>
      </c>
      <c r="CA112" s="151">
        <v>7115</v>
      </c>
      <c r="CB112" s="151" t="s">
        <v>1718</v>
      </c>
      <c r="CD112" s="155">
        <f t="shared" si="32"/>
        <v>90</v>
      </c>
      <c r="CE112" s="156">
        <f t="shared" si="33"/>
        <v>98.04</v>
      </c>
      <c r="CG112" s="153">
        <v>90</v>
      </c>
      <c r="CH112" s="151" t="s">
        <v>593</v>
      </c>
      <c r="CI112" s="152">
        <v>823.6</v>
      </c>
      <c r="CJ112" s="152">
        <v>0.52490000000000003</v>
      </c>
      <c r="CK112" s="151">
        <v>78.16</v>
      </c>
      <c r="CL112" s="151" t="s">
        <v>1675</v>
      </c>
      <c r="CM112" s="151">
        <v>2.88</v>
      </c>
      <c r="CN112" s="151" t="s">
        <v>1675</v>
      </c>
      <c r="CO112" s="151">
        <v>6137</v>
      </c>
      <c r="CP112" s="151" t="s">
        <v>1718</v>
      </c>
      <c r="CR112" s="155">
        <f t="shared" si="41"/>
        <v>90</v>
      </c>
      <c r="CS112" s="156">
        <f t="shared" si="34"/>
        <v>78.16</v>
      </c>
      <c r="CU112" s="151">
        <v>90</v>
      </c>
      <c r="CV112" s="152" t="s">
        <v>593</v>
      </c>
      <c r="CW112" s="152">
        <v>2932</v>
      </c>
      <c r="CX112" s="152">
        <v>2.8769999999999998</v>
      </c>
      <c r="CY112" s="151">
        <v>30.4</v>
      </c>
      <c r="CZ112" s="151" t="s">
        <v>1675</v>
      </c>
      <c r="DA112" s="151">
        <v>9317</v>
      </c>
      <c r="DB112" s="151" t="s">
        <v>1718</v>
      </c>
      <c r="DC112" s="151">
        <v>3918</v>
      </c>
      <c r="DD112" t="s">
        <v>1718</v>
      </c>
      <c r="DF112" s="155">
        <f t="shared" si="35"/>
        <v>90</v>
      </c>
      <c r="DG112" s="156">
        <f t="shared" si="38"/>
        <v>30.4</v>
      </c>
      <c r="DI112" s="151">
        <v>90</v>
      </c>
      <c r="DJ112" s="152" t="s">
        <v>593</v>
      </c>
      <c r="DK112" s="152">
        <v>2709</v>
      </c>
      <c r="DL112" s="152">
        <v>2.79</v>
      </c>
      <c r="DM112" s="151">
        <v>32.5</v>
      </c>
      <c r="DN112" s="151" t="s">
        <v>1675</v>
      </c>
      <c r="DO112" s="151">
        <v>9966</v>
      </c>
      <c r="DP112" s="151" t="s">
        <v>1718</v>
      </c>
      <c r="DQ112" s="151">
        <v>4114</v>
      </c>
      <c r="DR112" t="s">
        <v>1718</v>
      </c>
      <c r="DT112" s="155">
        <f t="shared" si="36"/>
        <v>90</v>
      </c>
      <c r="DU112" s="156">
        <f t="shared" si="39"/>
        <v>32.5</v>
      </c>
      <c r="DW112" s="401">
        <v>90</v>
      </c>
      <c r="DX112" s="401" t="s">
        <v>593</v>
      </c>
      <c r="DY112" s="402">
        <v>61.01</v>
      </c>
      <c r="DZ112" s="402">
        <v>3.4169999999999999E-2</v>
      </c>
      <c r="EA112" s="401">
        <v>797.55</v>
      </c>
      <c r="EB112" s="401" t="s">
        <v>1675</v>
      </c>
      <c r="EC112" s="401">
        <v>35.67</v>
      </c>
      <c r="ED112" s="401" t="s">
        <v>1675</v>
      </c>
      <c r="EE112" s="401">
        <v>6.66</v>
      </c>
      <c r="EF112" s="403" t="s">
        <v>1675</v>
      </c>
      <c r="EH112" s="155">
        <f t="shared" si="37"/>
        <v>90</v>
      </c>
      <c r="EI112" s="156">
        <f t="shared" si="40"/>
        <v>797.55</v>
      </c>
    </row>
    <row r="113" spans="1:139" x14ac:dyDescent="0.2">
      <c r="A113" s="153">
        <v>100</v>
      </c>
      <c r="B113" s="151" t="s">
        <v>593</v>
      </c>
      <c r="C113" s="152">
        <v>867.5</v>
      </c>
      <c r="D113" s="152">
        <v>0.57150000000000001</v>
      </c>
      <c r="E113" s="151">
        <v>80.88</v>
      </c>
      <c r="F113" s="151" t="s">
        <v>1675</v>
      </c>
      <c r="G113" s="151">
        <v>3.02</v>
      </c>
      <c r="H113" s="151" t="s">
        <v>1675</v>
      </c>
      <c r="I113" s="151">
        <v>6343</v>
      </c>
      <c r="J113" s="151" t="s">
        <v>1718</v>
      </c>
      <c r="L113" s="155">
        <f t="shared" si="22"/>
        <v>100</v>
      </c>
      <c r="M113" s="156">
        <f t="shared" si="23"/>
        <v>80.88</v>
      </c>
      <c r="N113" s="275"/>
      <c r="O113" s="153">
        <v>100</v>
      </c>
      <c r="P113" s="151" t="s">
        <v>593</v>
      </c>
      <c r="Q113" s="152">
        <v>699.3</v>
      </c>
      <c r="R113" s="152">
        <v>0.41549999999999998</v>
      </c>
      <c r="S113" s="151">
        <v>97.19</v>
      </c>
      <c r="T113" s="151" t="s">
        <v>1675</v>
      </c>
      <c r="U113" s="151">
        <v>3.71</v>
      </c>
      <c r="V113" s="151" t="s">
        <v>1675</v>
      </c>
      <c r="W113" s="151">
        <v>7126</v>
      </c>
      <c r="X113" s="151" t="s">
        <v>1718</v>
      </c>
      <c r="Z113" s="155">
        <f t="shared" si="24"/>
        <v>100</v>
      </c>
      <c r="AA113" s="156">
        <f t="shared" si="25"/>
        <v>97.19</v>
      </c>
      <c r="AB113" s="275"/>
      <c r="AC113" s="153">
        <v>100</v>
      </c>
      <c r="AD113" s="151" t="s">
        <v>593</v>
      </c>
      <c r="AE113" s="152">
        <v>8.7219999999999995</v>
      </c>
      <c r="AF113" s="152">
        <v>4.8269999999999997E-3</v>
      </c>
      <c r="AG113" s="151">
        <v>6.29</v>
      </c>
      <c r="AH113" s="151" t="s">
        <v>1623</v>
      </c>
      <c r="AI113" s="151">
        <v>279.91000000000003</v>
      </c>
      <c r="AJ113" s="151" t="s">
        <v>1675</v>
      </c>
      <c r="AK113" s="151">
        <v>70.819999999999993</v>
      </c>
      <c r="AL113" s="151" t="s">
        <v>1675</v>
      </c>
      <c r="AN113" s="155">
        <f t="shared" si="26"/>
        <v>100</v>
      </c>
      <c r="AO113" s="156">
        <f t="shared" si="27"/>
        <v>6290</v>
      </c>
      <c r="AP113" s="275"/>
      <c r="AQ113" s="153">
        <v>100</v>
      </c>
      <c r="AR113" s="151" t="s">
        <v>593</v>
      </c>
      <c r="AS113" s="152">
        <v>0.72529999999999994</v>
      </c>
      <c r="AT113" s="152">
        <v>3.367E-4</v>
      </c>
      <c r="AU113" s="151">
        <v>77.099999999999994</v>
      </c>
      <c r="AV113" s="151" t="s">
        <v>1623</v>
      </c>
      <c r="AW113" s="151">
        <v>3.44</v>
      </c>
      <c r="AX113" s="151" t="s">
        <v>1623</v>
      </c>
      <c r="AY113" s="151">
        <v>1.64</v>
      </c>
      <c r="AZ113" s="151" t="s">
        <v>1623</v>
      </c>
      <c r="BB113" s="155">
        <f t="shared" si="28"/>
        <v>100</v>
      </c>
      <c r="BC113" s="156">
        <f t="shared" si="29"/>
        <v>77100</v>
      </c>
      <c r="BE113" s="153">
        <v>100</v>
      </c>
      <c r="BF113" s="151" t="s">
        <v>593</v>
      </c>
      <c r="BG113" s="152">
        <v>196.3</v>
      </c>
      <c r="BH113" s="152">
        <v>0.1094</v>
      </c>
      <c r="BI113" s="151">
        <v>296.17</v>
      </c>
      <c r="BJ113" s="151" t="s">
        <v>1675</v>
      </c>
      <c r="BK113" s="151">
        <v>12.52</v>
      </c>
      <c r="BL113" s="151" t="s">
        <v>1675</v>
      </c>
      <c r="BM113" s="151">
        <v>2.0299999999999998</v>
      </c>
      <c r="BN113" s="151" t="s">
        <v>1675</v>
      </c>
      <c r="BP113" s="155">
        <f t="shared" si="30"/>
        <v>100</v>
      </c>
      <c r="BQ113" s="156">
        <f t="shared" si="31"/>
        <v>296.17</v>
      </c>
      <c r="BS113" s="153">
        <v>100</v>
      </c>
      <c r="BT113" s="151" t="s">
        <v>593</v>
      </c>
      <c r="BU113" s="152">
        <v>585.29999999999995</v>
      </c>
      <c r="BV113" s="152">
        <v>0.34100000000000003</v>
      </c>
      <c r="BW113" s="151">
        <v>114.53</v>
      </c>
      <c r="BX113" s="151" t="s">
        <v>1675</v>
      </c>
      <c r="BY113" s="151">
        <v>4.42</v>
      </c>
      <c r="BZ113" s="151" t="s">
        <v>1675</v>
      </c>
      <c r="CA113" s="151">
        <v>7950</v>
      </c>
      <c r="CB113" s="151" t="s">
        <v>1718</v>
      </c>
      <c r="CD113" s="155">
        <f t="shared" si="32"/>
        <v>100</v>
      </c>
      <c r="CE113" s="156">
        <f t="shared" si="33"/>
        <v>114.53</v>
      </c>
      <c r="CG113" s="153">
        <v>100</v>
      </c>
      <c r="CH113" s="151" t="s">
        <v>593</v>
      </c>
      <c r="CI113" s="152">
        <v>771.3</v>
      </c>
      <c r="CJ113" s="152">
        <v>0.47820000000000001</v>
      </c>
      <c r="CK113" s="151">
        <v>90.7</v>
      </c>
      <c r="CL113" s="151" t="s">
        <v>1675</v>
      </c>
      <c r="CM113" s="151">
        <v>3.39</v>
      </c>
      <c r="CN113" s="151" t="s">
        <v>1675</v>
      </c>
      <c r="CO113" s="151">
        <v>6707</v>
      </c>
      <c r="CP113" s="151" t="s">
        <v>1718</v>
      </c>
      <c r="CR113" s="155">
        <f t="shared" si="41"/>
        <v>100</v>
      </c>
      <c r="CS113" s="156">
        <f t="shared" si="34"/>
        <v>90.7</v>
      </c>
      <c r="CU113" s="151">
        <v>100</v>
      </c>
      <c r="CV113" s="152" t="s">
        <v>593</v>
      </c>
      <c r="CW113" s="152">
        <v>2804</v>
      </c>
      <c r="CX113" s="152">
        <v>2.6259999999999999</v>
      </c>
      <c r="CY113" s="151">
        <v>33.89</v>
      </c>
      <c r="CZ113" s="151" t="s">
        <v>1675</v>
      </c>
      <c r="DA113" s="151">
        <v>1.05</v>
      </c>
      <c r="DB113" s="151" t="s">
        <v>1675</v>
      </c>
      <c r="DC113" s="151">
        <v>4039</v>
      </c>
      <c r="DD113" t="s">
        <v>1718</v>
      </c>
      <c r="DF113" s="155">
        <f t="shared" si="35"/>
        <v>100</v>
      </c>
      <c r="DG113" s="156">
        <f t="shared" si="38"/>
        <v>33.89</v>
      </c>
      <c r="DI113" s="151">
        <v>100</v>
      </c>
      <c r="DJ113" s="152" t="s">
        <v>593</v>
      </c>
      <c r="DK113" s="152">
        <v>2603</v>
      </c>
      <c r="DL113" s="152">
        <v>2.5459999999999998</v>
      </c>
      <c r="DM113" s="151">
        <v>36.26</v>
      </c>
      <c r="DN113" s="151" t="s">
        <v>1675</v>
      </c>
      <c r="DO113" s="151">
        <v>1.1299999999999999</v>
      </c>
      <c r="DP113" s="151" t="s">
        <v>1675</v>
      </c>
      <c r="DQ113" s="151">
        <v>4241</v>
      </c>
      <c r="DR113" t="s">
        <v>1718</v>
      </c>
      <c r="DT113" s="155">
        <f t="shared" si="36"/>
        <v>100</v>
      </c>
      <c r="DU113" s="156">
        <f t="shared" si="39"/>
        <v>36.26</v>
      </c>
      <c r="DW113" s="401">
        <v>100</v>
      </c>
      <c r="DX113" s="401" t="s">
        <v>593</v>
      </c>
      <c r="DY113" s="402">
        <v>55.62</v>
      </c>
      <c r="DZ113" s="402">
        <v>3.107E-2</v>
      </c>
      <c r="EA113" s="401">
        <v>969.19</v>
      </c>
      <c r="EB113" s="401" t="s">
        <v>1675</v>
      </c>
      <c r="EC113" s="401">
        <v>43.21</v>
      </c>
      <c r="ED113" s="401" t="s">
        <v>1675</v>
      </c>
      <c r="EE113" s="401">
        <v>8.06</v>
      </c>
      <c r="EF113" s="403" t="s">
        <v>1675</v>
      </c>
      <c r="EH113" s="155">
        <f t="shared" si="37"/>
        <v>100</v>
      </c>
      <c r="EI113" s="156">
        <f t="shared" si="40"/>
        <v>969.19</v>
      </c>
    </row>
    <row r="114" spans="1:139" x14ac:dyDescent="0.2">
      <c r="A114" s="263">
        <v>110</v>
      </c>
      <c r="B114" s="202" t="s">
        <v>593</v>
      </c>
      <c r="C114" s="203">
        <v>818</v>
      </c>
      <c r="D114" s="203">
        <v>0.52529999999999999</v>
      </c>
      <c r="E114" s="202">
        <v>92.75</v>
      </c>
      <c r="F114" s="202" t="s">
        <v>1675</v>
      </c>
      <c r="G114" s="202">
        <v>3.46</v>
      </c>
      <c r="H114" s="202" t="s">
        <v>1675</v>
      </c>
      <c r="I114" s="202">
        <v>6889</v>
      </c>
      <c r="J114" s="202" t="s">
        <v>1718</v>
      </c>
      <c r="L114" s="155">
        <f t="shared" si="22"/>
        <v>110</v>
      </c>
      <c r="M114" s="155">
        <f t="shared" si="23"/>
        <v>92.75</v>
      </c>
      <c r="N114" s="275"/>
      <c r="O114" s="263">
        <v>110</v>
      </c>
      <c r="P114" s="202" t="s">
        <v>593</v>
      </c>
      <c r="Q114" s="203">
        <v>656.9</v>
      </c>
      <c r="R114" s="203">
        <v>0.38179999999999997</v>
      </c>
      <c r="S114" s="202">
        <v>111.94</v>
      </c>
      <c r="T114" s="202" t="s">
        <v>1675</v>
      </c>
      <c r="U114" s="202">
        <v>4.26</v>
      </c>
      <c r="V114" s="202" t="s">
        <v>1675</v>
      </c>
      <c r="W114" s="202">
        <v>7858</v>
      </c>
      <c r="X114" s="202" t="s">
        <v>1718</v>
      </c>
      <c r="Z114" s="155">
        <f t="shared" si="24"/>
        <v>110</v>
      </c>
      <c r="AA114" s="155">
        <f t="shared" si="25"/>
        <v>111.94</v>
      </c>
      <c r="AB114" s="275"/>
      <c r="AC114" s="263">
        <v>110</v>
      </c>
      <c r="AD114" s="202" t="s">
        <v>593</v>
      </c>
      <c r="AE114" s="203">
        <v>8.0649999999999995</v>
      </c>
      <c r="AF114" s="203">
        <v>4.424E-3</v>
      </c>
      <c r="AG114" s="202">
        <v>7.48</v>
      </c>
      <c r="AH114" s="202" t="s">
        <v>1623</v>
      </c>
      <c r="AI114" s="202">
        <v>327.33999999999997</v>
      </c>
      <c r="AJ114" s="202" t="s">
        <v>1675</v>
      </c>
      <c r="AK114" s="202">
        <v>83.91</v>
      </c>
      <c r="AL114" s="202" t="s">
        <v>1675</v>
      </c>
      <c r="AN114" s="155">
        <f t="shared" si="26"/>
        <v>110</v>
      </c>
      <c r="AO114" s="155">
        <f t="shared" si="27"/>
        <v>7480</v>
      </c>
      <c r="AP114" s="275"/>
      <c r="AQ114" s="263">
        <v>110</v>
      </c>
      <c r="AR114" s="202" t="s">
        <v>593</v>
      </c>
      <c r="AS114" s="203">
        <v>0.67559999999999998</v>
      </c>
      <c r="AT114" s="203">
        <v>3.0830000000000001E-4</v>
      </c>
      <c r="AU114" s="202">
        <v>91.37</v>
      </c>
      <c r="AV114" s="202" t="s">
        <v>1623</v>
      </c>
      <c r="AW114" s="202">
        <v>4</v>
      </c>
      <c r="AX114" s="202" t="s">
        <v>1623</v>
      </c>
      <c r="AY114" s="202">
        <v>1.94</v>
      </c>
      <c r="AZ114" s="202" t="s">
        <v>1623</v>
      </c>
      <c r="BB114" s="155">
        <f t="shared" si="28"/>
        <v>110</v>
      </c>
      <c r="BC114" s="155">
        <f t="shared" si="29"/>
        <v>91370</v>
      </c>
      <c r="BE114" s="263">
        <v>110</v>
      </c>
      <c r="BF114" s="202" t="s">
        <v>593</v>
      </c>
      <c r="BG114" s="203">
        <v>181.5</v>
      </c>
      <c r="BH114" s="203">
        <v>0.1004</v>
      </c>
      <c r="BI114" s="202">
        <v>349.15</v>
      </c>
      <c r="BJ114" s="202" t="s">
        <v>1675</v>
      </c>
      <c r="BK114" s="202">
        <v>14.61</v>
      </c>
      <c r="BL114" s="202" t="s">
        <v>1675</v>
      </c>
      <c r="BM114" s="202">
        <v>2.36</v>
      </c>
      <c r="BN114" s="202" t="s">
        <v>1675</v>
      </c>
      <c r="BP114" s="155">
        <f t="shared" si="30"/>
        <v>110</v>
      </c>
      <c r="BQ114" s="155">
        <f t="shared" si="31"/>
        <v>349.15</v>
      </c>
      <c r="BS114" s="263">
        <v>110</v>
      </c>
      <c r="BT114" s="202" t="s">
        <v>593</v>
      </c>
      <c r="BU114" s="203">
        <v>548.29999999999995</v>
      </c>
      <c r="BV114" s="203">
        <v>0.31330000000000002</v>
      </c>
      <c r="BW114" s="202">
        <v>132.18</v>
      </c>
      <c r="BX114" s="202" t="s">
        <v>1675</v>
      </c>
      <c r="BY114" s="202">
        <v>5.08</v>
      </c>
      <c r="BZ114" s="202" t="s">
        <v>1675</v>
      </c>
      <c r="CA114" s="202">
        <v>8842</v>
      </c>
      <c r="CB114" s="202" t="s">
        <v>1718</v>
      </c>
      <c r="CD114" s="155">
        <f t="shared" si="32"/>
        <v>110</v>
      </c>
      <c r="CE114" s="155">
        <f t="shared" si="33"/>
        <v>132.18</v>
      </c>
      <c r="CG114" s="263">
        <v>110</v>
      </c>
      <c r="CH114" s="202" t="s">
        <v>593</v>
      </c>
      <c r="CI114" s="203">
        <v>726</v>
      </c>
      <c r="CJ114" s="203">
        <v>0.4395</v>
      </c>
      <c r="CK114" s="202">
        <v>104.06</v>
      </c>
      <c r="CL114" s="202" t="s">
        <v>1675</v>
      </c>
      <c r="CM114" s="202">
        <v>3.88</v>
      </c>
      <c r="CN114" s="202" t="s">
        <v>1675</v>
      </c>
      <c r="CO114" s="202">
        <v>7318</v>
      </c>
      <c r="CP114" s="202" t="s">
        <v>1718</v>
      </c>
      <c r="CR114" s="155">
        <f t="shared" si="41"/>
        <v>110</v>
      </c>
      <c r="CS114" s="155">
        <f t="shared" si="34"/>
        <v>104.06</v>
      </c>
      <c r="CU114" s="202">
        <v>110</v>
      </c>
      <c r="CV114" s="203" t="s">
        <v>593</v>
      </c>
      <c r="CW114" s="203">
        <v>2689</v>
      </c>
      <c r="CX114" s="203">
        <v>2.4180000000000001</v>
      </c>
      <c r="CY114" s="202">
        <v>37.53</v>
      </c>
      <c r="CZ114" s="202" t="s">
        <v>1675</v>
      </c>
      <c r="DA114" s="202">
        <v>1.17</v>
      </c>
      <c r="DB114" s="202" t="s">
        <v>1675</v>
      </c>
      <c r="DC114" s="202">
        <v>4165</v>
      </c>
      <c r="DD114" t="s">
        <v>1718</v>
      </c>
      <c r="DF114" s="155">
        <f t="shared" si="35"/>
        <v>110</v>
      </c>
      <c r="DG114" s="156">
        <f t="shared" si="38"/>
        <v>37.53</v>
      </c>
      <c r="DI114" s="202">
        <v>110</v>
      </c>
      <c r="DJ114" s="203" t="s">
        <v>593</v>
      </c>
      <c r="DK114" s="203">
        <v>2494</v>
      </c>
      <c r="DL114" s="203">
        <v>2.3439999999999999</v>
      </c>
      <c r="DM114" s="202">
        <v>40.18</v>
      </c>
      <c r="DN114" s="202" t="s">
        <v>1675</v>
      </c>
      <c r="DO114" s="202">
        <v>1.26</v>
      </c>
      <c r="DP114" s="202" t="s">
        <v>1675</v>
      </c>
      <c r="DQ114" s="202">
        <v>4374</v>
      </c>
      <c r="DR114" t="s">
        <v>1718</v>
      </c>
      <c r="DT114" s="155">
        <f t="shared" si="36"/>
        <v>110</v>
      </c>
      <c r="DU114" s="156">
        <f t="shared" si="39"/>
        <v>40.18</v>
      </c>
      <c r="DW114" s="401">
        <v>110</v>
      </c>
      <c r="DX114" s="401" t="s">
        <v>593</v>
      </c>
      <c r="DY114" s="402">
        <v>51.19</v>
      </c>
      <c r="DZ114" s="402">
        <v>2.8500000000000001E-2</v>
      </c>
      <c r="EA114" s="401">
        <v>1.1599999999999999</v>
      </c>
      <c r="EB114" s="401" t="s">
        <v>1623</v>
      </c>
      <c r="EC114" s="401">
        <v>50.75</v>
      </c>
      <c r="ED114" s="401" t="s">
        <v>1675</v>
      </c>
      <c r="EE114" s="401">
        <v>9.58</v>
      </c>
      <c r="EF114" s="403" t="s">
        <v>1675</v>
      </c>
      <c r="EH114" s="155">
        <f t="shared" si="37"/>
        <v>110</v>
      </c>
      <c r="EI114" s="156">
        <f t="shared" si="40"/>
        <v>1160</v>
      </c>
    </row>
    <row r="115" spans="1:139" x14ac:dyDescent="0.2">
      <c r="A115" s="151">
        <v>120</v>
      </c>
      <c r="B115" s="202" t="s">
        <v>593</v>
      </c>
      <c r="C115" s="203">
        <v>774.7</v>
      </c>
      <c r="D115" s="203">
        <v>0.4864</v>
      </c>
      <c r="E115" s="202">
        <v>105.31</v>
      </c>
      <c r="F115" s="202" t="s">
        <v>1675</v>
      </c>
      <c r="G115" s="202">
        <v>3.89</v>
      </c>
      <c r="H115" s="202" t="s">
        <v>1675</v>
      </c>
      <c r="I115" s="202">
        <v>7472</v>
      </c>
      <c r="J115" s="202" t="s">
        <v>1718</v>
      </c>
      <c r="K115" s="204"/>
      <c r="L115" s="155">
        <f t="shared" si="22"/>
        <v>120</v>
      </c>
      <c r="M115" s="155">
        <f t="shared" si="23"/>
        <v>105.31</v>
      </c>
      <c r="N115" s="275"/>
      <c r="O115" s="151">
        <v>120</v>
      </c>
      <c r="P115" s="202" t="s">
        <v>593</v>
      </c>
      <c r="Q115" s="203">
        <v>619.6</v>
      </c>
      <c r="R115" s="203">
        <v>0.35339999999999999</v>
      </c>
      <c r="S115" s="202">
        <v>127.61</v>
      </c>
      <c r="T115" s="202" t="s">
        <v>1675</v>
      </c>
      <c r="U115" s="202">
        <v>4.8</v>
      </c>
      <c r="V115" s="202" t="s">
        <v>1675</v>
      </c>
      <c r="W115" s="202">
        <v>8637</v>
      </c>
      <c r="X115" s="202" t="s">
        <v>1718</v>
      </c>
      <c r="Y115" s="204"/>
      <c r="Z115" s="155">
        <f t="shared" si="24"/>
        <v>120</v>
      </c>
      <c r="AA115" s="155">
        <f t="shared" si="25"/>
        <v>127.61</v>
      </c>
      <c r="AB115" s="275"/>
      <c r="AC115" s="151">
        <v>120</v>
      </c>
      <c r="AD115" s="202" t="s">
        <v>593</v>
      </c>
      <c r="AE115" s="203">
        <v>7.5090000000000003</v>
      </c>
      <c r="AF115" s="203">
        <v>4.0860000000000002E-3</v>
      </c>
      <c r="AG115" s="202">
        <v>8.77</v>
      </c>
      <c r="AH115" s="202" t="s">
        <v>1623</v>
      </c>
      <c r="AI115" s="202">
        <v>375.02</v>
      </c>
      <c r="AJ115" s="202" t="s">
        <v>1675</v>
      </c>
      <c r="AK115" s="202">
        <v>97.96</v>
      </c>
      <c r="AL115" s="202" t="s">
        <v>1675</v>
      </c>
      <c r="AM115" s="204"/>
      <c r="AN115" s="155">
        <f t="shared" si="26"/>
        <v>120</v>
      </c>
      <c r="AO115" s="155">
        <f t="shared" si="27"/>
        <v>8770</v>
      </c>
      <c r="AP115" s="275"/>
      <c r="AQ115" s="151">
        <v>120</v>
      </c>
      <c r="AR115" s="202" t="s">
        <v>593</v>
      </c>
      <c r="AS115" s="203">
        <v>0.63380000000000003</v>
      </c>
      <c r="AT115" s="203">
        <v>2.8449999999999998E-4</v>
      </c>
      <c r="AU115" s="202">
        <v>106.64</v>
      </c>
      <c r="AV115" s="202" t="s">
        <v>1623</v>
      </c>
      <c r="AW115" s="202">
        <v>4.5599999999999996</v>
      </c>
      <c r="AX115" s="202" t="s">
        <v>1623</v>
      </c>
      <c r="AY115" s="202">
        <v>2.25</v>
      </c>
      <c r="AZ115" s="202" t="s">
        <v>1623</v>
      </c>
      <c r="BA115" s="204"/>
      <c r="BB115" s="155">
        <f t="shared" si="28"/>
        <v>120</v>
      </c>
      <c r="BC115" s="155">
        <f t="shared" si="29"/>
        <v>106640</v>
      </c>
      <c r="BE115" s="151">
        <v>120</v>
      </c>
      <c r="BF115" s="202" t="s">
        <v>593</v>
      </c>
      <c r="BG115" s="203">
        <v>168.8</v>
      </c>
      <c r="BH115" s="203">
        <v>9.289E-2</v>
      </c>
      <c r="BI115" s="202">
        <v>406.27</v>
      </c>
      <c r="BJ115" s="202" t="s">
        <v>1675</v>
      </c>
      <c r="BK115" s="202">
        <v>16.71</v>
      </c>
      <c r="BL115" s="202" t="s">
        <v>1675</v>
      </c>
      <c r="BM115" s="202">
        <v>2.71</v>
      </c>
      <c r="BN115" s="202" t="s">
        <v>1675</v>
      </c>
      <c r="BO115" s="204"/>
      <c r="BP115" s="155">
        <f t="shared" si="30"/>
        <v>120</v>
      </c>
      <c r="BQ115" s="155">
        <f t="shared" si="31"/>
        <v>406.27</v>
      </c>
      <c r="BS115" s="151">
        <v>120</v>
      </c>
      <c r="BT115" s="202" t="s">
        <v>593</v>
      </c>
      <c r="BU115" s="203">
        <v>515.5</v>
      </c>
      <c r="BV115" s="203">
        <v>0.28999999999999998</v>
      </c>
      <c r="BW115" s="202">
        <v>150.99</v>
      </c>
      <c r="BX115" s="202" t="s">
        <v>1675</v>
      </c>
      <c r="BY115" s="202">
        <v>5.74</v>
      </c>
      <c r="BZ115" s="202" t="s">
        <v>1675</v>
      </c>
      <c r="CA115" s="202">
        <v>9791</v>
      </c>
      <c r="CB115" s="202" t="s">
        <v>1718</v>
      </c>
      <c r="CC115" s="204"/>
      <c r="CD115" s="155">
        <f t="shared" si="32"/>
        <v>120</v>
      </c>
      <c r="CE115" s="155">
        <f t="shared" si="33"/>
        <v>150.99</v>
      </c>
      <c r="CG115" s="151">
        <v>120</v>
      </c>
      <c r="CH115" s="202" t="s">
        <v>593</v>
      </c>
      <c r="CI115" s="203">
        <v>686.3</v>
      </c>
      <c r="CJ115" s="203">
        <v>0.40679999999999999</v>
      </c>
      <c r="CK115" s="202">
        <v>118.23</v>
      </c>
      <c r="CL115" s="202" t="s">
        <v>1675</v>
      </c>
      <c r="CM115" s="202">
        <v>4.37</v>
      </c>
      <c r="CN115" s="202" t="s">
        <v>1675</v>
      </c>
      <c r="CO115" s="202">
        <v>7970</v>
      </c>
      <c r="CP115" s="202" t="s">
        <v>1718</v>
      </c>
      <c r="CQ115" s="204"/>
      <c r="CR115" s="155">
        <f t="shared" si="41"/>
        <v>120</v>
      </c>
      <c r="CS115" s="155">
        <f t="shared" si="34"/>
        <v>118.23</v>
      </c>
      <c r="CU115" s="202">
        <v>120</v>
      </c>
      <c r="CV115" s="203" t="s">
        <v>593</v>
      </c>
      <c r="CW115" s="203">
        <v>2585</v>
      </c>
      <c r="CX115" s="203">
        <v>2.242</v>
      </c>
      <c r="CY115" s="202">
        <v>41.32</v>
      </c>
      <c r="CZ115" s="202" t="s">
        <v>1675</v>
      </c>
      <c r="DA115" s="202">
        <v>1.29</v>
      </c>
      <c r="DB115" s="202" t="s">
        <v>1675</v>
      </c>
      <c r="DC115" s="202">
        <v>4294</v>
      </c>
      <c r="DD115" s="204" t="s">
        <v>1718</v>
      </c>
      <c r="DE115" s="204"/>
      <c r="DF115" s="155">
        <f t="shared" si="35"/>
        <v>120</v>
      </c>
      <c r="DG115" s="156">
        <f t="shared" si="38"/>
        <v>41.32</v>
      </c>
      <c r="DI115" s="202">
        <v>120</v>
      </c>
      <c r="DJ115" s="203" t="s">
        <v>593</v>
      </c>
      <c r="DK115" s="203">
        <v>2397</v>
      </c>
      <c r="DL115" s="203">
        <v>2.1739999999999999</v>
      </c>
      <c r="DM115" s="202">
        <v>44.27</v>
      </c>
      <c r="DN115" s="202" t="s">
        <v>1675</v>
      </c>
      <c r="DO115" s="202">
        <v>1.39</v>
      </c>
      <c r="DP115" s="202" t="s">
        <v>1675</v>
      </c>
      <c r="DQ115" s="202">
        <v>4511</v>
      </c>
      <c r="DR115" s="204" t="s">
        <v>1718</v>
      </c>
      <c r="DS115" s="204"/>
      <c r="DT115" s="155">
        <f t="shared" si="36"/>
        <v>120</v>
      </c>
      <c r="DU115" s="156">
        <f t="shared" si="39"/>
        <v>44.27</v>
      </c>
      <c r="DW115" s="401">
        <v>120</v>
      </c>
      <c r="DX115" s="401" t="s">
        <v>593</v>
      </c>
      <c r="DY115" s="402">
        <v>47.5</v>
      </c>
      <c r="DZ115" s="402">
        <v>2.6339999999999999E-2</v>
      </c>
      <c r="EA115" s="401">
        <v>1.36</v>
      </c>
      <c r="EB115" s="401" t="s">
        <v>1623</v>
      </c>
      <c r="EC115" s="401">
        <v>58.37</v>
      </c>
      <c r="ED115" s="401" t="s">
        <v>1675</v>
      </c>
      <c r="EE115" s="401">
        <v>11.24</v>
      </c>
      <c r="EF115" s="403" t="s">
        <v>1675</v>
      </c>
      <c r="EH115" s="155">
        <f t="shared" si="37"/>
        <v>120</v>
      </c>
      <c r="EI115" s="156">
        <f t="shared" si="40"/>
        <v>1360</v>
      </c>
    </row>
    <row r="116" spans="1:139" x14ac:dyDescent="0.2">
      <c r="A116" s="151">
        <v>130</v>
      </c>
      <c r="B116" s="202" t="s">
        <v>593</v>
      </c>
      <c r="C116" s="203">
        <v>736.4</v>
      </c>
      <c r="D116" s="203">
        <v>0.45300000000000001</v>
      </c>
      <c r="E116" s="202">
        <v>118.54</v>
      </c>
      <c r="F116" s="202" t="s">
        <v>1675</v>
      </c>
      <c r="G116" s="202">
        <v>4.32</v>
      </c>
      <c r="H116" s="202" t="s">
        <v>1675</v>
      </c>
      <c r="I116" s="202">
        <v>8091</v>
      </c>
      <c r="J116" s="202" t="s">
        <v>1718</v>
      </c>
      <c r="K116" s="204"/>
      <c r="L116" s="155">
        <f t="shared" si="22"/>
        <v>130</v>
      </c>
      <c r="M116" s="155">
        <f t="shared" si="23"/>
        <v>118.54</v>
      </c>
      <c r="N116" s="275"/>
      <c r="O116" s="151">
        <v>130</v>
      </c>
      <c r="P116" s="202" t="s">
        <v>593</v>
      </c>
      <c r="Q116" s="203">
        <v>586.5</v>
      </c>
      <c r="R116" s="203">
        <v>0.3291</v>
      </c>
      <c r="S116" s="202">
        <v>144.19</v>
      </c>
      <c r="T116" s="202" t="s">
        <v>1675</v>
      </c>
      <c r="U116" s="202">
        <v>5.35</v>
      </c>
      <c r="V116" s="202" t="s">
        <v>1675</v>
      </c>
      <c r="W116" s="202">
        <v>9463</v>
      </c>
      <c r="X116" s="202" t="s">
        <v>1718</v>
      </c>
      <c r="Y116" s="204"/>
      <c r="Z116" s="155">
        <f t="shared" si="24"/>
        <v>130</v>
      </c>
      <c r="AA116" s="155">
        <f t="shared" si="25"/>
        <v>144.19</v>
      </c>
      <c r="AB116" s="275"/>
      <c r="AC116" s="151">
        <v>130</v>
      </c>
      <c r="AD116" s="202" t="s">
        <v>593</v>
      </c>
      <c r="AE116" s="203">
        <v>7.0330000000000004</v>
      </c>
      <c r="AF116" s="203">
        <v>3.797E-3</v>
      </c>
      <c r="AG116" s="202">
        <v>10.14</v>
      </c>
      <c r="AH116" s="202" t="s">
        <v>1623</v>
      </c>
      <c r="AI116" s="202">
        <v>423.18</v>
      </c>
      <c r="AJ116" s="202" t="s">
        <v>1675</v>
      </c>
      <c r="AK116" s="202">
        <v>112.95</v>
      </c>
      <c r="AL116" s="202" t="s">
        <v>1675</v>
      </c>
      <c r="AM116" s="204"/>
      <c r="AN116" s="155">
        <f t="shared" si="26"/>
        <v>130</v>
      </c>
      <c r="AO116" s="155">
        <f t="shared" si="27"/>
        <v>10140</v>
      </c>
      <c r="AP116" s="275"/>
      <c r="AQ116" s="151">
        <v>130</v>
      </c>
      <c r="AR116" s="202" t="s">
        <v>593</v>
      </c>
      <c r="AS116" s="203">
        <v>0.59809999999999997</v>
      </c>
      <c r="AT116" s="203">
        <v>2.6429999999999997E-4</v>
      </c>
      <c r="AU116" s="202">
        <v>122.86</v>
      </c>
      <c r="AV116" s="202" t="s">
        <v>1623</v>
      </c>
      <c r="AW116" s="202">
        <v>5.12</v>
      </c>
      <c r="AX116" s="202" t="s">
        <v>1623</v>
      </c>
      <c r="AY116" s="202">
        <v>2.58</v>
      </c>
      <c r="AZ116" s="202" t="s">
        <v>1623</v>
      </c>
      <c r="BA116" s="204"/>
      <c r="BB116" s="155">
        <f t="shared" si="28"/>
        <v>130</v>
      </c>
      <c r="BC116" s="155">
        <f t="shared" si="29"/>
        <v>122860</v>
      </c>
      <c r="BE116" s="151">
        <v>130</v>
      </c>
      <c r="BF116" s="202" t="s">
        <v>593</v>
      </c>
      <c r="BG116" s="203">
        <v>157.80000000000001</v>
      </c>
      <c r="BH116" s="203">
        <v>8.6440000000000003E-2</v>
      </c>
      <c r="BI116" s="202">
        <v>467.52</v>
      </c>
      <c r="BJ116" s="202" t="s">
        <v>1675</v>
      </c>
      <c r="BK116" s="202">
        <v>18.829999999999998</v>
      </c>
      <c r="BL116" s="202" t="s">
        <v>1675</v>
      </c>
      <c r="BM116" s="202">
        <v>3.09</v>
      </c>
      <c r="BN116" s="202" t="s">
        <v>1675</v>
      </c>
      <c r="BO116" s="204"/>
      <c r="BP116" s="155">
        <f t="shared" si="30"/>
        <v>130</v>
      </c>
      <c r="BQ116" s="155">
        <f t="shared" si="31"/>
        <v>467.52</v>
      </c>
      <c r="BS116" s="151">
        <v>130</v>
      </c>
      <c r="BT116" s="202" t="s">
        <v>593</v>
      </c>
      <c r="BU116" s="203">
        <v>486.3</v>
      </c>
      <c r="BV116" s="203">
        <v>0.27</v>
      </c>
      <c r="BW116" s="202">
        <v>170.95</v>
      </c>
      <c r="BX116" s="202" t="s">
        <v>1675</v>
      </c>
      <c r="BY116" s="202">
        <v>6.4</v>
      </c>
      <c r="BZ116" s="202" t="s">
        <v>1675</v>
      </c>
      <c r="CA116" s="202">
        <v>1.08</v>
      </c>
      <c r="CB116" s="202" t="s">
        <v>1675</v>
      </c>
      <c r="CC116" s="204"/>
      <c r="CD116" s="155">
        <f t="shared" si="32"/>
        <v>130</v>
      </c>
      <c r="CE116" s="155">
        <f t="shared" si="33"/>
        <v>170.95</v>
      </c>
      <c r="CG116" s="151">
        <v>130</v>
      </c>
      <c r="CH116" s="202" t="s">
        <v>593</v>
      </c>
      <c r="CI116" s="203">
        <v>651</v>
      </c>
      <c r="CJ116" s="203">
        <v>0.37890000000000001</v>
      </c>
      <c r="CK116" s="202">
        <v>133.18</v>
      </c>
      <c r="CL116" s="202" t="s">
        <v>1675</v>
      </c>
      <c r="CM116" s="202">
        <v>4.8600000000000003</v>
      </c>
      <c r="CN116" s="202" t="s">
        <v>1675</v>
      </c>
      <c r="CO116" s="202">
        <v>8661</v>
      </c>
      <c r="CP116" s="202" t="s">
        <v>1718</v>
      </c>
      <c r="CQ116" s="204"/>
      <c r="CR116" s="155">
        <f t="shared" si="41"/>
        <v>130</v>
      </c>
      <c r="CS116" s="155">
        <f t="shared" si="34"/>
        <v>133.18</v>
      </c>
      <c r="CU116" s="202">
        <v>130</v>
      </c>
      <c r="CV116" s="203" t="s">
        <v>593</v>
      </c>
      <c r="CW116" s="203">
        <v>2490</v>
      </c>
      <c r="CX116" s="203">
        <v>2.0910000000000002</v>
      </c>
      <c r="CY116" s="202">
        <v>45.26</v>
      </c>
      <c r="CZ116" s="202" t="s">
        <v>1675</v>
      </c>
      <c r="DA116" s="202">
        <v>1.41</v>
      </c>
      <c r="DB116" s="202" t="s">
        <v>1675</v>
      </c>
      <c r="DC116" s="202">
        <v>4429</v>
      </c>
      <c r="DD116" s="204" t="s">
        <v>1718</v>
      </c>
      <c r="DE116" s="204"/>
      <c r="DF116" s="155">
        <f t="shared" si="35"/>
        <v>130</v>
      </c>
      <c r="DG116" s="156">
        <f t="shared" si="38"/>
        <v>45.26</v>
      </c>
      <c r="DI116" s="202">
        <v>130</v>
      </c>
      <c r="DJ116" s="203" t="s">
        <v>593</v>
      </c>
      <c r="DK116" s="203">
        <v>2310</v>
      </c>
      <c r="DL116" s="203">
        <v>2.0270000000000001</v>
      </c>
      <c r="DM116" s="202">
        <v>48.52</v>
      </c>
      <c r="DN116" s="202" t="s">
        <v>1675</v>
      </c>
      <c r="DO116" s="202">
        <v>1.51</v>
      </c>
      <c r="DP116" s="202" t="s">
        <v>1675</v>
      </c>
      <c r="DQ116" s="202">
        <v>4654</v>
      </c>
      <c r="DR116" s="204" t="s">
        <v>1718</v>
      </c>
      <c r="DS116" s="204"/>
      <c r="DT116" s="155">
        <f t="shared" si="36"/>
        <v>130</v>
      </c>
      <c r="DU116" s="156">
        <f t="shared" si="39"/>
        <v>48.52</v>
      </c>
      <c r="DW116" s="401">
        <v>130</v>
      </c>
      <c r="DX116" s="401" t="s">
        <v>593</v>
      </c>
      <c r="DY116" s="402">
        <v>44.36</v>
      </c>
      <c r="DZ116" s="402">
        <v>2.4490000000000001E-2</v>
      </c>
      <c r="EA116" s="401">
        <v>1.58</v>
      </c>
      <c r="EB116" s="401" t="s">
        <v>1623</v>
      </c>
      <c r="EC116" s="401">
        <v>66.069999999999993</v>
      </c>
      <c r="ED116" s="401" t="s">
        <v>1675</v>
      </c>
      <c r="EE116" s="401">
        <v>13.01</v>
      </c>
      <c r="EF116" s="403" t="s">
        <v>1675</v>
      </c>
      <c r="EH116" s="155">
        <f t="shared" si="37"/>
        <v>130</v>
      </c>
      <c r="EI116" s="156">
        <f t="shared" si="40"/>
        <v>1580</v>
      </c>
    </row>
    <row r="117" spans="1:139" x14ac:dyDescent="0.2">
      <c r="A117" s="151">
        <v>140</v>
      </c>
      <c r="B117" s="202" t="s">
        <v>593</v>
      </c>
      <c r="C117" s="203">
        <v>702.2</v>
      </c>
      <c r="D117" s="203">
        <v>0.42420000000000002</v>
      </c>
      <c r="E117" s="202">
        <v>132.44</v>
      </c>
      <c r="F117" s="202" t="s">
        <v>1675</v>
      </c>
      <c r="G117" s="202">
        <v>4.75</v>
      </c>
      <c r="H117" s="202" t="s">
        <v>1675</v>
      </c>
      <c r="I117" s="202">
        <v>8743</v>
      </c>
      <c r="J117" s="202" t="s">
        <v>1718</v>
      </c>
      <c r="K117" s="204"/>
      <c r="L117" s="155">
        <f t="shared" si="22"/>
        <v>140</v>
      </c>
      <c r="M117" s="155">
        <f t="shared" si="23"/>
        <v>132.44</v>
      </c>
      <c r="N117" s="275"/>
      <c r="O117" s="151">
        <v>140</v>
      </c>
      <c r="P117" s="202" t="s">
        <v>593</v>
      </c>
      <c r="Q117" s="203">
        <v>556.79999999999995</v>
      </c>
      <c r="R117" s="203">
        <v>0.30809999999999998</v>
      </c>
      <c r="S117" s="202">
        <v>161.69</v>
      </c>
      <c r="T117" s="202" t="s">
        <v>1675</v>
      </c>
      <c r="U117" s="202">
        <v>5.9</v>
      </c>
      <c r="V117" s="202" t="s">
        <v>1675</v>
      </c>
      <c r="W117" s="202">
        <v>1.03</v>
      </c>
      <c r="X117" s="202" t="s">
        <v>1675</v>
      </c>
      <c r="Y117" s="204"/>
      <c r="Z117" s="155">
        <f t="shared" si="24"/>
        <v>140</v>
      </c>
      <c r="AA117" s="155">
        <f t="shared" si="25"/>
        <v>161.69</v>
      </c>
      <c r="AB117" s="275"/>
      <c r="AC117" s="151">
        <v>140</v>
      </c>
      <c r="AD117" s="202" t="s">
        <v>593</v>
      </c>
      <c r="AE117" s="203">
        <v>6.62</v>
      </c>
      <c r="AF117" s="203">
        <v>3.5479999999999999E-3</v>
      </c>
      <c r="AG117" s="202">
        <v>11.61</v>
      </c>
      <c r="AH117" s="202" t="s">
        <v>1623</v>
      </c>
      <c r="AI117" s="202">
        <v>471.93</v>
      </c>
      <c r="AJ117" s="202" t="s">
        <v>1675</v>
      </c>
      <c r="AK117" s="202">
        <v>128.86000000000001</v>
      </c>
      <c r="AL117" s="202" t="s">
        <v>1675</v>
      </c>
      <c r="AM117" s="204"/>
      <c r="AN117" s="155">
        <f t="shared" si="26"/>
        <v>140</v>
      </c>
      <c r="AO117" s="155">
        <f t="shared" si="27"/>
        <v>11610</v>
      </c>
      <c r="AP117" s="275"/>
      <c r="AQ117" s="151">
        <v>140</v>
      </c>
      <c r="AR117" s="202" t="s">
        <v>593</v>
      </c>
      <c r="AS117" s="203">
        <v>0.56730000000000003</v>
      </c>
      <c r="AT117" s="203">
        <v>2.4679999999999998E-4</v>
      </c>
      <c r="AU117" s="202">
        <v>140.01</v>
      </c>
      <c r="AV117" s="202" t="s">
        <v>1623</v>
      </c>
      <c r="AW117" s="202">
        <v>5.69</v>
      </c>
      <c r="AX117" s="202" t="s">
        <v>1623</v>
      </c>
      <c r="AY117" s="202">
        <v>2.92</v>
      </c>
      <c r="AZ117" s="202" t="s">
        <v>1623</v>
      </c>
      <c r="BA117" s="204"/>
      <c r="BB117" s="155">
        <f t="shared" si="28"/>
        <v>140</v>
      </c>
      <c r="BC117" s="155">
        <f t="shared" si="29"/>
        <v>140010</v>
      </c>
      <c r="BE117" s="151">
        <v>140</v>
      </c>
      <c r="BF117" s="202" t="s">
        <v>593</v>
      </c>
      <c r="BG117" s="203">
        <v>148.19999999999999</v>
      </c>
      <c r="BH117" s="203">
        <v>8.0860000000000001E-2</v>
      </c>
      <c r="BI117" s="202">
        <v>532.89</v>
      </c>
      <c r="BJ117" s="202" t="s">
        <v>1675</v>
      </c>
      <c r="BK117" s="202">
        <v>21</v>
      </c>
      <c r="BL117" s="202" t="s">
        <v>1675</v>
      </c>
      <c r="BM117" s="202">
        <v>3.5</v>
      </c>
      <c r="BN117" s="202" t="s">
        <v>1675</v>
      </c>
      <c r="BO117" s="204"/>
      <c r="BP117" s="155">
        <f t="shared" si="30"/>
        <v>140</v>
      </c>
      <c r="BQ117" s="155">
        <f t="shared" si="31"/>
        <v>532.89</v>
      </c>
      <c r="BS117" s="151">
        <v>140</v>
      </c>
      <c r="BT117" s="202" t="s">
        <v>593</v>
      </c>
      <c r="BU117" s="203">
        <v>459.9</v>
      </c>
      <c r="BV117" s="203">
        <v>0.25280000000000002</v>
      </c>
      <c r="BW117" s="202">
        <v>192.1</v>
      </c>
      <c r="BX117" s="202" t="s">
        <v>1675</v>
      </c>
      <c r="BY117" s="202">
        <v>7.07</v>
      </c>
      <c r="BZ117" s="202" t="s">
        <v>1675</v>
      </c>
      <c r="CA117" s="202">
        <v>1.19</v>
      </c>
      <c r="CB117" s="202" t="s">
        <v>1675</v>
      </c>
      <c r="CC117" s="204"/>
      <c r="CD117" s="155">
        <f t="shared" si="32"/>
        <v>140</v>
      </c>
      <c r="CE117" s="155">
        <f t="shared" si="33"/>
        <v>192.1</v>
      </c>
      <c r="CG117" s="151">
        <v>140</v>
      </c>
      <c r="CH117" s="202" t="s">
        <v>593</v>
      </c>
      <c r="CI117" s="203">
        <v>619.29999999999995</v>
      </c>
      <c r="CJ117" s="203">
        <v>0.35470000000000002</v>
      </c>
      <c r="CK117" s="202">
        <v>148.93</v>
      </c>
      <c r="CL117" s="202" t="s">
        <v>1675</v>
      </c>
      <c r="CM117" s="202">
        <v>5.35</v>
      </c>
      <c r="CN117" s="202" t="s">
        <v>1675</v>
      </c>
      <c r="CO117" s="202">
        <v>9390</v>
      </c>
      <c r="CP117" s="202" t="s">
        <v>1718</v>
      </c>
      <c r="CQ117" s="204"/>
      <c r="CR117" s="155">
        <f t="shared" si="41"/>
        <v>140</v>
      </c>
      <c r="CS117" s="155">
        <f t="shared" si="34"/>
        <v>148.93</v>
      </c>
      <c r="CU117" s="202">
        <v>140</v>
      </c>
      <c r="CV117" s="203" t="s">
        <v>593</v>
      </c>
      <c r="CW117" s="203">
        <v>2404</v>
      </c>
      <c r="CX117" s="203">
        <v>1.96</v>
      </c>
      <c r="CY117" s="202">
        <v>49.34</v>
      </c>
      <c r="CZ117" s="202" t="s">
        <v>1675</v>
      </c>
      <c r="DA117" s="202">
        <v>1.52</v>
      </c>
      <c r="DB117" s="202" t="s">
        <v>1675</v>
      </c>
      <c r="DC117" s="202">
        <v>4569</v>
      </c>
      <c r="DD117" s="204" t="s">
        <v>1718</v>
      </c>
      <c r="DE117" s="204"/>
      <c r="DF117" s="155">
        <f t="shared" si="35"/>
        <v>140</v>
      </c>
      <c r="DG117" s="156">
        <f t="shared" si="38"/>
        <v>49.34</v>
      </c>
      <c r="DI117" s="202">
        <v>140</v>
      </c>
      <c r="DJ117" s="203" t="s">
        <v>593</v>
      </c>
      <c r="DK117" s="203">
        <v>2233</v>
      </c>
      <c r="DL117" s="203">
        <v>1.9</v>
      </c>
      <c r="DM117" s="202">
        <v>52.92</v>
      </c>
      <c r="DN117" s="202" t="s">
        <v>1675</v>
      </c>
      <c r="DO117" s="202">
        <v>1.64</v>
      </c>
      <c r="DP117" s="202" t="s">
        <v>1675</v>
      </c>
      <c r="DQ117" s="202">
        <v>4802</v>
      </c>
      <c r="DR117" s="204" t="s">
        <v>1718</v>
      </c>
      <c r="DS117" s="204"/>
      <c r="DT117" s="155">
        <f t="shared" si="36"/>
        <v>140</v>
      </c>
      <c r="DU117" s="156">
        <f t="shared" si="39"/>
        <v>52.92</v>
      </c>
      <c r="DW117" s="401">
        <v>140</v>
      </c>
      <c r="DX117" s="401" t="s">
        <v>593</v>
      </c>
      <c r="DY117" s="402">
        <v>41.68</v>
      </c>
      <c r="DZ117" s="402">
        <v>2.29E-2</v>
      </c>
      <c r="EA117" s="401">
        <v>1.81</v>
      </c>
      <c r="EB117" s="401" t="s">
        <v>1623</v>
      </c>
      <c r="EC117" s="401">
        <v>73.89</v>
      </c>
      <c r="ED117" s="401" t="s">
        <v>1675</v>
      </c>
      <c r="EE117" s="401">
        <v>14.9</v>
      </c>
      <c r="EF117" s="403" t="s">
        <v>1675</v>
      </c>
      <c r="EH117" s="155">
        <f t="shared" si="37"/>
        <v>140</v>
      </c>
      <c r="EI117" s="156">
        <f t="shared" si="40"/>
        <v>1810</v>
      </c>
    </row>
    <row r="118" spans="1:139" x14ac:dyDescent="0.2">
      <c r="A118" s="151">
        <v>150</v>
      </c>
      <c r="B118" s="202" t="s">
        <v>593</v>
      </c>
      <c r="C118" s="203">
        <v>671.4</v>
      </c>
      <c r="D118" s="203">
        <v>0.39900000000000002</v>
      </c>
      <c r="E118" s="202">
        <v>147</v>
      </c>
      <c r="F118" s="202" t="s">
        <v>1675</v>
      </c>
      <c r="G118" s="202">
        <v>5.18</v>
      </c>
      <c r="H118" s="202" t="s">
        <v>1675</v>
      </c>
      <c r="I118" s="202">
        <v>9429</v>
      </c>
      <c r="J118" s="202" t="s">
        <v>1718</v>
      </c>
      <c r="K118" s="204"/>
      <c r="L118" s="155">
        <f t="shared" si="22"/>
        <v>150</v>
      </c>
      <c r="M118" s="155">
        <f t="shared" si="23"/>
        <v>147</v>
      </c>
      <c r="N118" s="275"/>
      <c r="O118" s="151">
        <v>150</v>
      </c>
      <c r="P118" s="202" t="s">
        <v>593</v>
      </c>
      <c r="Q118" s="203">
        <v>529.9</v>
      </c>
      <c r="R118" s="203">
        <v>0.28970000000000001</v>
      </c>
      <c r="S118" s="202">
        <v>180.09</v>
      </c>
      <c r="T118" s="202" t="s">
        <v>1675</v>
      </c>
      <c r="U118" s="202">
        <v>6.45</v>
      </c>
      <c r="V118" s="202" t="s">
        <v>1675</v>
      </c>
      <c r="W118" s="202">
        <v>1.1299999999999999</v>
      </c>
      <c r="X118" s="202" t="s">
        <v>1675</v>
      </c>
      <c r="Y118" s="204"/>
      <c r="Z118" s="155">
        <f t="shared" si="24"/>
        <v>150</v>
      </c>
      <c r="AA118" s="155">
        <f t="shared" si="25"/>
        <v>180.09</v>
      </c>
      <c r="AB118" s="275"/>
      <c r="AC118" s="151">
        <v>150</v>
      </c>
      <c r="AD118" s="202" t="s">
        <v>593</v>
      </c>
      <c r="AE118" s="203">
        <v>6.2590000000000003</v>
      </c>
      <c r="AF118" s="203">
        <v>3.3300000000000001E-3</v>
      </c>
      <c r="AG118" s="202">
        <v>13.16</v>
      </c>
      <c r="AH118" s="202" t="s">
        <v>1623</v>
      </c>
      <c r="AI118" s="202">
        <v>521.35</v>
      </c>
      <c r="AJ118" s="202" t="s">
        <v>1675</v>
      </c>
      <c r="AK118" s="202">
        <v>145.68</v>
      </c>
      <c r="AL118" s="202" t="s">
        <v>1675</v>
      </c>
      <c r="AM118" s="204"/>
      <c r="AN118" s="155">
        <f t="shared" si="26"/>
        <v>150</v>
      </c>
      <c r="AO118" s="155">
        <f t="shared" si="27"/>
        <v>13160</v>
      </c>
      <c r="AP118" s="275"/>
      <c r="AQ118" s="151">
        <v>150</v>
      </c>
      <c r="AR118" s="202" t="s">
        <v>593</v>
      </c>
      <c r="AS118" s="203">
        <v>0.54039999999999999</v>
      </c>
      <c r="AT118" s="203">
        <v>2.3149999999999999E-4</v>
      </c>
      <c r="AU118" s="202">
        <v>158.06</v>
      </c>
      <c r="AV118" s="202" t="s">
        <v>1623</v>
      </c>
      <c r="AW118" s="202">
        <v>6.25</v>
      </c>
      <c r="AX118" s="202" t="s">
        <v>1623</v>
      </c>
      <c r="AY118" s="202">
        <v>3.28</v>
      </c>
      <c r="AZ118" s="202" t="s">
        <v>1623</v>
      </c>
      <c r="BA118" s="204"/>
      <c r="BB118" s="155">
        <f t="shared" si="28"/>
        <v>150</v>
      </c>
      <c r="BC118" s="155">
        <f t="shared" si="29"/>
        <v>158060</v>
      </c>
      <c r="BE118" s="151">
        <v>150</v>
      </c>
      <c r="BF118" s="202" t="s">
        <v>593</v>
      </c>
      <c r="BG118" s="203">
        <v>139.69999999999999</v>
      </c>
      <c r="BH118" s="203">
        <v>7.5990000000000002E-2</v>
      </c>
      <c r="BI118" s="202">
        <v>602.37</v>
      </c>
      <c r="BJ118" s="202" t="s">
        <v>1675</v>
      </c>
      <c r="BK118" s="202">
        <v>23.2</v>
      </c>
      <c r="BL118" s="202" t="s">
        <v>1675</v>
      </c>
      <c r="BM118" s="202">
        <v>3.92</v>
      </c>
      <c r="BN118" s="202" t="s">
        <v>1675</v>
      </c>
      <c r="BO118" s="204"/>
      <c r="BP118" s="155">
        <f t="shared" si="30"/>
        <v>150</v>
      </c>
      <c r="BQ118" s="155">
        <f t="shared" si="31"/>
        <v>602.37</v>
      </c>
      <c r="BS118" s="151">
        <v>150</v>
      </c>
      <c r="BT118" s="202" t="s">
        <v>593</v>
      </c>
      <c r="BU118" s="203">
        <v>436.1</v>
      </c>
      <c r="BV118" s="203">
        <v>0.23769999999999999</v>
      </c>
      <c r="BW118" s="202">
        <v>214.42</v>
      </c>
      <c r="BX118" s="202" t="s">
        <v>1675</v>
      </c>
      <c r="BY118" s="202">
        <v>7.74</v>
      </c>
      <c r="BZ118" s="202" t="s">
        <v>1675</v>
      </c>
      <c r="CA118" s="202">
        <v>1.3</v>
      </c>
      <c r="CB118" s="202" t="s">
        <v>1675</v>
      </c>
      <c r="CC118" s="204"/>
      <c r="CD118" s="155">
        <f t="shared" si="32"/>
        <v>150</v>
      </c>
      <c r="CE118" s="155">
        <f t="shared" si="33"/>
        <v>214.42</v>
      </c>
      <c r="CG118" s="151">
        <v>150</v>
      </c>
      <c r="CH118" s="202" t="s">
        <v>593</v>
      </c>
      <c r="CI118" s="203">
        <v>590.70000000000005</v>
      </c>
      <c r="CJ118" s="203">
        <v>0.33360000000000001</v>
      </c>
      <c r="CK118" s="202">
        <v>165.45</v>
      </c>
      <c r="CL118" s="202" t="s">
        <v>1675</v>
      </c>
      <c r="CM118" s="202">
        <v>5.84</v>
      </c>
      <c r="CN118" s="202" t="s">
        <v>1675</v>
      </c>
      <c r="CO118" s="202">
        <v>1.02</v>
      </c>
      <c r="CP118" s="202" t="s">
        <v>1675</v>
      </c>
      <c r="CQ118" s="204"/>
      <c r="CR118" s="155">
        <f t="shared" si="41"/>
        <v>150</v>
      </c>
      <c r="CS118" s="155">
        <f t="shared" si="34"/>
        <v>165.45</v>
      </c>
      <c r="CU118" s="202">
        <v>150</v>
      </c>
      <c r="CV118" s="203" t="s">
        <v>593</v>
      </c>
      <c r="CW118" s="203">
        <v>2325</v>
      </c>
      <c r="CX118" s="203">
        <v>1.8460000000000001</v>
      </c>
      <c r="CY118" s="202">
        <v>53.57</v>
      </c>
      <c r="CZ118" s="202" t="s">
        <v>1675</v>
      </c>
      <c r="DA118" s="202">
        <v>1.64</v>
      </c>
      <c r="DB118" s="202" t="s">
        <v>1675</v>
      </c>
      <c r="DC118" s="202">
        <v>4714</v>
      </c>
      <c r="DD118" s="204" t="s">
        <v>1718</v>
      </c>
      <c r="DE118" s="204"/>
      <c r="DF118" s="155">
        <f t="shared" si="35"/>
        <v>150</v>
      </c>
      <c r="DG118" s="156">
        <f t="shared" si="38"/>
        <v>53.57</v>
      </c>
      <c r="DI118" s="202">
        <v>150</v>
      </c>
      <c r="DJ118" s="203" t="s">
        <v>593</v>
      </c>
      <c r="DK118" s="203">
        <v>2163</v>
      </c>
      <c r="DL118" s="203">
        <v>1.7889999999999999</v>
      </c>
      <c r="DM118" s="202">
        <v>57.46</v>
      </c>
      <c r="DN118" s="202" t="s">
        <v>1675</v>
      </c>
      <c r="DO118" s="202">
        <v>1.76</v>
      </c>
      <c r="DP118" s="202" t="s">
        <v>1675</v>
      </c>
      <c r="DQ118" s="202">
        <v>4956</v>
      </c>
      <c r="DR118" s="204" t="s">
        <v>1718</v>
      </c>
      <c r="DS118" s="204"/>
      <c r="DT118" s="155">
        <f t="shared" si="36"/>
        <v>150</v>
      </c>
      <c r="DU118" s="156">
        <f t="shared" si="39"/>
        <v>57.46</v>
      </c>
      <c r="DW118" s="401">
        <v>150</v>
      </c>
      <c r="DX118" s="401" t="s">
        <v>593</v>
      </c>
      <c r="DY118" s="402">
        <v>39.340000000000003</v>
      </c>
      <c r="DZ118" s="402">
        <v>2.1510000000000001E-2</v>
      </c>
      <c r="EA118" s="401">
        <v>2.06</v>
      </c>
      <c r="EB118" s="401" t="s">
        <v>1623</v>
      </c>
      <c r="EC118" s="401">
        <v>81.819999999999993</v>
      </c>
      <c r="ED118" s="401" t="s">
        <v>1675</v>
      </c>
      <c r="EE118" s="401">
        <v>16.91</v>
      </c>
      <c r="EF118" s="403" t="s">
        <v>1675</v>
      </c>
      <c r="EH118" s="155">
        <f t="shared" si="37"/>
        <v>150</v>
      </c>
      <c r="EI118" s="156">
        <f t="shared" si="40"/>
        <v>2060</v>
      </c>
    </row>
    <row r="119" spans="1:139" x14ac:dyDescent="0.2">
      <c r="A119" s="151">
        <v>160</v>
      </c>
      <c r="B119" s="202" t="s">
        <v>593</v>
      </c>
      <c r="C119" s="203">
        <v>643.4</v>
      </c>
      <c r="D119" s="203">
        <v>0.37669999999999998</v>
      </c>
      <c r="E119" s="202">
        <v>162.21</v>
      </c>
      <c r="F119" s="202" t="s">
        <v>1675</v>
      </c>
      <c r="G119" s="202">
        <v>5.61</v>
      </c>
      <c r="H119" s="202" t="s">
        <v>1675</v>
      </c>
      <c r="I119" s="202">
        <v>1.01</v>
      </c>
      <c r="J119" s="202" t="s">
        <v>1675</v>
      </c>
      <c r="K119" s="204"/>
      <c r="L119" s="155">
        <f t="shared" si="22"/>
        <v>160</v>
      </c>
      <c r="M119" s="155">
        <f t="shared" si="23"/>
        <v>162.21</v>
      </c>
      <c r="N119" s="275"/>
      <c r="O119" s="151">
        <v>160</v>
      </c>
      <c r="P119" s="202" t="s">
        <v>593</v>
      </c>
      <c r="Q119" s="203">
        <v>505.4</v>
      </c>
      <c r="R119" s="203">
        <v>0.27350000000000002</v>
      </c>
      <c r="S119" s="202">
        <v>199.41</v>
      </c>
      <c r="T119" s="202" t="s">
        <v>1675</v>
      </c>
      <c r="U119" s="202">
        <v>7.01</v>
      </c>
      <c r="V119" s="202" t="s">
        <v>1675</v>
      </c>
      <c r="W119" s="202">
        <v>1.22</v>
      </c>
      <c r="X119" s="202" t="s">
        <v>1675</v>
      </c>
      <c r="Y119" s="204"/>
      <c r="Z119" s="155">
        <f t="shared" si="24"/>
        <v>160</v>
      </c>
      <c r="AA119" s="155">
        <f t="shared" si="25"/>
        <v>199.41</v>
      </c>
      <c r="AB119" s="275"/>
      <c r="AC119" s="151">
        <v>160</v>
      </c>
      <c r="AD119" s="202" t="s">
        <v>593</v>
      </c>
      <c r="AE119" s="203">
        <v>5.9390000000000001</v>
      </c>
      <c r="AF119" s="203">
        <v>3.1389999999999999E-3</v>
      </c>
      <c r="AG119" s="202">
        <v>14.8</v>
      </c>
      <c r="AH119" s="202" t="s">
        <v>1623</v>
      </c>
      <c r="AI119" s="202">
        <v>571.47</v>
      </c>
      <c r="AJ119" s="202" t="s">
        <v>1675</v>
      </c>
      <c r="AK119" s="202">
        <v>163.38999999999999</v>
      </c>
      <c r="AL119" s="202" t="s">
        <v>1675</v>
      </c>
      <c r="AM119" s="204"/>
      <c r="AN119" s="155">
        <f t="shared" si="26"/>
        <v>160</v>
      </c>
      <c r="AO119" s="155">
        <f t="shared" si="27"/>
        <v>14800</v>
      </c>
      <c r="AP119" s="275"/>
      <c r="AQ119" s="151">
        <v>160</v>
      </c>
      <c r="AR119" s="202" t="s">
        <v>593</v>
      </c>
      <c r="AS119" s="203">
        <v>0.51680000000000004</v>
      </c>
      <c r="AT119" s="203">
        <v>2.1809999999999999E-4</v>
      </c>
      <c r="AU119" s="202">
        <v>176.96</v>
      </c>
      <c r="AV119" s="202" t="s">
        <v>1623</v>
      </c>
      <c r="AW119" s="202">
        <v>6.82</v>
      </c>
      <c r="AX119" s="202" t="s">
        <v>1623</v>
      </c>
      <c r="AY119" s="202">
        <v>3.66</v>
      </c>
      <c r="AZ119" s="202" t="s">
        <v>1623</v>
      </c>
      <c r="BA119" s="204"/>
      <c r="BB119" s="155">
        <f t="shared" si="28"/>
        <v>160</v>
      </c>
      <c r="BC119" s="155">
        <f t="shared" si="29"/>
        <v>176960</v>
      </c>
      <c r="BE119" s="151">
        <v>160</v>
      </c>
      <c r="BF119" s="202" t="s">
        <v>593</v>
      </c>
      <c r="BG119" s="203">
        <v>132.19999999999999</v>
      </c>
      <c r="BH119" s="203">
        <v>7.1690000000000004E-2</v>
      </c>
      <c r="BI119" s="202">
        <v>675.95</v>
      </c>
      <c r="BJ119" s="202" t="s">
        <v>1675</v>
      </c>
      <c r="BK119" s="202">
        <v>25.45</v>
      </c>
      <c r="BL119" s="202" t="s">
        <v>1675</v>
      </c>
      <c r="BM119" s="202">
        <v>4.38</v>
      </c>
      <c r="BN119" s="202" t="s">
        <v>1675</v>
      </c>
      <c r="BO119" s="204"/>
      <c r="BP119" s="155">
        <f t="shared" si="30"/>
        <v>160</v>
      </c>
      <c r="BQ119" s="155">
        <f t="shared" si="31"/>
        <v>675.95</v>
      </c>
      <c r="BS119" s="151">
        <v>160</v>
      </c>
      <c r="BT119" s="202" t="s">
        <v>593</v>
      </c>
      <c r="BU119" s="203">
        <v>414.5</v>
      </c>
      <c r="BV119" s="203">
        <v>0.2243</v>
      </c>
      <c r="BW119" s="202">
        <v>237.93</v>
      </c>
      <c r="BX119" s="202" t="s">
        <v>1675</v>
      </c>
      <c r="BY119" s="202">
        <v>8.43</v>
      </c>
      <c r="BZ119" s="202" t="s">
        <v>1675</v>
      </c>
      <c r="CA119" s="202">
        <v>1.42</v>
      </c>
      <c r="CB119" s="202" t="s">
        <v>1675</v>
      </c>
      <c r="CC119" s="204"/>
      <c r="CD119" s="155">
        <f t="shared" si="32"/>
        <v>160</v>
      </c>
      <c r="CE119" s="155">
        <f t="shared" si="33"/>
        <v>237.93</v>
      </c>
      <c r="CG119" s="151">
        <v>160</v>
      </c>
      <c r="CH119" s="202" t="s">
        <v>593</v>
      </c>
      <c r="CI119" s="203">
        <v>564.70000000000005</v>
      </c>
      <c r="CJ119" s="203">
        <v>0.315</v>
      </c>
      <c r="CK119" s="202">
        <v>182.76</v>
      </c>
      <c r="CL119" s="202" t="s">
        <v>1675</v>
      </c>
      <c r="CM119" s="202">
        <v>6.33</v>
      </c>
      <c r="CN119" s="202" t="s">
        <v>1675</v>
      </c>
      <c r="CO119" s="202">
        <v>1.1000000000000001</v>
      </c>
      <c r="CP119" s="202" t="s">
        <v>1675</v>
      </c>
      <c r="CQ119" s="204"/>
      <c r="CR119" s="155">
        <f t="shared" si="41"/>
        <v>160</v>
      </c>
      <c r="CS119" s="155">
        <f t="shared" si="34"/>
        <v>182.76</v>
      </c>
      <c r="CU119" s="202">
        <v>160</v>
      </c>
      <c r="CV119" s="203" t="s">
        <v>593</v>
      </c>
      <c r="CW119" s="203">
        <v>2252</v>
      </c>
      <c r="CX119" s="203">
        <v>1.744</v>
      </c>
      <c r="CY119" s="202">
        <v>57.93</v>
      </c>
      <c r="CZ119" s="202" t="s">
        <v>1675</v>
      </c>
      <c r="DA119" s="202">
        <v>1.75</v>
      </c>
      <c r="DB119" s="202" t="s">
        <v>1675</v>
      </c>
      <c r="DC119" s="202">
        <v>4864</v>
      </c>
      <c r="DD119" s="204" t="s">
        <v>1718</v>
      </c>
      <c r="DE119" s="204"/>
      <c r="DF119" s="155">
        <f t="shared" si="35"/>
        <v>160</v>
      </c>
      <c r="DG119" s="156">
        <f t="shared" si="38"/>
        <v>57.93</v>
      </c>
      <c r="DI119" s="202">
        <v>160</v>
      </c>
      <c r="DJ119" s="203" t="s">
        <v>593</v>
      </c>
      <c r="DK119" s="203">
        <v>2099</v>
      </c>
      <c r="DL119" s="203">
        <v>1.6910000000000001</v>
      </c>
      <c r="DM119" s="202">
        <v>62.15</v>
      </c>
      <c r="DN119" s="202" t="s">
        <v>1675</v>
      </c>
      <c r="DO119" s="202">
        <v>1.88</v>
      </c>
      <c r="DP119" s="202" t="s">
        <v>1675</v>
      </c>
      <c r="DQ119" s="202">
        <v>5115</v>
      </c>
      <c r="DR119" s="204" t="s">
        <v>1718</v>
      </c>
      <c r="DS119" s="204"/>
      <c r="DT119" s="155">
        <f t="shared" si="36"/>
        <v>160</v>
      </c>
      <c r="DU119" s="156">
        <f t="shared" si="39"/>
        <v>62.15</v>
      </c>
      <c r="DW119" s="401">
        <v>160</v>
      </c>
      <c r="DX119" s="401" t="s">
        <v>593</v>
      </c>
      <c r="DY119" s="402">
        <v>37.29</v>
      </c>
      <c r="DZ119" s="402">
        <v>2.0279999999999999E-2</v>
      </c>
      <c r="EA119" s="401">
        <v>2.3199999999999998</v>
      </c>
      <c r="EB119" s="401" t="s">
        <v>1623</v>
      </c>
      <c r="EC119" s="401">
        <v>89.86</v>
      </c>
      <c r="ED119" s="401" t="s">
        <v>1675</v>
      </c>
      <c r="EE119" s="401">
        <v>19.03</v>
      </c>
      <c r="EF119" s="403" t="s">
        <v>1675</v>
      </c>
      <c r="EH119" s="155">
        <f t="shared" si="37"/>
        <v>160</v>
      </c>
      <c r="EI119" s="156">
        <f t="shared" si="40"/>
        <v>2320</v>
      </c>
    </row>
    <row r="120" spans="1:139" x14ac:dyDescent="0.2">
      <c r="A120" s="151">
        <v>170</v>
      </c>
      <c r="B120" s="202" t="s">
        <v>593</v>
      </c>
      <c r="C120" s="203">
        <v>617.79999999999995</v>
      </c>
      <c r="D120" s="203">
        <v>0.3569</v>
      </c>
      <c r="E120" s="202">
        <v>178.07</v>
      </c>
      <c r="F120" s="202" t="s">
        <v>1675</v>
      </c>
      <c r="G120" s="202">
        <v>6.04</v>
      </c>
      <c r="H120" s="202" t="s">
        <v>1675</v>
      </c>
      <c r="I120" s="202">
        <v>1.0900000000000001</v>
      </c>
      <c r="J120" s="202" t="s">
        <v>1675</v>
      </c>
      <c r="K120" s="204"/>
      <c r="L120" s="155">
        <f t="shared" si="22"/>
        <v>170</v>
      </c>
      <c r="M120" s="155">
        <f t="shared" si="23"/>
        <v>178.07</v>
      </c>
      <c r="N120" s="275"/>
      <c r="O120" s="151">
        <v>170</v>
      </c>
      <c r="P120" s="202" t="s">
        <v>593</v>
      </c>
      <c r="Q120" s="203">
        <v>483</v>
      </c>
      <c r="R120" s="203">
        <v>0.2591</v>
      </c>
      <c r="S120" s="202">
        <v>219.65</v>
      </c>
      <c r="T120" s="202" t="s">
        <v>1675</v>
      </c>
      <c r="U120" s="202">
        <v>7.57</v>
      </c>
      <c r="V120" s="202" t="s">
        <v>1675</v>
      </c>
      <c r="W120" s="202">
        <v>1.32</v>
      </c>
      <c r="X120" s="202" t="s">
        <v>1675</v>
      </c>
      <c r="Y120" s="204"/>
      <c r="Z120" s="155">
        <f t="shared" si="24"/>
        <v>170</v>
      </c>
      <c r="AA120" s="155">
        <f t="shared" si="25"/>
        <v>219.65</v>
      </c>
      <c r="AB120" s="275"/>
      <c r="AC120" s="151">
        <v>170</v>
      </c>
      <c r="AD120" s="202" t="s">
        <v>593</v>
      </c>
      <c r="AE120" s="203">
        <v>5.6539999999999999</v>
      </c>
      <c r="AF120" s="203">
        <v>2.9689999999999999E-3</v>
      </c>
      <c r="AG120" s="202">
        <v>16.53</v>
      </c>
      <c r="AH120" s="202" t="s">
        <v>1623</v>
      </c>
      <c r="AI120" s="202">
        <v>622.30999999999995</v>
      </c>
      <c r="AJ120" s="202" t="s">
        <v>1675</v>
      </c>
      <c r="AK120" s="202">
        <v>181.96</v>
      </c>
      <c r="AL120" s="202" t="s">
        <v>1675</v>
      </c>
      <c r="AM120" s="204"/>
      <c r="AN120" s="155">
        <f t="shared" si="26"/>
        <v>170</v>
      </c>
      <c r="AO120" s="155">
        <f t="shared" si="27"/>
        <v>16530</v>
      </c>
      <c r="AP120" s="275"/>
      <c r="AQ120" s="151">
        <v>170</v>
      </c>
      <c r="AR120" s="202" t="s">
        <v>593</v>
      </c>
      <c r="AS120" s="203">
        <v>0.49580000000000002</v>
      </c>
      <c r="AT120" s="203">
        <v>2.062E-4</v>
      </c>
      <c r="AU120" s="202">
        <v>196.7</v>
      </c>
      <c r="AV120" s="202" t="s">
        <v>1623</v>
      </c>
      <c r="AW120" s="202">
        <v>7.39</v>
      </c>
      <c r="AX120" s="202" t="s">
        <v>1623</v>
      </c>
      <c r="AY120" s="202">
        <v>4.05</v>
      </c>
      <c r="AZ120" s="202" t="s">
        <v>1623</v>
      </c>
      <c r="BA120" s="204"/>
      <c r="BB120" s="155">
        <f t="shared" si="28"/>
        <v>170</v>
      </c>
      <c r="BC120" s="155">
        <f t="shared" si="29"/>
        <v>196700</v>
      </c>
      <c r="BE120" s="151">
        <v>170</v>
      </c>
      <c r="BF120" s="202" t="s">
        <v>593</v>
      </c>
      <c r="BG120" s="203">
        <v>125.4</v>
      </c>
      <c r="BH120" s="203">
        <v>6.787E-2</v>
      </c>
      <c r="BI120" s="202">
        <v>753.6</v>
      </c>
      <c r="BJ120" s="202" t="s">
        <v>1675</v>
      </c>
      <c r="BK120" s="202">
        <v>27.74</v>
      </c>
      <c r="BL120" s="202" t="s">
        <v>1675</v>
      </c>
      <c r="BM120" s="202">
        <v>4.8600000000000003</v>
      </c>
      <c r="BN120" s="202" t="s">
        <v>1675</v>
      </c>
      <c r="BO120" s="204"/>
      <c r="BP120" s="155">
        <f t="shared" si="30"/>
        <v>170</v>
      </c>
      <c r="BQ120" s="155">
        <f t="shared" si="31"/>
        <v>753.6</v>
      </c>
      <c r="BS120" s="151">
        <v>170</v>
      </c>
      <c r="BT120" s="202" t="s">
        <v>593</v>
      </c>
      <c r="BU120" s="203">
        <v>394.9</v>
      </c>
      <c r="BV120" s="203">
        <v>0.21249999999999999</v>
      </c>
      <c r="BW120" s="202">
        <v>262.64</v>
      </c>
      <c r="BX120" s="202" t="s">
        <v>1675</v>
      </c>
      <c r="BY120" s="202">
        <v>9.1300000000000008</v>
      </c>
      <c r="BZ120" s="202" t="s">
        <v>1675</v>
      </c>
      <c r="CA120" s="202">
        <v>1.54</v>
      </c>
      <c r="CB120" s="202" t="s">
        <v>1675</v>
      </c>
      <c r="CC120" s="204"/>
      <c r="CD120" s="155">
        <f t="shared" si="32"/>
        <v>170</v>
      </c>
      <c r="CE120" s="155">
        <f t="shared" si="33"/>
        <v>262.64</v>
      </c>
      <c r="CG120" s="151">
        <v>170</v>
      </c>
      <c r="CH120" s="202" t="s">
        <v>593</v>
      </c>
      <c r="CI120" s="203">
        <v>540.79999999999995</v>
      </c>
      <c r="CJ120" s="203">
        <v>0.2984</v>
      </c>
      <c r="CK120" s="202">
        <v>200.85</v>
      </c>
      <c r="CL120" s="202" t="s">
        <v>1675</v>
      </c>
      <c r="CM120" s="202">
        <v>6.83</v>
      </c>
      <c r="CN120" s="202" t="s">
        <v>1675</v>
      </c>
      <c r="CO120" s="202">
        <v>1.18</v>
      </c>
      <c r="CP120" s="202" t="s">
        <v>1675</v>
      </c>
      <c r="CQ120" s="204"/>
      <c r="CR120" s="155">
        <f t="shared" si="41"/>
        <v>170</v>
      </c>
      <c r="CS120" s="155">
        <f t="shared" si="34"/>
        <v>200.85</v>
      </c>
      <c r="CU120" s="202">
        <v>170</v>
      </c>
      <c r="CV120" s="203" t="s">
        <v>593</v>
      </c>
      <c r="CW120" s="203">
        <v>2184</v>
      </c>
      <c r="CX120" s="203">
        <v>1.6539999999999999</v>
      </c>
      <c r="CY120" s="202">
        <v>62.44</v>
      </c>
      <c r="CZ120" s="202" t="s">
        <v>1675</v>
      </c>
      <c r="DA120" s="202">
        <v>1.86</v>
      </c>
      <c r="DB120" s="202" t="s">
        <v>1675</v>
      </c>
      <c r="DC120" s="202">
        <v>5019</v>
      </c>
      <c r="DD120" s="204" t="s">
        <v>1718</v>
      </c>
      <c r="DE120" s="204"/>
      <c r="DF120" s="155">
        <f t="shared" si="35"/>
        <v>170</v>
      </c>
      <c r="DG120" s="156">
        <f t="shared" si="38"/>
        <v>62.44</v>
      </c>
      <c r="DI120" s="202">
        <v>170</v>
      </c>
      <c r="DJ120" s="203" t="s">
        <v>593</v>
      </c>
      <c r="DK120" s="203">
        <v>2040</v>
      </c>
      <c r="DL120" s="203">
        <v>1.6040000000000001</v>
      </c>
      <c r="DM120" s="202">
        <v>66.98</v>
      </c>
      <c r="DN120" s="202" t="s">
        <v>1675</v>
      </c>
      <c r="DO120" s="202">
        <v>2</v>
      </c>
      <c r="DP120" s="202" t="s">
        <v>1675</v>
      </c>
      <c r="DQ120" s="202">
        <v>5279</v>
      </c>
      <c r="DR120" s="204" t="s">
        <v>1718</v>
      </c>
      <c r="DS120" s="204"/>
      <c r="DT120" s="155">
        <f t="shared" si="36"/>
        <v>170</v>
      </c>
      <c r="DU120" s="156">
        <f t="shared" si="39"/>
        <v>66.98</v>
      </c>
      <c r="DW120" s="401">
        <v>170</v>
      </c>
      <c r="DX120" s="401" t="s">
        <v>593</v>
      </c>
      <c r="DY120" s="402">
        <v>35.47</v>
      </c>
      <c r="DZ120" s="402">
        <v>1.9199999999999998E-2</v>
      </c>
      <c r="EA120" s="401">
        <v>2.59</v>
      </c>
      <c r="EB120" s="401" t="s">
        <v>1623</v>
      </c>
      <c r="EC120" s="401">
        <v>98.01</v>
      </c>
      <c r="ED120" s="401" t="s">
        <v>1675</v>
      </c>
      <c r="EE120" s="401">
        <v>21.26</v>
      </c>
      <c r="EF120" s="403" t="s">
        <v>1675</v>
      </c>
      <c r="EH120" s="155">
        <f t="shared" si="37"/>
        <v>170</v>
      </c>
      <c r="EI120" s="156">
        <f t="shared" si="40"/>
        <v>2590</v>
      </c>
    </row>
    <row r="121" spans="1:139" x14ac:dyDescent="0.2">
      <c r="A121" s="151">
        <v>180</v>
      </c>
      <c r="B121" s="202" t="s">
        <v>593</v>
      </c>
      <c r="C121" s="203">
        <v>594.4</v>
      </c>
      <c r="D121" s="203">
        <v>0.3392</v>
      </c>
      <c r="E121" s="202">
        <v>194.56</v>
      </c>
      <c r="F121" s="202" t="s">
        <v>1675</v>
      </c>
      <c r="G121" s="202">
        <v>6.48</v>
      </c>
      <c r="H121" s="202" t="s">
        <v>1675</v>
      </c>
      <c r="I121" s="202">
        <v>1.17</v>
      </c>
      <c r="J121" s="202" t="s">
        <v>1675</v>
      </c>
      <c r="K121" s="204"/>
      <c r="L121" s="155">
        <f t="shared" si="22"/>
        <v>180</v>
      </c>
      <c r="M121" s="155">
        <f t="shared" si="23"/>
        <v>194.56</v>
      </c>
      <c r="N121" s="275"/>
      <c r="O121" s="151">
        <v>180</v>
      </c>
      <c r="P121" s="202" t="s">
        <v>593</v>
      </c>
      <c r="Q121" s="203">
        <v>462.4</v>
      </c>
      <c r="R121" s="203">
        <v>0.2462</v>
      </c>
      <c r="S121" s="202">
        <v>240.8</v>
      </c>
      <c r="T121" s="202" t="s">
        <v>1675</v>
      </c>
      <c r="U121" s="202">
        <v>8.15</v>
      </c>
      <c r="V121" s="202" t="s">
        <v>1675</v>
      </c>
      <c r="W121" s="202">
        <v>1.43</v>
      </c>
      <c r="X121" s="202" t="s">
        <v>1675</v>
      </c>
      <c r="Y121" s="204"/>
      <c r="Z121" s="155">
        <f t="shared" si="24"/>
        <v>180</v>
      </c>
      <c r="AA121" s="155">
        <f t="shared" si="25"/>
        <v>240.8</v>
      </c>
      <c r="AB121" s="275"/>
      <c r="AC121" s="151">
        <v>180</v>
      </c>
      <c r="AD121" s="202" t="s">
        <v>593</v>
      </c>
      <c r="AE121" s="203">
        <v>5.399</v>
      </c>
      <c r="AF121" s="203">
        <v>2.8170000000000001E-3</v>
      </c>
      <c r="AG121" s="202">
        <v>18.34</v>
      </c>
      <c r="AH121" s="202" t="s">
        <v>1623</v>
      </c>
      <c r="AI121" s="202">
        <v>673.86</v>
      </c>
      <c r="AJ121" s="202" t="s">
        <v>1675</v>
      </c>
      <c r="AK121" s="202">
        <v>201.39</v>
      </c>
      <c r="AL121" s="202" t="s">
        <v>1675</v>
      </c>
      <c r="AM121" s="204"/>
      <c r="AN121" s="155">
        <f t="shared" si="26"/>
        <v>180</v>
      </c>
      <c r="AO121" s="155">
        <f t="shared" si="27"/>
        <v>18340</v>
      </c>
      <c r="AP121" s="275"/>
      <c r="AQ121" s="151">
        <v>180</v>
      </c>
      <c r="AR121" s="202" t="s">
        <v>593</v>
      </c>
      <c r="AS121" s="203">
        <v>0.47710000000000002</v>
      </c>
      <c r="AT121" s="203">
        <v>1.9560000000000001E-4</v>
      </c>
      <c r="AU121" s="202">
        <v>217.24</v>
      </c>
      <c r="AV121" s="202" t="s">
        <v>1623</v>
      </c>
      <c r="AW121" s="202">
        <v>7.97</v>
      </c>
      <c r="AX121" s="202" t="s">
        <v>1623</v>
      </c>
      <c r="AY121" s="202">
        <v>4.45</v>
      </c>
      <c r="AZ121" s="202" t="s">
        <v>1623</v>
      </c>
      <c r="BA121" s="204"/>
      <c r="BB121" s="155">
        <f t="shared" si="28"/>
        <v>180</v>
      </c>
      <c r="BC121" s="155">
        <f t="shared" si="29"/>
        <v>217240</v>
      </c>
      <c r="BE121" s="151">
        <v>180</v>
      </c>
      <c r="BF121" s="202" t="s">
        <v>593</v>
      </c>
      <c r="BG121" s="203">
        <v>119.4</v>
      </c>
      <c r="BH121" s="203">
        <v>6.4460000000000003E-2</v>
      </c>
      <c r="BI121" s="202">
        <v>835.31</v>
      </c>
      <c r="BJ121" s="202" t="s">
        <v>1675</v>
      </c>
      <c r="BK121" s="202">
        <v>30.07</v>
      </c>
      <c r="BL121" s="202" t="s">
        <v>1675</v>
      </c>
      <c r="BM121" s="202">
        <v>5.36</v>
      </c>
      <c r="BN121" s="202" t="s">
        <v>1675</v>
      </c>
      <c r="BO121" s="204"/>
      <c r="BP121" s="155">
        <f t="shared" si="30"/>
        <v>180</v>
      </c>
      <c r="BQ121" s="155">
        <f t="shared" si="31"/>
        <v>835.31</v>
      </c>
      <c r="BS121" s="151">
        <v>180</v>
      </c>
      <c r="BT121" s="202" t="s">
        <v>593</v>
      </c>
      <c r="BU121" s="203">
        <v>376.9</v>
      </c>
      <c r="BV121" s="203">
        <v>0.2019</v>
      </c>
      <c r="BW121" s="202">
        <v>288.56</v>
      </c>
      <c r="BX121" s="202" t="s">
        <v>1675</v>
      </c>
      <c r="BY121" s="202">
        <v>9.85</v>
      </c>
      <c r="BZ121" s="202" t="s">
        <v>1675</v>
      </c>
      <c r="CA121" s="202">
        <v>1.67</v>
      </c>
      <c r="CB121" s="202" t="s">
        <v>1675</v>
      </c>
      <c r="CC121" s="204"/>
      <c r="CD121" s="155">
        <f t="shared" si="32"/>
        <v>180</v>
      </c>
      <c r="CE121" s="155">
        <f t="shared" si="33"/>
        <v>288.56</v>
      </c>
      <c r="CG121" s="151">
        <v>180</v>
      </c>
      <c r="CH121" s="202" t="s">
        <v>593</v>
      </c>
      <c r="CI121" s="203">
        <v>518.9</v>
      </c>
      <c r="CJ121" s="203">
        <v>0.28360000000000002</v>
      </c>
      <c r="CK121" s="202">
        <v>219.72</v>
      </c>
      <c r="CL121" s="202" t="s">
        <v>1675</v>
      </c>
      <c r="CM121" s="202">
        <v>7.34</v>
      </c>
      <c r="CN121" s="202" t="s">
        <v>1675</v>
      </c>
      <c r="CO121" s="202">
        <v>1.27</v>
      </c>
      <c r="CP121" s="202" t="s">
        <v>1675</v>
      </c>
      <c r="CQ121" s="204"/>
      <c r="CR121" s="155">
        <f t="shared" si="41"/>
        <v>180</v>
      </c>
      <c r="CS121" s="155">
        <f t="shared" si="34"/>
        <v>219.72</v>
      </c>
      <c r="CU121" s="202">
        <v>180</v>
      </c>
      <c r="CV121" s="203" t="s">
        <v>593</v>
      </c>
      <c r="CW121" s="203">
        <v>2121</v>
      </c>
      <c r="CX121" s="203">
        <v>1.573</v>
      </c>
      <c r="CY121" s="202">
        <v>67.08</v>
      </c>
      <c r="CZ121" s="202" t="s">
        <v>1675</v>
      </c>
      <c r="DA121" s="202">
        <v>1.98</v>
      </c>
      <c r="DB121" s="202" t="s">
        <v>1675</v>
      </c>
      <c r="DC121" s="202">
        <v>5180</v>
      </c>
      <c r="DD121" s="204" t="s">
        <v>1718</v>
      </c>
      <c r="DE121" s="204"/>
      <c r="DF121" s="155">
        <f t="shared" si="35"/>
        <v>180</v>
      </c>
      <c r="DG121" s="156">
        <f t="shared" si="38"/>
        <v>67.08</v>
      </c>
      <c r="DI121" s="202">
        <v>180</v>
      </c>
      <c r="DJ121" s="203" t="s">
        <v>593</v>
      </c>
      <c r="DK121" s="203">
        <v>1985</v>
      </c>
      <c r="DL121" s="203">
        <v>1.5249999999999999</v>
      </c>
      <c r="DM121" s="202">
        <v>71.95</v>
      </c>
      <c r="DN121" s="202" t="s">
        <v>1675</v>
      </c>
      <c r="DO121" s="202">
        <v>2.12</v>
      </c>
      <c r="DP121" s="202" t="s">
        <v>1675</v>
      </c>
      <c r="DQ121" s="202">
        <v>5448</v>
      </c>
      <c r="DR121" s="204" t="s">
        <v>1718</v>
      </c>
      <c r="DS121" s="204"/>
      <c r="DT121" s="155">
        <f t="shared" si="36"/>
        <v>180</v>
      </c>
      <c r="DU121" s="156">
        <f t="shared" si="39"/>
        <v>71.95</v>
      </c>
      <c r="DW121" s="401">
        <v>180</v>
      </c>
      <c r="DX121" s="401" t="s">
        <v>593</v>
      </c>
      <c r="DY121" s="402">
        <v>33.840000000000003</v>
      </c>
      <c r="DZ121" s="402">
        <v>1.822E-2</v>
      </c>
      <c r="EA121" s="401">
        <v>2.88</v>
      </c>
      <c r="EB121" s="401" t="s">
        <v>1623</v>
      </c>
      <c r="EC121" s="401">
        <v>106.28</v>
      </c>
      <c r="ED121" s="401" t="s">
        <v>1675</v>
      </c>
      <c r="EE121" s="401">
        <v>23.6</v>
      </c>
      <c r="EF121" s="403" t="s">
        <v>1675</v>
      </c>
      <c r="EH121" s="155">
        <f t="shared" si="37"/>
        <v>180</v>
      </c>
      <c r="EI121" s="156">
        <f t="shared" si="40"/>
        <v>2880</v>
      </c>
    </row>
    <row r="122" spans="1:139" x14ac:dyDescent="0.2">
      <c r="A122" s="151">
        <v>200</v>
      </c>
      <c r="B122" s="202" t="s">
        <v>593</v>
      </c>
      <c r="C122" s="203">
        <v>552.70000000000005</v>
      </c>
      <c r="D122" s="203">
        <v>0.30880000000000002</v>
      </c>
      <c r="E122" s="202">
        <v>229.45</v>
      </c>
      <c r="F122" s="202" t="s">
        <v>1675</v>
      </c>
      <c r="G122" s="202">
        <v>8.15</v>
      </c>
      <c r="H122" s="202" t="s">
        <v>1675</v>
      </c>
      <c r="I122" s="202">
        <v>1.33</v>
      </c>
      <c r="J122" s="202" t="s">
        <v>1675</v>
      </c>
      <c r="K122" s="204"/>
      <c r="L122" s="155">
        <f t="shared" si="22"/>
        <v>200</v>
      </c>
      <c r="M122" s="155">
        <f t="shared" si="23"/>
        <v>229.45</v>
      </c>
      <c r="N122" s="275"/>
      <c r="O122" s="151">
        <v>200</v>
      </c>
      <c r="P122" s="202" t="s">
        <v>593</v>
      </c>
      <c r="Q122" s="203">
        <v>425.8</v>
      </c>
      <c r="R122" s="203">
        <v>0.22409999999999999</v>
      </c>
      <c r="S122" s="202">
        <v>285.87</v>
      </c>
      <c r="T122" s="202" t="s">
        <v>1675</v>
      </c>
      <c r="U122" s="202">
        <v>10.35</v>
      </c>
      <c r="V122" s="202" t="s">
        <v>1675</v>
      </c>
      <c r="W122" s="202">
        <v>1.65</v>
      </c>
      <c r="X122" s="202" t="s">
        <v>1675</v>
      </c>
      <c r="Y122" s="204"/>
      <c r="Z122" s="155">
        <f t="shared" si="24"/>
        <v>200</v>
      </c>
      <c r="AA122" s="155">
        <f t="shared" si="25"/>
        <v>285.87</v>
      </c>
      <c r="AB122" s="275"/>
      <c r="AC122" s="151">
        <v>200</v>
      </c>
      <c r="AD122" s="202" t="s">
        <v>593</v>
      </c>
      <c r="AE122" s="203">
        <v>4.96</v>
      </c>
      <c r="AF122" s="203">
        <v>2.5579999999999999E-3</v>
      </c>
      <c r="AG122" s="202">
        <v>22.2</v>
      </c>
      <c r="AH122" s="202" t="s">
        <v>1623</v>
      </c>
      <c r="AI122" s="202">
        <v>869.5</v>
      </c>
      <c r="AJ122" s="202" t="s">
        <v>1675</v>
      </c>
      <c r="AK122" s="202">
        <v>242.77</v>
      </c>
      <c r="AL122" s="202" t="s">
        <v>1675</v>
      </c>
      <c r="AM122" s="204"/>
      <c r="AN122" s="155">
        <f t="shared" si="26"/>
        <v>200</v>
      </c>
      <c r="AO122" s="155">
        <f t="shared" si="27"/>
        <v>22200</v>
      </c>
      <c r="AP122" s="275"/>
      <c r="AQ122" s="151">
        <v>200</v>
      </c>
      <c r="AR122" s="202" t="s">
        <v>593</v>
      </c>
      <c r="AS122" s="203">
        <v>0.44500000000000001</v>
      </c>
      <c r="AT122" s="203">
        <v>1.774E-4</v>
      </c>
      <c r="AU122" s="202">
        <v>260.61</v>
      </c>
      <c r="AV122" s="202" t="s">
        <v>1623</v>
      </c>
      <c r="AW122" s="202">
        <v>10.1</v>
      </c>
      <c r="AX122" s="202" t="s">
        <v>1623</v>
      </c>
      <c r="AY122" s="202">
        <v>5.3</v>
      </c>
      <c r="AZ122" s="202" t="s">
        <v>1623</v>
      </c>
      <c r="BA122" s="204"/>
      <c r="BB122" s="155">
        <f t="shared" si="28"/>
        <v>200</v>
      </c>
      <c r="BC122" s="155">
        <f t="shared" si="29"/>
        <v>260610</v>
      </c>
      <c r="BE122" s="151">
        <v>200</v>
      </c>
      <c r="BF122" s="202" t="s">
        <v>593</v>
      </c>
      <c r="BG122" s="203">
        <v>108.9</v>
      </c>
      <c r="BH122" s="203">
        <v>5.8610000000000002E-2</v>
      </c>
      <c r="BI122" s="202">
        <v>1.01</v>
      </c>
      <c r="BJ122" s="202" t="s">
        <v>1623</v>
      </c>
      <c r="BK122" s="202">
        <v>39.03</v>
      </c>
      <c r="BL122" s="202" t="s">
        <v>1675</v>
      </c>
      <c r="BM122" s="202">
        <v>6.44</v>
      </c>
      <c r="BN122" s="202" t="s">
        <v>1675</v>
      </c>
      <c r="BO122" s="204"/>
      <c r="BP122" s="155">
        <f t="shared" si="30"/>
        <v>200</v>
      </c>
      <c r="BQ122" s="155">
        <f t="shared" si="31"/>
        <v>1010</v>
      </c>
      <c r="BS122" s="151">
        <v>200</v>
      </c>
      <c r="BT122" s="202" t="s">
        <v>593</v>
      </c>
      <c r="BU122" s="203">
        <v>345.2</v>
      </c>
      <c r="BV122" s="203">
        <v>0.1837</v>
      </c>
      <c r="BW122" s="202">
        <v>344</v>
      </c>
      <c r="BX122" s="202" t="s">
        <v>1675</v>
      </c>
      <c r="BY122" s="202">
        <v>12.6</v>
      </c>
      <c r="BZ122" s="202" t="s">
        <v>1675</v>
      </c>
      <c r="CA122" s="202">
        <v>1.95</v>
      </c>
      <c r="CB122" s="202" t="s">
        <v>1675</v>
      </c>
      <c r="CC122" s="204"/>
      <c r="CD122" s="155">
        <f t="shared" si="32"/>
        <v>200</v>
      </c>
      <c r="CE122" s="155">
        <f t="shared" si="33"/>
        <v>344</v>
      </c>
      <c r="CG122" s="151">
        <v>200</v>
      </c>
      <c r="CH122" s="202" t="s">
        <v>593</v>
      </c>
      <c r="CI122" s="203">
        <v>479.7</v>
      </c>
      <c r="CJ122" s="203">
        <v>0.2581</v>
      </c>
      <c r="CK122" s="202">
        <v>259.81</v>
      </c>
      <c r="CL122" s="202" t="s">
        <v>1675</v>
      </c>
      <c r="CM122" s="202">
        <v>9.2799999999999994</v>
      </c>
      <c r="CN122" s="202" t="s">
        <v>1675</v>
      </c>
      <c r="CO122" s="202">
        <v>1.45</v>
      </c>
      <c r="CP122" s="202" t="s">
        <v>1675</v>
      </c>
      <c r="CQ122" s="204"/>
      <c r="CR122" s="155">
        <f t="shared" si="41"/>
        <v>200</v>
      </c>
      <c r="CS122" s="155">
        <f t="shared" si="34"/>
        <v>259.81</v>
      </c>
      <c r="CU122" s="202">
        <v>200</v>
      </c>
      <c r="CV122" s="203" t="s">
        <v>593</v>
      </c>
      <c r="CW122" s="203">
        <v>2007</v>
      </c>
      <c r="CX122" s="203">
        <v>1.4339999999999999</v>
      </c>
      <c r="CY122" s="202">
        <v>76.77</v>
      </c>
      <c r="CZ122" s="202" t="s">
        <v>1675</v>
      </c>
      <c r="DA122" s="202">
        <v>2.41</v>
      </c>
      <c r="DB122" s="202" t="s">
        <v>1675</v>
      </c>
      <c r="DC122" s="202">
        <v>5518</v>
      </c>
      <c r="DD122" s="204" t="s">
        <v>1718</v>
      </c>
      <c r="DE122" s="204"/>
      <c r="DF122" s="155">
        <f t="shared" si="35"/>
        <v>200</v>
      </c>
      <c r="DG122" s="156">
        <f t="shared" si="38"/>
        <v>76.77</v>
      </c>
      <c r="DI122" s="202">
        <v>200</v>
      </c>
      <c r="DJ122" s="203" t="s">
        <v>593</v>
      </c>
      <c r="DK122" s="203">
        <v>1888</v>
      </c>
      <c r="DL122" s="203">
        <v>1.391</v>
      </c>
      <c r="DM122" s="202">
        <v>82.28</v>
      </c>
      <c r="DN122" s="202" t="s">
        <v>1675</v>
      </c>
      <c r="DO122" s="202">
        <v>2.58</v>
      </c>
      <c r="DP122" s="202" t="s">
        <v>1675</v>
      </c>
      <c r="DQ122" s="202">
        <v>5803</v>
      </c>
      <c r="DR122" s="204" t="s">
        <v>1718</v>
      </c>
      <c r="DS122" s="204"/>
      <c r="DT122" s="155">
        <f t="shared" si="36"/>
        <v>200</v>
      </c>
      <c r="DU122" s="156">
        <f t="shared" si="39"/>
        <v>82.28</v>
      </c>
      <c r="DW122" s="401">
        <v>200</v>
      </c>
      <c r="DX122" s="401" t="s">
        <v>593</v>
      </c>
      <c r="DY122" s="402">
        <v>31</v>
      </c>
      <c r="DZ122" s="402">
        <v>1.6559999999999998E-2</v>
      </c>
      <c r="EA122" s="401">
        <v>3.5</v>
      </c>
      <c r="EB122" s="401" t="s">
        <v>1623</v>
      </c>
      <c r="EC122" s="401">
        <v>137.77000000000001</v>
      </c>
      <c r="ED122" s="401" t="s">
        <v>1675</v>
      </c>
      <c r="EE122" s="401">
        <v>28.59</v>
      </c>
      <c r="EF122" s="403" t="s">
        <v>1675</v>
      </c>
      <c r="EH122" s="155">
        <f t="shared" si="37"/>
        <v>200</v>
      </c>
      <c r="EI122" s="156">
        <f t="shared" si="40"/>
        <v>3500</v>
      </c>
    </row>
    <row r="123" spans="1:139" x14ac:dyDescent="0.2">
      <c r="A123" s="151">
        <v>225</v>
      </c>
      <c r="B123" s="202" t="s">
        <v>593</v>
      </c>
      <c r="C123" s="203">
        <v>508.4</v>
      </c>
      <c r="D123" s="203">
        <v>0.27789999999999998</v>
      </c>
      <c r="E123" s="202">
        <v>276.61</v>
      </c>
      <c r="F123" s="202" t="s">
        <v>1675</v>
      </c>
      <c r="G123" s="202">
        <v>10.54</v>
      </c>
      <c r="H123" s="202" t="s">
        <v>1675</v>
      </c>
      <c r="I123" s="202">
        <v>1.55</v>
      </c>
      <c r="J123" s="202" t="s">
        <v>1675</v>
      </c>
      <c r="K123" s="204"/>
      <c r="L123" s="155">
        <f t="shared" si="22"/>
        <v>225</v>
      </c>
      <c r="M123" s="155">
        <f t="shared" si="23"/>
        <v>276.61</v>
      </c>
      <c r="N123" s="275"/>
      <c r="O123" s="151">
        <v>225</v>
      </c>
      <c r="P123" s="202" t="s">
        <v>593</v>
      </c>
      <c r="Q123" s="203">
        <v>387</v>
      </c>
      <c r="R123" s="203">
        <v>0.2016</v>
      </c>
      <c r="S123" s="202">
        <v>347.45</v>
      </c>
      <c r="T123" s="202" t="s">
        <v>1675</v>
      </c>
      <c r="U123" s="202">
        <v>13.54</v>
      </c>
      <c r="V123" s="202" t="s">
        <v>1675</v>
      </c>
      <c r="W123" s="202">
        <v>1.96</v>
      </c>
      <c r="X123" s="202" t="s">
        <v>1675</v>
      </c>
      <c r="Y123" s="204"/>
      <c r="Z123" s="155">
        <f t="shared" si="24"/>
        <v>225</v>
      </c>
      <c r="AA123" s="155">
        <f t="shared" si="25"/>
        <v>347.45</v>
      </c>
      <c r="AB123" s="275"/>
      <c r="AC123" s="151">
        <v>225</v>
      </c>
      <c r="AD123" s="202" t="s">
        <v>593</v>
      </c>
      <c r="AE123" s="203">
        <v>4.5149999999999997</v>
      </c>
      <c r="AF123" s="203">
        <v>2.2950000000000002E-3</v>
      </c>
      <c r="AG123" s="202">
        <v>27.48</v>
      </c>
      <c r="AH123" s="202" t="s">
        <v>1623</v>
      </c>
      <c r="AI123" s="202">
        <v>1.1499999999999999</v>
      </c>
      <c r="AJ123" s="202" t="s">
        <v>1623</v>
      </c>
      <c r="AK123" s="202">
        <v>299.05</v>
      </c>
      <c r="AL123" s="202" t="s">
        <v>1675</v>
      </c>
      <c r="AM123" s="204"/>
      <c r="AN123" s="155">
        <f t="shared" si="26"/>
        <v>225</v>
      </c>
      <c r="AO123" s="155">
        <f t="shared" si="27"/>
        <v>27480</v>
      </c>
      <c r="AP123" s="275"/>
      <c r="AQ123" s="151">
        <v>225</v>
      </c>
      <c r="AR123" s="202" t="s">
        <v>593</v>
      </c>
      <c r="AS123" s="203">
        <v>0.4128</v>
      </c>
      <c r="AT123" s="203">
        <v>1.5909999999999999E-4</v>
      </c>
      <c r="AU123" s="202">
        <v>318.89999999999998</v>
      </c>
      <c r="AV123" s="202" t="s">
        <v>1623</v>
      </c>
      <c r="AW123" s="202">
        <v>13.09</v>
      </c>
      <c r="AX123" s="202" t="s">
        <v>1623</v>
      </c>
      <c r="AY123" s="202">
        <v>6.42</v>
      </c>
      <c r="AZ123" s="202" t="s">
        <v>1623</v>
      </c>
      <c r="BA123" s="204"/>
      <c r="BB123" s="155">
        <f t="shared" si="28"/>
        <v>225</v>
      </c>
      <c r="BC123" s="155">
        <f t="shared" si="29"/>
        <v>318900</v>
      </c>
      <c r="BE123" s="151">
        <v>225</v>
      </c>
      <c r="BF123" s="202" t="s">
        <v>593</v>
      </c>
      <c r="BG123" s="203">
        <v>98.35</v>
      </c>
      <c r="BH123" s="203">
        <v>5.2679999999999998E-2</v>
      </c>
      <c r="BI123" s="202">
        <v>1.25</v>
      </c>
      <c r="BJ123" s="202" t="s">
        <v>1623</v>
      </c>
      <c r="BK123" s="202">
        <v>51.92</v>
      </c>
      <c r="BL123" s="202" t="s">
        <v>1675</v>
      </c>
      <c r="BM123" s="202">
        <v>7.92</v>
      </c>
      <c r="BN123" s="202" t="s">
        <v>1675</v>
      </c>
      <c r="BO123" s="204"/>
      <c r="BP123" s="155">
        <f t="shared" si="30"/>
        <v>225</v>
      </c>
      <c r="BQ123" s="155">
        <f t="shared" si="31"/>
        <v>1250</v>
      </c>
      <c r="BS123" s="151">
        <v>225</v>
      </c>
      <c r="BT123" s="202" t="s">
        <v>593</v>
      </c>
      <c r="BU123" s="203">
        <v>312.3</v>
      </c>
      <c r="BV123" s="203">
        <v>0.1653</v>
      </c>
      <c r="BW123" s="202">
        <v>420.14</v>
      </c>
      <c r="BX123" s="202" t="s">
        <v>1675</v>
      </c>
      <c r="BY123" s="202">
        <v>16.59</v>
      </c>
      <c r="BZ123" s="202" t="s">
        <v>1675</v>
      </c>
      <c r="CA123" s="202">
        <v>2.3199999999999998</v>
      </c>
      <c r="CB123" s="202" t="s">
        <v>1675</v>
      </c>
      <c r="CC123" s="204"/>
      <c r="CD123" s="155">
        <f t="shared" si="32"/>
        <v>225</v>
      </c>
      <c r="CE123" s="155">
        <f t="shared" si="33"/>
        <v>420.14</v>
      </c>
      <c r="CG123" s="151">
        <v>225</v>
      </c>
      <c r="CH123" s="202" t="s">
        <v>593</v>
      </c>
      <c r="CI123" s="203">
        <v>438</v>
      </c>
      <c r="CJ123" s="203">
        <v>0.23230000000000001</v>
      </c>
      <c r="CK123" s="202">
        <v>314.33999999999997</v>
      </c>
      <c r="CL123" s="202" t="s">
        <v>1675</v>
      </c>
      <c r="CM123" s="202">
        <v>12.08</v>
      </c>
      <c r="CN123" s="202" t="s">
        <v>1675</v>
      </c>
      <c r="CO123" s="202">
        <v>1.71</v>
      </c>
      <c r="CP123" s="202" t="s">
        <v>1675</v>
      </c>
      <c r="CQ123" s="204"/>
      <c r="CR123" s="155">
        <f t="shared" si="41"/>
        <v>225</v>
      </c>
      <c r="CS123" s="155">
        <f t="shared" si="34"/>
        <v>314.33999999999997</v>
      </c>
      <c r="CU123" s="202">
        <v>225</v>
      </c>
      <c r="CV123" s="203" t="s">
        <v>593</v>
      </c>
      <c r="CW123" s="203">
        <v>1882</v>
      </c>
      <c r="CX123" s="203">
        <v>1.2929999999999999</v>
      </c>
      <c r="CY123" s="202">
        <v>89.63</v>
      </c>
      <c r="CZ123" s="202" t="s">
        <v>1675</v>
      </c>
      <c r="DA123" s="202">
        <v>3.02</v>
      </c>
      <c r="DB123" s="202" t="s">
        <v>1675</v>
      </c>
      <c r="DC123" s="202">
        <v>5969</v>
      </c>
      <c r="DD123" s="204" t="s">
        <v>1718</v>
      </c>
      <c r="DE123" s="204"/>
      <c r="DF123" s="155">
        <f t="shared" si="35"/>
        <v>225</v>
      </c>
      <c r="DG123" s="156">
        <f t="shared" si="38"/>
        <v>89.63</v>
      </c>
      <c r="DI123" s="202">
        <v>225</v>
      </c>
      <c r="DJ123" s="203" t="s">
        <v>593</v>
      </c>
      <c r="DK123" s="203">
        <v>1783</v>
      </c>
      <c r="DL123" s="203">
        <v>1.254</v>
      </c>
      <c r="DM123" s="202">
        <v>95.9</v>
      </c>
      <c r="DN123" s="202" t="s">
        <v>1675</v>
      </c>
      <c r="DO123" s="202">
        <v>3.22</v>
      </c>
      <c r="DP123" s="202" t="s">
        <v>1675</v>
      </c>
      <c r="DQ123" s="202">
        <v>6273</v>
      </c>
      <c r="DR123" s="204" t="s">
        <v>1718</v>
      </c>
      <c r="DS123" s="204"/>
      <c r="DT123" s="155">
        <f t="shared" si="36"/>
        <v>225</v>
      </c>
      <c r="DU123" s="156">
        <f t="shared" si="39"/>
        <v>95.9</v>
      </c>
      <c r="DW123" s="401">
        <v>225</v>
      </c>
      <c r="DX123" s="401" t="s">
        <v>593</v>
      </c>
      <c r="DY123" s="402">
        <v>28.1</v>
      </c>
      <c r="DZ123" s="402">
        <v>1.487E-2</v>
      </c>
      <c r="EA123" s="401">
        <v>4.3499999999999996</v>
      </c>
      <c r="EB123" s="401" t="s">
        <v>1623</v>
      </c>
      <c r="EC123" s="401">
        <v>182.85</v>
      </c>
      <c r="ED123" s="401" t="s">
        <v>1675</v>
      </c>
      <c r="EE123" s="401">
        <v>35.43</v>
      </c>
      <c r="EF123" s="403" t="s">
        <v>1675</v>
      </c>
      <c r="EH123" s="155">
        <f t="shared" si="37"/>
        <v>225</v>
      </c>
      <c r="EI123" s="156">
        <f t="shared" si="40"/>
        <v>4350</v>
      </c>
    </row>
    <row r="124" spans="1:139" x14ac:dyDescent="0.2">
      <c r="A124" s="151">
        <v>250</v>
      </c>
      <c r="B124" s="202" t="s">
        <v>593</v>
      </c>
      <c r="C124" s="203">
        <v>470.9</v>
      </c>
      <c r="D124" s="203">
        <v>0.25290000000000001</v>
      </c>
      <c r="E124" s="202">
        <v>327.69</v>
      </c>
      <c r="F124" s="202" t="s">
        <v>1675</v>
      </c>
      <c r="G124" s="202">
        <v>12.79</v>
      </c>
      <c r="H124" s="202" t="s">
        <v>1675</v>
      </c>
      <c r="I124" s="202">
        <v>1.79</v>
      </c>
      <c r="J124" s="202" t="s">
        <v>1675</v>
      </c>
      <c r="K124" s="204"/>
      <c r="L124" s="155">
        <f t="shared" si="22"/>
        <v>250</v>
      </c>
      <c r="M124" s="155">
        <f t="shared" si="23"/>
        <v>327.69</v>
      </c>
      <c r="N124" s="275"/>
      <c r="O124" s="151">
        <v>250</v>
      </c>
      <c r="P124" s="202" t="s">
        <v>593</v>
      </c>
      <c r="Q124" s="203">
        <v>354.3</v>
      </c>
      <c r="R124" s="203">
        <v>0.18340000000000001</v>
      </c>
      <c r="S124" s="202">
        <v>414.95</v>
      </c>
      <c r="T124" s="202" t="s">
        <v>1675</v>
      </c>
      <c r="U124" s="202">
        <v>16.579999999999998</v>
      </c>
      <c r="V124" s="202" t="s">
        <v>1675</v>
      </c>
      <c r="W124" s="202">
        <v>2.29</v>
      </c>
      <c r="X124" s="202" t="s">
        <v>1675</v>
      </c>
      <c r="Y124" s="204"/>
      <c r="Z124" s="155">
        <f t="shared" si="24"/>
        <v>250</v>
      </c>
      <c r="AA124" s="155">
        <f t="shared" si="25"/>
        <v>414.95</v>
      </c>
      <c r="AB124" s="275"/>
      <c r="AC124" s="151">
        <v>250</v>
      </c>
      <c r="AD124" s="202" t="s">
        <v>593</v>
      </c>
      <c r="AE124" s="203">
        <v>4.1529999999999996</v>
      </c>
      <c r="AF124" s="203">
        <v>2.0830000000000002E-3</v>
      </c>
      <c r="AG124" s="202">
        <v>33.25</v>
      </c>
      <c r="AH124" s="202" t="s">
        <v>1623</v>
      </c>
      <c r="AI124" s="202">
        <v>1.41</v>
      </c>
      <c r="AJ124" s="202" t="s">
        <v>1623</v>
      </c>
      <c r="AK124" s="202">
        <v>360.2</v>
      </c>
      <c r="AL124" s="202" t="s">
        <v>1675</v>
      </c>
      <c r="AM124" s="204"/>
      <c r="AN124" s="155">
        <f t="shared" si="26"/>
        <v>250</v>
      </c>
      <c r="AO124" s="155">
        <f t="shared" si="27"/>
        <v>33250</v>
      </c>
      <c r="AP124" s="275"/>
      <c r="AQ124" s="151">
        <v>250</v>
      </c>
      <c r="AR124" s="202" t="s">
        <v>593</v>
      </c>
      <c r="AS124" s="203">
        <v>0.38679999999999998</v>
      </c>
      <c r="AT124" s="203">
        <v>1.4430000000000001E-4</v>
      </c>
      <c r="AU124" s="202">
        <v>381.42</v>
      </c>
      <c r="AV124" s="202" t="s">
        <v>1623</v>
      </c>
      <c r="AW124" s="202">
        <v>15.85</v>
      </c>
      <c r="AX124" s="202" t="s">
        <v>1623</v>
      </c>
      <c r="AY124" s="202">
        <v>7.61</v>
      </c>
      <c r="AZ124" s="202" t="s">
        <v>1623</v>
      </c>
      <c r="BA124" s="204"/>
      <c r="BB124" s="155">
        <f t="shared" si="28"/>
        <v>250</v>
      </c>
      <c r="BC124" s="155">
        <f t="shared" si="29"/>
        <v>381420</v>
      </c>
      <c r="BE124" s="151">
        <v>250</v>
      </c>
      <c r="BF124" s="202" t="s">
        <v>593</v>
      </c>
      <c r="BG124" s="203">
        <v>89.84</v>
      </c>
      <c r="BH124" s="203">
        <v>4.7890000000000002E-2</v>
      </c>
      <c r="BI124" s="202">
        <v>1.52</v>
      </c>
      <c r="BJ124" s="202" t="s">
        <v>1623</v>
      </c>
      <c r="BK124" s="202">
        <v>64.180000000000007</v>
      </c>
      <c r="BL124" s="202" t="s">
        <v>1675</v>
      </c>
      <c r="BM124" s="202">
        <v>9.5500000000000007</v>
      </c>
      <c r="BN124" s="202" t="s">
        <v>1675</v>
      </c>
      <c r="BO124" s="204"/>
      <c r="BP124" s="155">
        <f t="shared" si="30"/>
        <v>250</v>
      </c>
      <c r="BQ124" s="155">
        <f t="shared" si="31"/>
        <v>1520</v>
      </c>
      <c r="BS124" s="151">
        <v>250</v>
      </c>
      <c r="BT124" s="202" t="s">
        <v>593</v>
      </c>
      <c r="BU124" s="203">
        <v>285.2</v>
      </c>
      <c r="BV124" s="203">
        <v>0.15040000000000001</v>
      </c>
      <c r="BW124" s="202">
        <v>503.9</v>
      </c>
      <c r="BX124" s="202" t="s">
        <v>1675</v>
      </c>
      <c r="BY124" s="202">
        <v>20.399999999999999</v>
      </c>
      <c r="BZ124" s="202" t="s">
        <v>1675</v>
      </c>
      <c r="CA124" s="202">
        <v>2.74</v>
      </c>
      <c r="CB124" s="202" t="s">
        <v>1675</v>
      </c>
      <c r="CC124" s="204"/>
      <c r="CD124" s="155">
        <f t="shared" si="32"/>
        <v>250</v>
      </c>
      <c r="CE124" s="155">
        <f t="shared" si="33"/>
        <v>503.9</v>
      </c>
      <c r="CG124" s="151">
        <v>250</v>
      </c>
      <c r="CH124" s="202" t="s">
        <v>593</v>
      </c>
      <c r="CI124" s="203">
        <v>402.6</v>
      </c>
      <c r="CJ124" s="203">
        <v>0.2114</v>
      </c>
      <c r="CK124" s="202">
        <v>373.87</v>
      </c>
      <c r="CL124" s="202" t="s">
        <v>1675</v>
      </c>
      <c r="CM124" s="202">
        <v>14.73</v>
      </c>
      <c r="CN124" s="202" t="s">
        <v>1675</v>
      </c>
      <c r="CO124" s="202">
        <v>1.98</v>
      </c>
      <c r="CP124" s="202" t="s">
        <v>1675</v>
      </c>
      <c r="CQ124" s="204"/>
      <c r="CR124" s="155">
        <f t="shared" si="41"/>
        <v>250</v>
      </c>
      <c r="CS124" s="155">
        <f t="shared" si="34"/>
        <v>373.87</v>
      </c>
      <c r="CU124" s="202">
        <v>250</v>
      </c>
      <c r="CV124" s="203" t="s">
        <v>593</v>
      </c>
      <c r="CW124" s="203">
        <v>1774</v>
      </c>
      <c r="CX124" s="203">
        <v>1.179</v>
      </c>
      <c r="CY124" s="202">
        <v>103.31</v>
      </c>
      <c r="CZ124" s="202" t="s">
        <v>1675</v>
      </c>
      <c r="DA124" s="202">
        <v>3.59</v>
      </c>
      <c r="DB124" s="202" t="s">
        <v>1675</v>
      </c>
      <c r="DC124" s="202">
        <v>6454</v>
      </c>
      <c r="DD124" s="204" t="s">
        <v>1718</v>
      </c>
      <c r="DE124" s="204"/>
      <c r="DF124" s="155">
        <f t="shared" si="35"/>
        <v>250</v>
      </c>
      <c r="DG124" s="156">
        <f t="shared" si="38"/>
        <v>103.31</v>
      </c>
      <c r="DI124" s="202">
        <v>250</v>
      </c>
      <c r="DJ124" s="203" t="s">
        <v>593</v>
      </c>
      <c r="DK124" s="203">
        <v>1692</v>
      </c>
      <c r="DL124" s="203">
        <v>1.143</v>
      </c>
      <c r="DM124" s="202">
        <v>110.28</v>
      </c>
      <c r="DN124" s="202" t="s">
        <v>1675</v>
      </c>
      <c r="DO124" s="202">
        <v>3.81</v>
      </c>
      <c r="DP124" s="202" t="s">
        <v>1675</v>
      </c>
      <c r="DQ124" s="202">
        <v>6773</v>
      </c>
      <c r="DR124" s="204" t="s">
        <v>1718</v>
      </c>
      <c r="DS124" s="204"/>
      <c r="DT124" s="155">
        <f t="shared" si="36"/>
        <v>250</v>
      </c>
      <c r="DU124" s="156">
        <f t="shared" si="39"/>
        <v>110.28</v>
      </c>
      <c r="DW124" s="401">
        <v>250</v>
      </c>
      <c r="DX124" s="401" t="s">
        <v>593</v>
      </c>
      <c r="DY124" s="402">
        <v>25.75</v>
      </c>
      <c r="DZ124" s="402">
        <v>1.3509999999999999E-2</v>
      </c>
      <c r="EA124" s="401">
        <v>5.27</v>
      </c>
      <c r="EB124" s="401" t="s">
        <v>1623</v>
      </c>
      <c r="EC124" s="401">
        <v>225.48</v>
      </c>
      <c r="ED124" s="401" t="s">
        <v>1675</v>
      </c>
      <c r="EE124" s="401">
        <v>42.9</v>
      </c>
      <c r="EF124" s="403" t="s">
        <v>1675</v>
      </c>
      <c r="EH124" s="155">
        <f t="shared" si="37"/>
        <v>250</v>
      </c>
      <c r="EI124" s="156">
        <f t="shared" si="40"/>
        <v>5270</v>
      </c>
    </row>
    <row r="125" spans="1:139" x14ac:dyDescent="0.2">
      <c r="A125" s="151">
        <v>275</v>
      </c>
      <c r="B125" s="202" t="s">
        <v>593</v>
      </c>
      <c r="C125" s="203">
        <v>438.8</v>
      </c>
      <c r="D125" s="203">
        <v>0.23219999999999999</v>
      </c>
      <c r="E125" s="202">
        <v>382.68</v>
      </c>
      <c r="F125" s="202" t="s">
        <v>1675</v>
      </c>
      <c r="G125" s="202">
        <v>14.98</v>
      </c>
      <c r="H125" s="202" t="s">
        <v>1675</v>
      </c>
      <c r="I125" s="202">
        <v>2.0499999999999998</v>
      </c>
      <c r="J125" s="202" t="s">
        <v>1675</v>
      </c>
      <c r="K125" s="204"/>
      <c r="L125" s="155">
        <f t="shared" si="22"/>
        <v>275</v>
      </c>
      <c r="M125" s="155">
        <f t="shared" si="23"/>
        <v>382.68</v>
      </c>
      <c r="N125" s="275"/>
      <c r="O125" s="151">
        <v>275</v>
      </c>
      <c r="P125" s="202" t="s">
        <v>593</v>
      </c>
      <c r="Q125" s="203">
        <v>326.5</v>
      </c>
      <c r="R125" s="203">
        <v>0.16839999999999999</v>
      </c>
      <c r="S125" s="202">
        <v>488.45</v>
      </c>
      <c r="T125" s="202" t="s">
        <v>1675</v>
      </c>
      <c r="U125" s="202">
        <v>19.579999999999998</v>
      </c>
      <c r="V125" s="202" t="s">
        <v>1675</v>
      </c>
      <c r="W125" s="202">
        <v>2.65</v>
      </c>
      <c r="X125" s="202" t="s">
        <v>1675</v>
      </c>
      <c r="Y125" s="204"/>
      <c r="Z125" s="155">
        <f t="shared" si="24"/>
        <v>275</v>
      </c>
      <c r="AA125" s="155">
        <f t="shared" si="25"/>
        <v>488.45</v>
      </c>
      <c r="AB125" s="275"/>
      <c r="AC125" s="151">
        <v>275</v>
      </c>
      <c r="AD125" s="202" t="s">
        <v>593</v>
      </c>
      <c r="AE125" s="203">
        <v>3.8530000000000002</v>
      </c>
      <c r="AF125" s="203">
        <v>1.908E-3</v>
      </c>
      <c r="AG125" s="202">
        <v>39.5</v>
      </c>
      <c r="AH125" s="202" t="s">
        <v>1623</v>
      </c>
      <c r="AI125" s="202">
        <v>1.67</v>
      </c>
      <c r="AJ125" s="202" t="s">
        <v>1623</v>
      </c>
      <c r="AK125" s="202">
        <v>426.03</v>
      </c>
      <c r="AL125" s="202" t="s">
        <v>1675</v>
      </c>
      <c r="AM125" s="204"/>
      <c r="AN125" s="155">
        <f t="shared" si="26"/>
        <v>275</v>
      </c>
      <c r="AO125" s="155">
        <f t="shared" si="27"/>
        <v>39500</v>
      </c>
      <c r="AP125" s="275"/>
      <c r="AQ125" s="151">
        <v>275</v>
      </c>
      <c r="AR125" s="202" t="s">
        <v>593</v>
      </c>
      <c r="AS125" s="203">
        <v>0.36549999999999999</v>
      </c>
      <c r="AT125" s="203">
        <v>1.3210000000000001E-4</v>
      </c>
      <c r="AU125" s="202">
        <v>447.86</v>
      </c>
      <c r="AV125" s="202" t="s">
        <v>1623</v>
      </c>
      <c r="AW125" s="202">
        <v>18.48</v>
      </c>
      <c r="AX125" s="202" t="s">
        <v>1623</v>
      </c>
      <c r="AY125" s="202">
        <v>8.85</v>
      </c>
      <c r="AZ125" s="202" t="s">
        <v>1623</v>
      </c>
      <c r="BA125" s="204"/>
      <c r="BB125" s="155">
        <f t="shared" si="28"/>
        <v>275</v>
      </c>
      <c r="BC125" s="155">
        <f t="shared" si="29"/>
        <v>447860</v>
      </c>
      <c r="BE125" s="151">
        <v>275</v>
      </c>
      <c r="BF125" s="202" t="s">
        <v>593</v>
      </c>
      <c r="BG125" s="203">
        <v>82.89</v>
      </c>
      <c r="BH125" s="203">
        <v>4.3929999999999997E-2</v>
      </c>
      <c r="BI125" s="202">
        <v>1.81</v>
      </c>
      <c r="BJ125" s="202" t="s">
        <v>1623</v>
      </c>
      <c r="BK125" s="202">
        <v>76.2</v>
      </c>
      <c r="BL125" s="202" t="s">
        <v>1675</v>
      </c>
      <c r="BM125" s="202">
        <v>11.32</v>
      </c>
      <c r="BN125" s="202" t="s">
        <v>1675</v>
      </c>
      <c r="BO125" s="204"/>
      <c r="BP125" s="155">
        <f t="shared" si="30"/>
        <v>275</v>
      </c>
      <c r="BQ125" s="155">
        <f t="shared" si="31"/>
        <v>1810</v>
      </c>
      <c r="BS125" s="151">
        <v>275</v>
      </c>
      <c r="BT125" s="202" t="s">
        <v>593</v>
      </c>
      <c r="BU125" s="203">
        <v>262.7</v>
      </c>
      <c r="BV125" s="203">
        <v>0.13800000000000001</v>
      </c>
      <c r="BW125" s="202">
        <v>595.22</v>
      </c>
      <c r="BX125" s="202" t="s">
        <v>1675</v>
      </c>
      <c r="BY125" s="202">
        <v>24.16</v>
      </c>
      <c r="BZ125" s="202" t="s">
        <v>1675</v>
      </c>
      <c r="CA125" s="202">
        <v>3.19</v>
      </c>
      <c r="CB125" s="202" t="s">
        <v>1675</v>
      </c>
      <c r="CC125" s="204"/>
      <c r="CD125" s="155">
        <f t="shared" si="32"/>
        <v>275</v>
      </c>
      <c r="CE125" s="155">
        <f t="shared" si="33"/>
        <v>595.22</v>
      </c>
      <c r="CG125" s="151">
        <v>275</v>
      </c>
      <c r="CH125" s="202" t="s">
        <v>593</v>
      </c>
      <c r="CI125" s="203">
        <v>372.1</v>
      </c>
      <c r="CJ125" s="203">
        <v>0.19400000000000001</v>
      </c>
      <c r="CK125" s="202">
        <v>438.45</v>
      </c>
      <c r="CL125" s="202" t="s">
        <v>1675</v>
      </c>
      <c r="CM125" s="202">
        <v>17.34</v>
      </c>
      <c r="CN125" s="202" t="s">
        <v>1675</v>
      </c>
      <c r="CO125" s="202">
        <v>2.2799999999999998</v>
      </c>
      <c r="CP125" s="202" t="s">
        <v>1675</v>
      </c>
      <c r="CQ125" s="204"/>
      <c r="CR125" s="155">
        <f t="shared" si="41"/>
        <v>275</v>
      </c>
      <c r="CS125" s="155">
        <f t="shared" si="34"/>
        <v>438.45</v>
      </c>
      <c r="CU125" s="202">
        <v>275</v>
      </c>
      <c r="CV125" s="203" t="s">
        <v>593</v>
      </c>
      <c r="CW125" s="203">
        <v>1679</v>
      </c>
      <c r="CX125" s="203">
        <v>1.0840000000000001</v>
      </c>
      <c r="CY125" s="202">
        <v>117.79</v>
      </c>
      <c r="CZ125" s="202" t="s">
        <v>1675</v>
      </c>
      <c r="DA125" s="202">
        <v>4.13</v>
      </c>
      <c r="DB125" s="202" t="s">
        <v>1675</v>
      </c>
      <c r="DC125" s="202">
        <v>6969</v>
      </c>
      <c r="DD125" s="204" t="s">
        <v>1718</v>
      </c>
      <c r="DE125" s="204"/>
      <c r="DF125" s="155">
        <f t="shared" si="35"/>
        <v>275</v>
      </c>
      <c r="DG125" s="156">
        <f t="shared" si="38"/>
        <v>117.79</v>
      </c>
      <c r="DI125" s="202">
        <v>275</v>
      </c>
      <c r="DJ125" s="203" t="s">
        <v>593</v>
      </c>
      <c r="DK125" s="203">
        <v>1611</v>
      </c>
      <c r="DL125" s="203">
        <v>1.0509999999999999</v>
      </c>
      <c r="DM125" s="202">
        <v>125.42</v>
      </c>
      <c r="DN125" s="202" t="s">
        <v>1675</v>
      </c>
      <c r="DO125" s="202">
        <v>4.37</v>
      </c>
      <c r="DP125" s="202" t="s">
        <v>1675</v>
      </c>
      <c r="DQ125" s="202">
        <v>7300</v>
      </c>
      <c r="DR125" s="204" t="s">
        <v>1718</v>
      </c>
      <c r="DS125" s="204"/>
      <c r="DT125" s="155">
        <f t="shared" si="36"/>
        <v>275</v>
      </c>
      <c r="DU125" s="156">
        <f t="shared" si="39"/>
        <v>125.42</v>
      </c>
      <c r="DW125" s="401">
        <v>275</v>
      </c>
      <c r="DX125" s="401" t="s">
        <v>593</v>
      </c>
      <c r="DY125" s="402">
        <v>23.81</v>
      </c>
      <c r="DZ125" s="402">
        <v>1.238E-2</v>
      </c>
      <c r="EA125" s="401">
        <v>6.28</v>
      </c>
      <c r="EB125" s="401" t="s">
        <v>1623</v>
      </c>
      <c r="EC125" s="401">
        <v>267.2</v>
      </c>
      <c r="ED125" s="401" t="s">
        <v>1675</v>
      </c>
      <c r="EE125" s="401">
        <v>51</v>
      </c>
      <c r="EF125" s="403" t="s">
        <v>1675</v>
      </c>
      <c r="EH125" s="155">
        <f t="shared" si="37"/>
        <v>275</v>
      </c>
      <c r="EI125" s="156">
        <f t="shared" si="40"/>
        <v>6280</v>
      </c>
    </row>
    <row r="126" spans="1:139" x14ac:dyDescent="0.2">
      <c r="A126" s="151">
        <v>300</v>
      </c>
      <c r="B126" s="202" t="s">
        <v>593</v>
      </c>
      <c r="C126" s="203">
        <v>410.8</v>
      </c>
      <c r="D126" s="203">
        <v>0.21479999999999999</v>
      </c>
      <c r="E126" s="202">
        <v>441.56</v>
      </c>
      <c r="F126" s="202" t="s">
        <v>1675</v>
      </c>
      <c r="G126" s="202">
        <v>17.14</v>
      </c>
      <c r="H126" s="202" t="s">
        <v>1675</v>
      </c>
      <c r="I126" s="202">
        <v>2.3199999999999998</v>
      </c>
      <c r="J126" s="202" t="s">
        <v>1675</v>
      </c>
      <c r="K126" s="204"/>
      <c r="L126" s="155">
        <f t="shared" si="22"/>
        <v>300</v>
      </c>
      <c r="M126" s="155">
        <f t="shared" si="23"/>
        <v>441.56</v>
      </c>
      <c r="N126" s="275"/>
      <c r="O126" s="151">
        <v>300</v>
      </c>
      <c r="P126" s="202" t="s">
        <v>593</v>
      </c>
      <c r="Q126" s="203">
        <v>302.60000000000002</v>
      </c>
      <c r="R126" s="203">
        <v>0.15570000000000001</v>
      </c>
      <c r="S126" s="202">
        <v>567.97</v>
      </c>
      <c r="T126" s="202" t="s">
        <v>1675</v>
      </c>
      <c r="U126" s="202">
        <v>22.59</v>
      </c>
      <c r="V126" s="202" t="s">
        <v>1675</v>
      </c>
      <c r="W126" s="202">
        <v>3.04</v>
      </c>
      <c r="X126" s="202" t="s">
        <v>1675</v>
      </c>
      <c r="Y126" s="204"/>
      <c r="Z126" s="155">
        <f t="shared" si="24"/>
        <v>300</v>
      </c>
      <c r="AA126" s="155">
        <f t="shared" si="25"/>
        <v>567.97</v>
      </c>
      <c r="AB126" s="275"/>
      <c r="AC126" s="151">
        <v>300</v>
      </c>
      <c r="AD126" s="202" t="s">
        <v>593</v>
      </c>
      <c r="AE126" s="203">
        <v>3.601</v>
      </c>
      <c r="AF126" s="203">
        <v>1.761E-3</v>
      </c>
      <c r="AG126" s="202">
        <v>46.21</v>
      </c>
      <c r="AH126" s="202" t="s">
        <v>1623</v>
      </c>
      <c r="AI126" s="202">
        <v>1.92</v>
      </c>
      <c r="AJ126" s="202" t="s">
        <v>1623</v>
      </c>
      <c r="AK126" s="202">
        <v>496.36</v>
      </c>
      <c r="AL126" s="202" t="s">
        <v>1675</v>
      </c>
      <c r="AM126" s="204"/>
      <c r="AN126" s="155">
        <f t="shared" si="26"/>
        <v>300</v>
      </c>
      <c r="AO126" s="155">
        <f t="shared" si="27"/>
        <v>46210</v>
      </c>
      <c r="AP126" s="275"/>
      <c r="AQ126" s="151">
        <v>300</v>
      </c>
      <c r="AR126" s="202" t="s">
        <v>593</v>
      </c>
      <c r="AS126" s="203">
        <v>0.34770000000000001</v>
      </c>
      <c r="AT126" s="203">
        <v>1.2180000000000001E-4</v>
      </c>
      <c r="AU126" s="202">
        <v>517.92999999999995</v>
      </c>
      <c r="AV126" s="202" t="s">
        <v>1623</v>
      </c>
      <c r="AW126" s="202">
        <v>21.03</v>
      </c>
      <c r="AX126" s="202" t="s">
        <v>1623</v>
      </c>
      <c r="AY126" s="202">
        <v>10.15</v>
      </c>
      <c r="AZ126" s="202" t="s">
        <v>1623</v>
      </c>
      <c r="BA126" s="204"/>
      <c r="BB126" s="155">
        <f t="shared" si="28"/>
        <v>300</v>
      </c>
      <c r="BC126" s="155">
        <f t="shared" si="29"/>
        <v>517929.99999999994</v>
      </c>
      <c r="BE126" s="151">
        <v>300</v>
      </c>
      <c r="BF126" s="202" t="s">
        <v>593</v>
      </c>
      <c r="BG126" s="203">
        <v>77.14</v>
      </c>
      <c r="BH126" s="203">
        <v>4.0590000000000001E-2</v>
      </c>
      <c r="BI126" s="202">
        <v>2.12</v>
      </c>
      <c r="BJ126" s="202" t="s">
        <v>1623</v>
      </c>
      <c r="BK126" s="202">
        <v>88.16</v>
      </c>
      <c r="BL126" s="202" t="s">
        <v>1675</v>
      </c>
      <c r="BM126" s="202">
        <v>13.23</v>
      </c>
      <c r="BN126" s="202" t="s">
        <v>1675</v>
      </c>
      <c r="BO126" s="204"/>
      <c r="BP126" s="155">
        <f t="shared" si="30"/>
        <v>300</v>
      </c>
      <c r="BQ126" s="155">
        <f t="shared" si="31"/>
        <v>2120</v>
      </c>
      <c r="BS126" s="151">
        <v>300</v>
      </c>
      <c r="BT126" s="202" t="s">
        <v>593</v>
      </c>
      <c r="BU126" s="203">
        <v>243.8</v>
      </c>
      <c r="BV126" s="203">
        <v>0.12759999999999999</v>
      </c>
      <c r="BW126" s="202">
        <v>693.99</v>
      </c>
      <c r="BX126" s="202" t="s">
        <v>1675</v>
      </c>
      <c r="BY126" s="202">
        <v>27.92</v>
      </c>
      <c r="BZ126" s="202" t="s">
        <v>1675</v>
      </c>
      <c r="CA126" s="202">
        <v>3.68</v>
      </c>
      <c r="CB126" s="202" t="s">
        <v>1675</v>
      </c>
      <c r="CC126" s="204"/>
      <c r="CD126" s="155">
        <f t="shared" si="32"/>
        <v>300</v>
      </c>
      <c r="CE126" s="155">
        <f t="shared" si="33"/>
        <v>693.99</v>
      </c>
      <c r="CG126" s="151">
        <v>300</v>
      </c>
      <c r="CH126" s="202" t="s">
        <v>593</v>
      </c>
      <c r="CI126" s="203">
        <v>345.7</v>
      </c>
      <c r="CJ126" s="203">
        <v>0.17949999999999999</v>
      </c>
      <c r="CK126" s="202">
        <v>508.14</v>
      </c>
      <c r="CL126" s="202" t="s">
        <v>1675</v>
      </c>
      <c r="CM126" s="202">
        <v>19.96</v>
      </c>
      <c r="CN126" s="202" t="s">
        <v>1675</v>
      </c>
      <c r="CO126" s="202">
        <v>2.6</v>
      </c>
      <c r="CP126" s="202" t="s">
        <v>1675</v>
      </c>
      <c r="CQ126" s="204"/>
      <c r="CR126" s="155">
        <f t="shared" si="41"/>
        <v>300</v>
      </c>
      <c r="CS126" s="155">
        <f t="shared" si="34"/>
        <v>508.14</v>
      </c>
      <c r="CU126" s="202">
        <v>300</v>
      </c>
      <c r="CV126" s="203" t="s">
        <v>593</v>
      </c>
      <c r="CW126" s="203">
        <v>1595</v>
      </c>
      <c r="CX126" s="203">
        <v>1.004</v>
      </c>
      <c r="CY126" s="202">
        <v>133.06</v>
      </c>
      <c r="CZ126" s="202" t="s">
        <v>1675</v>
      </c>
      <c r="DA126" s="202">
        <v>4.66</v>
      </c>
      <c r="DB126" s="202" t="s">
        <v>1675</v>
      </c>
      <c r="DC126" s="202">
        <v>7515</v>
      </c>
      <c r="DD126" s="204" t="s">
        <v>1718</v>
      </c>
      <c r="DE126" s="204"/>
      <c r="DF126" s="155">
        <f t="shared" si="35"/>
        <v>300</v>
      </c>
      <c r="DG126" s="156">
        <f t="shared" si="38"/>
        <v>133.06</v>
      </c>
      <c r="DI126" s="202">
        <v>300</v>
      </c>
      <c r="DJ126" s="203" t="s">
        <v>593</v>
      </c>
      <c r="DK126" s="203">
        <v>1539</v>
      </c>
      <c r="DL126" s="203">
        <v>0.97299999999999998</v>
      </c>
      <c r="DM126" s="202">
        <v>141.29</v>
      </c>
      <c r="DN126" s="202" t="s">
        <v>1675</v>
      </c>
      <c r="DO126" s="202">
        <v>4.92</v>
      </c>
      <c r="DP126" s="202" t="s">
        <v>1675</v>
      </c>
      <c r="DQ126" s="202">
        <v>7854</v>
      </c>
      <c r="DR126" s="204" t="s">
        <v>1718</v>
      </c>
      <c r="DS126" s="204"/>
      <c r="DT126" s="155">
        <f t="shared" si="36"/>
        <v>300</v>
      </c>
      <c r="DU126" s="156">
        <f t="shared" si="39"/>
        <v>141.29</v>
      </c>
      <c r="DW126" s="401">
        <v>300</v>
      </c>
      <c r="DX126" s="401" t="s">
        <v>593</v>
      </c>
      <c r="DY126" s="402">
        <v>22.17</v>
      </c>
      <c r="DZ126" s="402">
        <v>1.1440000000000001E-2</v>
      </c>
      <c r="EA126" s="401">
        <v>7.37</v>
      </c>
      <c r="EB126" s="401" t="s">
        <v>1623</v>
      </c>
      <c r="EC126" s="401">
        <v>308.68</v>
      </c>
      <c r="ED126" s="401" t="s">
        <v>1675</v>
      </c>
      <c r="EE126" s="401">
        <v>59.69</v>
      </c>
      <c r="EF126" s="403" t="s">
        <v>1675</v>
      </c>
      <c r="EH126" s="155">
        <f t="shared" si="37"/>
        <v>300</v>
      </c>
      <c r="EI126" s="156">
        <f t="shared" si="40"/>
        <v>7370</v>
      </c>
    </row>
    <row r="127" spans="1:139" x14ac:dyDescent="0.2">
      <c r="A127" s="151">
        <v>325</v>
      </c>
      <c r="B127" s="202" t="s">
        <v>593</v>
      </c>
      <c r="C127" s="203">
        <v>386.3</v>
      </c>
      <c r="D127" s="203">
        <v>0.19989999999999999</v>
      </c>
      <c r="E127" s="202">
        <v>504.3</v>
      </c>
      <c r="F127" s="202" t="s">
        <v>1675</v>
      </c>
      <c r="G127" s="202">
        <v>19.309999999999999</v>
      </c>
      <c r="H127" s="202" t="s">
        <v>1675</v>
      </c>
      <c r="I127" s="202">
        <v>2.62</v>
      </c>
      <c r="J127" s="202" t="s">
        <v>1675</v>
      </c>
      <c r="K127" s="204"/>
      <c r="L127" s="155">
        <f t="shared" si="22"/>
        <v>325</v>
      </c>
      <c r="M127" s="155">
        <f t="shared" si="23"/>
        <v>504.3</v>
      </c>
      <c r="N127" s="275"/>
      <c r="O127" s="151">
        <v>325</v>
      </c>
      <c r="P127" s="202" t="s">
        <v>593</v>
      </c>
      <c r="Q127" s="203">
        <v>282.10000000000002</v>
      </c>
      <c r="R127" s="203">
        <v>0.1449</v>
      </c>
      <c r="S127" s="202">
        <v>653.53</v>
      </c>
      <c r="T127" s="202" t="s">
        <v>1675</v>
      </c>
      <c r="U127" s="202">
        <v>25.64</v>
      </c>
      <c r="V127" s="202" t="s">
        <v>1675</v>
      </c>
      <c r="W127" s="202">
        <v>3.46</v>
      </c>
      <c r="X127" s="202" t="s">
        <v>1675</v>
      </c>
      <c r="Y127" s="204"/>
      <c r="Z127" s="155">
        <f t="shared" si="24"/>
        <v>325</v>
      </c>
      <c r="AA127" s="155">
        <f t="shared" si="25"/>
        <v>653.53</v>
      </c>
      <c r="AB127" s="275"/>
      <c r="AC127" s="151">
        <v>325</v>
      </c>
      <c r="AD127" s="202" t="s">
        <v>593</v>
      </c>
      <c r="AE127" s="203">
        <v>3.3849999999999998</v>
      </c>
      <c r="AF127" s="203">
        <v>1.6360000000000001E-3</v>
      </c>
      <c r="AG127" s="202">
        <v>53.37</v>
      </c>
      <c r="AH127" s="202" t="s">
        <v>1623</v>
      </c>
      <c r="AI127" s="202">
        <v>2.1800000000000002</v>
      </c>
      <c r="AJ127" s="202" t="s">
        <v>1623</v>
      </c>
      <c r="AK127" s="202">
        <v>571.04</v>
      </c>
      <c r="AL127" s="202" t="s">
        <v>1675</v>
      </c>
      <c r="AM127" s="204"/>
      <c r="AN127" s="155">
        <f t="shared" si="26"/>
        <v>325</v>
      </c>
      <c r="AO127" s="155">
        <f t="shared" si="27"/>
        <v>53370</v>
      </c>
      <c r="AP127" s="275"/>
      <c r="AQ127" s="151">
        <v>325</v>
      </c>
      <c r="AR127" s="202" t="s">
        <v>593</v>
      </c>
      <c r="AS127" s="203">
        <v>0.33260000000000001</v>
      </c>
      <c r="AT127" s="203">
        <v>1.131E-4</v>
      </c>
      <c r="AU127" s="202">
        <v>591.39</v>
      </c>
      <c r="AV127" s="202" t="s">
        <v>1623</v>
      </c>
      <c r="AW127" s="202">
        <v>23.52</v>
      </c>
      <c r="AX127" s="202" t="s">
        <v>1623</v>
      </c>
      <c r="AY127" s="202">
        <v>11.49</v>
      </c>
      <c r="AZ127" s="202" t="s">
        <v>1623</v>
      </c>
      <c r="BA127" s="204"/>
      <c r="BB127" s="155">
        <f t="shared" si="28"/>
        <v>325</v>
      </c>
      <c r="BC127" s="155">
        <f t="shared" si="29"/>
        <v>591390</v>
      </c>
      <c r="BE127" s="151">
        <v>325</v>
      </c>
      <c r="BF127" s="202" t="s">
        <v>593</v>
      </c>
      <c r="BG127" s="203">
        <v>72.319999999999993</v>
      </c>
      <c r="BH127" s="203">
        <v>3.7749999999999999E-2</v>
      </c>
      <c r="BI127" s="202">
        <v>2.46</v>
      </c>
      <c r="BJ127" s="202" t="s">
        <v>1623</v>
      </c>
      <c r="BK127" s="202">
        <v>100.14</v>
      </c>
      <c r="BL127" s="202" t="s">
        <v>1675</v>
      </c>
      <c r="BM127" s="202">
        <v>15.27</v>
      </c>
      <c r="BN127" s="202" t="s">
        <v>1675</v>
      </c>
      <c r="BO127" s="204"/>
      <c r="BP127" s="155">
        <f t="shared" si="30"/>
        <v>325</v>
      </c>
      <c r="BQ127" s="155">
        <f t="shared" si="31"/>
        <v>2460</v>
      </c>
      <c r="BS127" s="151">
        <v>325</v>
      </c>
      <c r="BT127" s="202" t="s">
        <v>593</v>
      </c>
      <c r="BU127" s="203">
        <v>227.8</v>
      </c>
      <c r="BV127" s="203">
        <v>0.1187</v>
      </c>
      <c r="BW127" s="202">
        <v>800.05</v>
      </c>
      <c r="BX127" s="202" t="s">
        <v>1675</v>
      </c>
      <c r="BY127" s="202">
        <v>31.71</v>
      </c>
      <c r="BZ127" s="202" t="s">
        <v>1675</v>
      </c>
      <c r="CA127" s="202">
        <v>4.21</v>
      </c>
      <c r="CB127" s="202" t="s">
        <v>1675</v>
      </c>
      <c r="CC127" s="204"/>
      <c r="CD127" s="155">
        <f t="shared" si="32"/>
        <v>325</v>
      </c>
      <c r="CE127" s="155">
        <f t="shared" si="33"/>
        <v>800.05</v>
      </c>
      <c r="CG127" s="151">
        <v>325</v>
      </c>
      <c r="CH127" s="202" t="s">
        <v>593</v>
      </c>
      <c r="CI127" s="203">
        <v>322.7</v>
      </c>
      <c r="CJ127" s="203">
        <v>0.16700000000000001</v>
      </c>
      <c r="CK127" s="202">
        <v>582.98</v>
      </c>
      <c r="CL127" s="202" t="s">
        <v>1675</v>
      </c>
      <c r="CM127" s="202">
        <v>22.6</v>
      </c>
      <c r="CN127" s="202" t="s">
        <v>1675</v>
      </c>
      <c r="CO127" s="202">
        <v>2.94</v>
      </c>
      <c r="CP127" s="202" t="s">
        <v>1675</v>
      </c>
      <c r="CQ127" s="204"/>
      <c r="CR127" s="155">
        <f t="shared" si="41"/>
        <v>325</v>
      </c>
      <c r="CS127" s="155">
        <f t="shared" si="34"/>
        <v>582.98</v>
      </c>
      <c r="CU127" s="202">
        <v>325</v>
      </c>
      <c r="CV127" s="203" t="s">
        <v>593</v>
      </c>
      <c r="CW127" s="203">
        <v>1519</v>
      </c>
      <c r="CX127" s="203">
        <v>0.93489999999999995</v>
      </c>
      <c r="CY127" s="202">
        <v>149.12</v>
      </c>
      <c r="CZ127" s="202" t="s">
        <v>1675</v>
      </c>
      <c r="DA127" s="202">
        <v>5.19</v>
      </c>
      <c r="DB127" s="202" t="s">
        <v>1675</v>
      </c>
      <c r="DC127" s="202">
        <v>8091</v>
      </c>
      <c r="DD127" s="204" t="s">
        <v>1718</v>
      </c>
      <c r="DE127" s="204"/>
      <c r="DF127" s="155">
        <f t="shared" si="35"/>
        <v>325</v>
      </c>
      <c r="DG127" s="156">
        <f t="shared" si="38"/>
        <v>149.12</v>
      </c>
      <c r="DI127" s="202">
        <v>325</v>
      </c>
      <c r="DJ127" s="203" t="s">
        <v>593</v>
      </c>
      <c r="DK127" s="203">
        <v>1474</v>
      </c>
      <c r="DL127" s="203">
        <v>0.90649999999999997</v>
      </c>
      <c r="DM127" s="202">
        <v>157.88</v>
      </c>
      <c r="DN127" s="202" t="s">
        <v>1675</v>
      </c>
      <c r="DO127" s="202">
        <v>5.45</v>
      </c>
      <c r="DP127" s="202" t="s">
        <v>1675</v>
      </c>
      <c r="DQ127" s="202">
        <v>8433</v>
      </c>
      <c r="DR127" s="204" t="s">
        <v>1718</v>
      </c>
      <c r="DS127" s="204"/>
      <c r="DT127" s="155">
        <f t="shared" si="36"/>
        <v>325</v>
      </c>
      <c r="DU127" s="156">
        <f t="shared" si="39"/>
        <v>157.88</v>
      </c>
      <c r="DW127" s="401">
        <v>325</v>
      </c>
      <c r="DX127" s="401" t="s">
        <v>593</v>
      </c>
      <c r="DY127" s="402">
        <v>20.77</v>
      </c>
      <c r="DZ127" s="402">
        <v>1.0630000000000001E-2</v>
      </c>
      <c r="EA127" s="401">
        <v>8.5399999999999991</v>
      </c>
      <c r="EB127" s="401" t="s">
        <v>1623</v>
      </c>
      <c r="EC127" s="401">
        <v>350.27</v>
      </c>
      <c r="ED127" s="401" t="s">
        <v>1675</v>
      </c>
      <c r="EE127" s="401">
        <v>68.97</v>
      </c>
      <c r="EF127" s="403" t="s">
        <v>1675</v>
      </c>
      <c r="EH127" s="155">
        <f t="shared" si="37"/>
        <v>325</v>
      </c>
      <c r="EI127" s="156">
        <f t="shared" si="40"/>
        <v>8540</v>
      </c>
    </row>
    <row r="128" spans="1:139" x14ac:dyDescent="0.2">
      <c r="A128" s="151">
        <v>350</v>
      </c>
      <c r="B128" s="202" t="s">
        <v>593</v>
      </c>
      <c r="C128" s="203">
        <v>364.8</v>
      </c>
      <c r="D128" s="203">
        <v>0.187</v>
      </c>
      <c r="E128" s="202">
        <v>570.89</v>
      </c>
      <c r="F128" s="202" t="s">
        <v>1675</v>
      </c>
      <c r="G128" s="202">
        <v>21.5</v>
      </c>
      <c r="H128" s="202" t="s">
        <v>1675</v>
      </c>
      <c r="I128" s="202">
        <v>2.92</v>
      </c>
      <c r="J128" s="202" t="s">
        <v>1675</v>
      </c>
      <c r="K128" s="204"/>
      <c r="L128" s="155">
        <f t="shared" si="22"/>
        <v>350</v>
      </c>
      <c r="M128" s="155">
        <f t="shared" si="23"/>
        <v>570.89</v>
      </c>
      <c r="N128" s="275"/>
      <c r="O128" s="151">
        <v>350</v>
      </c>
      <c r="P128" s="202" t="s">
        <v>593</v>
      </c>
      <c r="Q128" s="203">
        <v>264.3</v>
      </c>
      <c r="R128" s="203">
        <v>0.13550000000000001</v>
      </c>
      <c r="S128" s="202">
        <v>745.08</v>
      </c>
      <c r="T128" s="202" t="s">
        <v>1675</v>
      </c>
      <c r="U128" s="202">
        <v>28.74</v>
      </c>
      <c r="V128" s="202" t="s">
        <v>1675</v>
      </c>
      <c r="W128" s="202">
        <v>3.91</v>
      </c>
      <c r="X128" s="202" t="s">
        <v>1675</v>
      </c>
      <c r="Y128" s="204"/>
      <c r="Z128" s="155">
        <f t="shared" si="24"/>
        <v>350</v>
      </c>
      <c r="AA128" s="155">
        <f t="shared" si="25"/>
        <v>745.08</v>
      </c>
      <c r="AB128" s="275"/>
      <c r="AC128" s="151">
        <v>350</v>
      </c>
      <c r="AD128" s="202" t="s">
        <v>593</v>
      </c>
      <c r="AE128" s="203">
        <v>3.198</v>
      </c>
      <c r="AF128" s="203">
        <v>1.5280000000000001E-3</v>
      </c>
      <c r="AG128" s="202">
        <v>60.97</v>
      </c>
      <c r="AH128" s="202" t="s">
        <v>1623</v>
      </c>
      <c r="AI128" s="202">
        <v>2.4300000000000002</v>
      </c>
      <c r="AJ128" s="202" t="s">
        <v>1623</v>
      </c>
      <c r="AK128" s="202">
        <v>649.89</v>
      </c>
      <c r="AL128" s="202" t="s">
        <v>1675</v>
      </c>
      <c r="AM128" s="204"/>
      <c r="AN128" s="155">
        <f t="shared" si="26"/>
        <v>350</v>
      </c>
      <c r="AO128" s="155">
        <f t="shared" si="27"/>
        <v>60970</v>
      </c>
      <c r="AP128" s="275"/>
      <c r="AQ128" s="151">
        <v>350</v>
      </c>
      <c r="AR128" s="202" t="s">
        <v>593</v>
      </c>
      <c r="AS128" s="203">
        <v>0.31969999999999998</v>
      </c>
      <c r="AT128" s="203">
        <v>1.0560000000000001E-4</v>
      </c>
      <c r="AU128" s="202">
        <v>668</v>
      </c>
      <c r="AV128" s="202" t="s">
        <v>1623</v>
      </c>
      <c r="AW128" s="202">
        <v>25.96</v>
      </c>
      <c r="AX128" s="202" t="s">
        <v>1623</v>
      </c>
      <c r="AY128" s="202">
        <v>12.87</v>
      </c>
      <c r="AZ128" s="202" t="s">
        <v>1623</v>
      </c>
      <c r="BA128" s="204"/>
      <c r="BB128" s="155">
        <f t="shared" si="28"/>
        <v>350</v>
      </c>
      <c r="BC128" s="155">
        <f t="shared" si="29"/>
        <v>668000</v>
      </c>
      <c r="BE128" s="151">
        <v>350</v>
      </c>
      <c r="BF128" s="202" t="s">
        <v>593</v>
      </c>
      <c r="BG128" s="203">
        <v>68.239999999999995</v>
      </c>
      <c r="BH128" s="203">
        <v>3.5290000000000002E-2</v>
      </c>
      <c r="BI128" s="202">
        <v>2.81</v>
      </c>
      <c r="BJ128" s="202" t="s">
        <v>1623</v>
      </c>
      <c r="BK128" s="202">
        <v>112.15</v>
      </c>
      <c r="BL128" s="202" t="s">
        <v>1675</v>
      </c>
      <c r="BM128" s="202">
        <v>17.440000000000001</v>
      </c>
      <c r="BN128" s="202" t="s">
        <v>1675</v>
      </c>
      <c r="BO128" s="204"/>
      <c r="BP128" s="155">
        <f t="shared" si="30"/>
        <v>350</v>
      </c>
      <c r="BQ128" s="155">
        <f t="shared" si="31"/>
        <v>2810</v>
      </c>
      <c r="BS128" s="151">
        <v>350</v>
      </c>
      <c r="BT128" s="202" t="s">
        <v>593</v>
      </c>
      <c r="BU128" s="203">
        <v>214.2</v>
      </c>
      <c r="BV128" s="203">
        <v>0.1111</v>
      </c>
      <c r="BW128" s="202">
        <v>913.22</v>
      </c>
      <c r="BX128" s="202" t="s">
        <v>1675</v>
      </c>
      <c r="BY128" s="202">
        <v>35.54</v>
      </c>
      <c r="BZ128" s="202" t="s">
        <v>1675</v>
      </c>
      <c r="CA128" s="202">
        <v>4.7699999999999996</v>
      </c>
      <c r="CB128" s="202" t="s">
        <v>1675</v>
      </c>
      <c r="CC128" s="204"/>
      <c r="CD128" s="155">
        <f t="shared" si="32"/>
        <v>350</v>
      </c>
      <c r="CE128" s="155">
        <f t="shared" si="33"/>
        <v>913.22</v>
      </c>
      <c r="CG128" s="151">
        <v>350</v>
      </c>
      <c r="CH128" s="202" t="s">
        <v>593</v>
      </c>
      <c r="CI128" s="203">
        <v>302.5</v>
      </c>
      <c r="CJ128" s="203">
        <v>0.15620000000000001</v>
      </c>
      <c r="CK128" s="202">
        <v>662.99</v>
      </c>
      <c r="CL128" s="202" t="s">
        <v>1675</v>
      </c>
      <c r="CM128" s="202">
        <v>25.29</v>
      </c>
      <c r="CN128" s="202" t="s">
        <v>1675</v>
      </c>
      <c r="CO128" s="202">
        <v>3.3</v>
      </c>
      <c r="CP128" s="202" t="s">
        <v>1675</v>
      </c>
      <c r="CQ128" s="204"/>
      <c r="CR128" s="155">
        <f t="shared" si="41"/>
        <v>350</v>
      </c>
      <c r="CS128" s="155">
        <f t="shared" si="34"/>
        <v>662.99</v>
      </c>
      <c r="CU128" s="202">
        <v>350</v>
      </c>
      <c r="CV128" s="203" t="s">
        <v>593</v>
      </c>
      <c r="CW128" s="203">
        <v>1450</v>
      </c>
      <c r="CX128" s="203">
        <v>0.87549999999999994</v>
      </c>
      <c r="CY128" s="202">
        <v>165.96</v>
      </c>
      <c r="CZ128" s="202" t="s">
        <v>1675</v>
      </c>
      <c r="DA128" s="202">
        <v>5.71</v>
      </c>
      <c r="DB128" s="202" t="s">
        <v>1675</v>
      </c>
      <c r="DC128" s="202">
        <v>8697</v>
      </c>
      <c r="DD128" s="204" t="s">
        <v>1718</v>
      </c>
      <c r="DE128" s="204"/>
      <c r="DF128" s="155">
        <f t="shared" si="35"/>
        <v>350</v>
      </c>
      <c r="DG128" s="156">
        <f t="shared" si="38"/>
        <v>165.96</v>
      </c>
      <c r="DI128" s="202">
        <v>350</v>
      </c>
      <c r="DJ128" s="203" t="s">
        <v>593</v>
      </c>
      <c r="DK128" s="203">
        <v>1414</v>
      </c>
      <c r="DL128" s="203">
        <v>0.84889999999999999</v>
      </c>
      <c r="DM128" s="202">
        <v>175.2</v>
      </c>
      <c r="DN128" s="202" t="s">
        <v>1675</v>
      </c>
      <c r="DO128" s="202">
        <v>5.98</v>
      </c>
      <c r="DP128" s="202" t="s">
        <v>1675</v>
      </c>
      <c r="DQ128" s="202">
        <v>9037</v>
      </c>
      <c r="DR128" s="204" t="s">
        <v>1718</v>
      </c>
      <c r="DS128" s="204"/>
      <c r="DT128" s="155">
        <f t="shared" si="36"/>
        <v>350</v>
      </c>
      <c r="DU128" s="156">
        <f t="shared" si="39"/>
        <v>175.2</v>
      </c>
      <c r="DW128" s="401">
        <v>350</v>
      </c>
      <c r="DX128" s="401" t="s">
        <v>593</v>
      </c>
      <c r="DY128" s="402">
        <v>19.55</v>
      </c>
      <c r="DZ128" s="402">
        <v>9.9330000000000009E-3</v>
      </c>
      <c r="EA128" s="401">
        <v>9.7799999999999994</v>
      </c>
      <c r="EB128" s="401" t="s">
        <v>1623</v>
      </c>
      <c r="EC128" s="401">
        <v>392.14</v>
      </c>
      <c r="ED128" s="401" t="s">
        <v>1675</v>
      </c>
      <c r="EE128" s="401">
        <v>78.819999999999993</v>
      </c>
      <c r="EF128" s="403" t="s">
        <v>1675</v>
      </c>
      <c r="EH128" s="155">
        <f t="shared" si="37"/>
        <v>350</v>
      </c>
      <c r="EI128" s="156">
        <f t="shared" si="40"/>
        <v>9780</v>
      </c>
    </row>
    <row r="129" spans="1:139" x14ac:dyDescent="0.2">
      <c r="A129" s="151">
        <v>375</v>
      </c>
      <c r="B129" s="202" t="s">
        <v>593</v>
      </c>
      <c r="C129" s="203">
        <v>345.6</v>
      </c>
      <c r="D129" s="203">
        <v>0.17580000000000001</v>
      </c>
      <c r="E129" s="202">
        <v>641.29</v>
      </c>
      <c r="F129" s="202" t="s">
        <v>1675</v>
      </c>
      <c r="G129" s="202">
        <v>23.7</v>
      </c>
      <c r="H129" s="202" t="s">
        <v>1675</v>
      </c>
      <c r="I129" s="202">
        <v>3.25</v>
      </c>
      <c r="J129" s="202" t="s">
        <v>1675</v>
      </c>
      <c r="K129" s="204"/>
      <c r="L129" s="155">
        <f t="shared" si="22"/>
        <v>375</v>
      </c>
      <c r="M129" s="155">
        <f t="shared" si="23"/>
        <v>641.29</v>
      </c>
      <c r="N129" s="275"/>
      <c r="O129" s="151">
        <v>375</v>
      </c>
      <c r="P129" s="202" t="s">
        <v>593</v>
      </c>
      <c r="Q129" s="203">
        <v>248.8</v>
      </c>
      <c r="R129" s="203">
        <v>0.12740000000000001</v>
      </c>
      <c r="S129" s="202">
        <v>842.55</v>
      </c>
      <c r="T129" s="202" t="s">
        <v>1675</v>
      </c>
      <c r="U129" s="202">
        <v>31.89</v>
      </c>
      <c r="V129" s="202" t="s">
        <v>1675</v>
      </c>
      <c r="W129" s="202">
        <v>4.38</v>
      </c>
      <c r="X129" s="202" t="s">
        <v>1675</v>
      </c>
      <c r="Y129" s="204"/>
      <c r="Z129" s="155">
        <f t="shared" si="24"/>
        <v>375</v>
      </c>
      <c r="AA129" s="155">
        <f t="shared" si="25"/>
        <v>842.55</v>
      </c>
      <c r="AB129" s="275"/>
      <c r="AC129" s="151">
        <v>375</v>
      </c>
      <c r="AD129" s="202" t="s">
        <v>593</v>
      </c>
      <c r="AE129" s="203">
        <v>3.0339999999999998</v>
      </c>
      <c r="AF129" s="203">
        <v>1.4339999999999999E-3</v>
      </c>
      <c r="AG129" s="202">
        <v>68.989999999999995</v>
      </c>
      <c r="AH129" s="202" t="s">
        <v>1623</v>
      </c>
      <c r="AI129" s="202">
        <v>2.69</v>
      </c>
      <c r="AJ129" s="202" t="s">
        <v>1623</v>
      </c>
      <c r="AK129" s="202">
        <v>732.79</v>
      </c>
      <c r="AL129" s="202" t="s">
        <v>1675</v>
      </c>
      <c r="AM129" s="204"/>
      <c r="AN129" s="155">
        <f t="shared" si="26"/>
        <v>375</v>
      </c>
      <c r="AO129" s="155">
        <f t="shared" si="27"/>
        <v>68990</v>
      </c>
      <c r="AP129" s="275"/>
      <c r="AQ129" s="151">
        <v>375</v>
      </c>
      <c r="AR129" s="202" t="s">
        <v>593</v>
      </c>
      <c r="AS129" s="203">
        <v>0.3085</v>
      </c>
      <c r="AT129" s="203">
        <v>9.8999999999999994E-5</v>
      </c>
      <c r="AU129" s="202">
        <v>747.55</v>
      </c>
      <c r="AV129" s="202" t="s">
        <v>1623</v>
      </c>
      <c r="AW129" s="202">
        <v>28.36</v>
      </c>
      <c r="AX129" s="202" t="s">
        <v>1623</v>
      </c>
      <c r="AY129" s="202">
        <v>14.29</v>
      </c>
      <c r="AZ129" s="202" t="s">
        <v>1623</v>
      </c>
      <c r="BA129" s="204"/>
      <c r="BB129" s="155">
        <f t="shared" si="28"/>
        <v>375</v>
      </c>
      <c r="BC129" s="155">
        <f t="shared" si="29"/>
        <v>747550</v>
      </c>
      <c r="BE129" s="151">
        <v>375</v>
      </c>
      <c r="BF129" s="202" t="s">
        <v>593</v>
      </c>
      <c r="BG129" s="203">
        <v>64.569999999999993</v>
      </c>
      <c r="BH129" s="203">
        <v>3.3140000000000003E-2</v>
      </c>
      <c r="BI129" s="202">
        <v>3.19</v>
      </c>
      <c r="BJ129" s="202" t="s">
        <v>1623</v>
      </c>
      <c r="BK129" s="202">
        <v>124.23</v>
      </c>
      <c r="BL129" s="202" t="s">
        <v>1675</v>
      </c>
      <c r="BM129" s="202">
        <v>19.73</v>
      </c>
      <c r="BN129" s="202" t="s">
        <v>1675</v>
      </c>
      <c r="BO129" s="204"/>
      <c r="BP129" s="155">
        <f t="shared" si="30"/>
        <v>375</v>
      </c>
      <c r="BQ129" s="155">
        <f t="shared" si="31"/>
        <v>3190</v>
      </c>
      <c r="BS129" s="151">
        <v>375</v>
      </c>
      <c r="BT129" s="202" t="s">
        <v>593</v>
      </c>
      <c r="BU129" s="203">
        <v>202.4</v>
      </c>
      <c r="BV129" s="203">
        <v>0.1043</v>
      </c>
      <c r="BW129" s="202">
        <v>1.03</v>
      </c>
      <c r="BX129" s="202" t="s">
        <v>1623</v>
      </c>
      <c r="BY129" s="202">
        <v>39.409999999999997</v>
      </c>
      <c r="BZ129" s="202" t="s">
        <v>1675</v>
      </c>
      <c r="CA129" s="202">
        <v>5.36</v>
      </c>
      <c r="CB129" s="202" t="s">
        <v>1675</v>
      </c>
      <c r="CC129" s="204"/>
      <c r="CD129" s="155">
        <f t="shared" si="32"/>
        <v>375</v>
      </c>
      <c r="CE129" s="155">
        <f t="shared" si="33"/>
        <v>1030</v>
      </c>
      <c r="CG129" s="151">
        <v>375</v>
      </c>
      <c r="CH129" s="202" t="s">
        <v>593</v>
      </c>
      <c r="CI129" s="203">
        <v>284.7</v>
      </c>
      <c r="CJ129" s="203">
        <v>0.14680000000000001</v>
      </c>
      <c r="CK129" s="202">
        <v>748.18</v>
      </c>
      <c r="CL129" s="202" t="s">
        <v>1675</v>
      </c>
      <c r="CM129" s="202">
        <v>28.02</v>
      </c>
      <c r="CN129" s="202" t="s">
        <v>1675</v>
      </c>
      <c r="CO129" s="202">
        <v>3.69</v>
      </c>
      <c r="CP129" s="202" t="s">
        <v>1675</v>
      </c>
      <c r="CQ129" s="204"/>
      <c r="CR129" s="155">
        <f t="shared" si="41"/>
        <v>375</v>
      </c>
      <c r="CS129" s="155">
        <f t="shared" si="34"/>
        <v>748.18</v>
      </c>
      <c r="CU129" s="202">
        <v>375</v>
      </c>
      <c r="CV129" s="203" t="s">
        <v>593</v>
      </c>
      <c r="CW129" s="203">
        <v>1388</v>
      </c>
      <c r="CX129" s="203">
        <v>0.8236</v>
      </c>
      <c r="CY129" s="202">
        <v>183.58</v>
      </c>
      <c r="CZ129" s="202" t="s">
        <v>1675</v>
      </c>
      <c r="DA129" s="202">
        <v>6.23</v>
      </c>
      <c r="DB129" s="202" t="s">
        <v>1675</v>
      </c>
      <c r="DC129" s="202">
        <v>9331</v>
      </c>
      <c r="DD129" s="204" t="s">
        <v>1718</v>
      </c>
      <c r="DE129" s="204"/>
      <c r="DF129" s="155">
        <f t="shared" si="35"/>
        <v>375</v>
      </c>
      <c r="DG129" s="156">
        <f t="shared" si="38"/>
        <v>183.58</v>
      </c>
      <c r="DI129" s="202">
        <v>375</v>
      </c>
      <c r="DJ129" s="203" t="s">
        <v>593</v>
      </c>
      <c r="DK129" s="203">
        <v>1358</v>
      </c>
      <c r="DL129" s="203">
        <v>0.79849999999999999</v>
      </c>
      <c r="DM129" s="202">
        <v>193.24</v>
      </c>
      <c r="DN129" s="202" t="s">
        <v>1675</v>
      </c>
      <c r="DO129" s="202">
        <v>6.5</v>
      </c>
      <c r="DP129" s="202" t="s">
        <v>1675</v>
      </c>
      <c r="DQ129" s="202">
        <v>9666</v>
      </c>
      <c r="DR129" s="204" t="s">
        <v>1718</v>
      </c>
      <c r="DS129" s="204"/>
      <c r="DT129" s="155">
        <f t="shared" si="36"/>
        <v>375</v>
      </c>
      <c r="DU129" s="156">
        <f t="shared" si="39"/>
        <v>193.24</v>
      </c>
      <c r="DW129" s="401">
        <v>375</v>
      </c>
      <c r="DX129" s="401" t="s">
        <v>593</v>
      </c>
      <c r="DY129" s="402">
        <v>18.489999999999998</v>
      </c>
      <c r="DZ129" s="402">
        <v>9.325E-3</v>
      </c>
      <c r="EA129" s="401">
        <v>11.09</v>
      </c>
      <c r="EB129" s="401" t="s">
        <v>1623</v>
      </c>
      <c r="EC129" s="401">
        <v>434.41</v>
      </c>
      <c r="ED129" s="401" t="s">
        <v>1675</v>
      </c>
      <c r="EE129" s="401">
        <v>89.23</v>
      </c>
      <c r="EF129" s="403" t="s">
        <v>1675</v>
      </c>
      <c r="EH129" s="155">
        <f t="shared" si="37"/>
        <v>375</v>
      </c>
      <c r="EI129" s="156">
        <f t="shared" si="40"/>
        <v>11090</v>
      </c>
    </row>
    <row r="130" spans="1:139" x14ac:dyDescent="0.2">
      <c r="A130" s="151">
        <v>400</v>
      </c>
      <c r="B130" s="202" t="s">
        <v>593</v>
      </c>
      <c r="C130" s="203">
        <v>328.6</v>
      </c>
      <c r="D130" s="203">
        <v>0.16589999999999999</v>
      </c>
      <c r="E130" s="202">
        <v>715.46</v>
      </c>
      <c r="F130" s="202" t="s">
        <v>1675</v>
      </c>
      <c r="G130" s="202">
        <v>25.93</v>
      </c>
      <c r="H130" s="202" t="s">
        <v>1675</v>
      </c>
      <c r="I130" s="202">
        <v>3.59</v>
      </c>
      <c r="J130" s="202" t="s">
        <v>1675</v>
      </c>
      <c r="K130" s="204"/>
      <c r="L130" s="155">
        <f t="shared" si="22"/>
        <v>400</v>
      </c>
      <c r="M130" s="155">
        <f t="shared" si="23"/>
        <v>715.46</v>
      </c>
      <c r="N130" s="275"/>
      <c r="O130" s="151">
        <v>400</v>
      </c>
      <c r="P130" s="202" t="s">
        <v>593</v>
      </c>
      <c r="Q130" s="203">
        <v>235.4</v>
      </c>
      <c r="R130" s="203">
        <v>0.1202</v>
      </c>
      <c r="S130" s="202">
        <v>945.82</v>
      </c>
      <c r="T130" s="202" t="s">
        <v>1675</v>
      </c>
      <c r="U130" s="202">
        <v>35.1</v>
      </c>
      <c r="V130" s="202" t="s">
        <v>1675</v>
      </c>
      <c r="W130" s="202">
        <v>4.8899999999999997</v>
      </c>
      <c r="X130" s="202" t="s">
        <v>1675</v>
      </c>
      <c r="Y130" s="204"/>
      <c r="Z130" s="155">
        <f t="shared" si="24"/>
        <v>400</v>
      </c>
      <c r="AA130" s="155">
        <f t="shared" si="25"/>
        <v>945.82</v>
      </c>
      <c r="AB130" s="275"/>
      <c r="AC130" s="151">
        <v>400</v>
      </c>
      <c r="AD130" s="202" t="s">
        <v>593</v>
      </c>
      <c r="AE130" s="203">
        <v>2.89</v>
      </c>
      <c r="AF130" s="203">
        <v>1.351E-3</v>
      </c>
      <c r="AG130" s="202">
        <v>77.430000000000007</v>
      </c>
      <c r="AH130" s="202" t="s">
        <v>1623</v>
      </c>
      <c r="AI130" s="202">
        <v>2.94</v>
      </c>
      <c r="AJ130" s="202" t="s">
        <v>1623</v>
      </c>
      <c r="AK130" s="202">
        <v>819.6</v>
      </c>
      <c r="AL130" s="202" t="s">
        <v>1675</v>
      </c>
      <c r="AM130" s="204"/>
      <c r="AN130" s="155">
        <f t="shared" si="26"/>
        <v>400</v>
      </c>
      <c r="AO130" s="155">
        <f t="shared" si="27"/>
        <v>77430</v>
      </c>
      <c r="AP130" s="275"/>
      <c r="AQ130" s="151">
        <v>400</v>
      </c>
      <c r="AR130" s="202" t="s">
        <v>593</v>
      </c>
      <c r="AS130" s="203">
        <v>0.29870000000000002</v>
      </c>
      <c r="AT130" s="203">
        <v>9.3239999999999995E-5</v>
      </c>
      <c r="AU130" s="202">
        <v>829.85</v>
      </c>
      <c r="AV130" s="202" t="s">
        <v>1623</v>
      </c>
      <c r="AW130" s="202">
        <v>30.73</v>
      </c>
      <c r="AX130" s="202" t="s">
        <v>1623</v>
      </c>
      <c r="AY130" s="202">
        <v>15.74</v>
      </c>
      <c r="AZ130" s="202" t="s">
        <v>1623</v>
      </c>
      <c r="BA130" s="204"/>
      <c r="BB130" s="155">
        <f t="shared" si="28"/>
        <v>400</v>
      </c>
      <c r="BC130" s="155">
        <f t="shared" si="29"/>
        <v>829850</v>
      </c>
      <c r="BE130" s="151">
        <v>400</v>
      </c>
      <c r="BF130" s="202" t="s">
        <v>593</v>
      </c>
      <c r="BG130" s="203">
        <v>61.22</v>
      </c>
      <c r="BH130" s="203">
        <v>3.125E-2</v>
      </c>
      <c r="BI130" s="202">
        <v>3.58</v>
      </c>
      <c r="BJ130" s="202" t="s">
        <v>1623</v>
      </c>
      <c r="BK130" s="202">
        <v>136.44999999999999</v>
      </c>
      <c r="BL130" s="202" t="s">
        <v>1675</v>
      </c>
      <c r="BM130" s="202">
        <v>22.14</v>
      </c>
      <c r="BN130" s="202" t="s">
        <v>1675</v>
      </c>
      <c r="BO130" s="204"/>
      <c r="BP130" s="155">
        <f t="shared" si="30"/>
        <v>400</v>
      </c>
      <c r="BQ130" s="155">
        <f t="shared" si="31"/>
        <v>3580</v>
      </c>
      <c r="BS130" s="151">
        <v>400</v>
      </c>
      <c r="BT130" s="202" t="s">
        <v>593</v>
      </c>
      <c r="BU130" s="203">
        <v>192.2</v>
      </c>
      <c r="BV130" s="203">
        <v>9.844E-2</v>
      </c>
      <c r="BW130" s="202">
        <v>1.1599999999999999</v>
      </c>
      <c r="BX130" s="202" t="s">
        <v>1623</v>
      </c>
      <c r="BY130" s="202">
        <v>43.31</v>
      </c>
      <c r="BZ130" s="202" t="s">
        <v>1675</v>
      </c>
      <c r="CA130" s="202">
        <v>5.99</v>
      </c>
      <c r="CB130" s="202" t="s">
        <v>1675</v>
      </c>
      <c r="CC130" s="204"/>
      <c r="CD130" s="155">
        <f t="shared" si="32"/>
        <v>400</v>
      </c>
      <c r="CE130" s="155">
        <f t="shared" si="33"/>
        <v>1160</v>
      </c>
      <c r="CG130" s="151">
        <v>400</v>
      </c>
      <c r="CH130" s="202" t="s">
        <v>593</v>
      </c>
      <c r="CI130" s="203">
        <v>268.89999999999998</v>
      </c>
      <c r="CJ130" s="203">
        <v>0.13850000000000001</v>
      </c>
      <c r="CK130" s="202">
        <v>838.51</v>
      </c>
      <c r="CL130" s="202" t="s">
        <v>1675</v>
      </c>
      <c r="CM130" s="202">
        <v>30.81</v>
      </c>
      <c r="CN130" s="202" t="s">
        <v>1675</v>
      </c>
      <c r="CO130" s="202">
        <v>4.1100000000000003</v>
      </c>
      <c r="CP130" s="202" t="s">
        <v>1675</v>
      </c>
      <c r="CQ130" s="204"/>
      <c r="CR130" s="155">
        <f t="shared" si="41"/>
        <v>400</v>
      </c>
      <c r="CS130" s="155">
        <f t="shared" si="34"/>
        <v>838.51</v>
      </c>
      <c r="CU130" s="202">
        <v>400</v>
      </c>
      <c r="CV130" s="203" t="s">
        <v>593</v>
      </c>
      <c r="CW130" s="203">
        <v>1331</v>
      </c>
      <c r="CX130" s="203">
        <v>0.77769999999999995</v>
      </c>
      <c r="CY130" s="202">
        <v>201.97</v>
      </c>
      <c r="CZ130" s="202" t="s">
        <v>1675</v>
      </c>
      <c r="DA130" s="202">
        <v>6.76</v>
      </c>
      <c r="DB130" s="202" t="s">
        <v>1675</v>
      </c>
      <c r="DC130" s="202">
        <v>9993</v>
      </c>
      <c r="DD130" s="204" t="s">
        <v>1718</v>
      </c>
      <c r="DE130" s="204"/>
      <c r="DF130" s="155">
        <f t="shared" si="35"/>
        <v>400</v>
      </c>
      <c r="DG130" s="156">
        <f t="shared" si="38"/>
        <v>201.97</v>
      </c>
      <c r="DI130" s="202">
        <v>400</v>
      </c>
      <c r="DJ130" s="203" t="s">
        <v>593</v>
      </c>
      <c r="DK130" s="203">
        <v>1307</v>
      </c>
      <c r="DL130" s="203">
        <v>0.75409999999999999</v>
      </c>
      <c r="DM130" s="202">
        <v>211.99</v>
      </c>
      <c r="DN130" s="202" t="s">
        <v>1675</v>
      </c>
      <c r="DO130" s="202">
        <v>7.02</v>
      </c>
      <c r="DP130" s="202" t="s">
        <v>1675</v>
      </c>
      <c r="DQ130" s="202">
        <v>1.03</v>
      </c>
      <c r="DR130" s="204" t="s">
        <v>1675</v>
      </c>
      <c r="DS130" s="204"/>
      <c r="DT130" s="155">
        <f t="shared" si="36"/>
        <v>400</v>
      </c>
      <c r="DU130" s="156">
        <f t="shared" si="39"/>
        <v>211.99</v>
      </c>
      <c r="DW130" s="401">
        <v>400</v>
      </c>
      <c r="DX130" s="401" t="s">
        <v>593</v>
      </c>
      <c r="DY130" s="402">
        <v>17.55</v>
      </c>
      <c r="DZ130" s="402">
        <v>8.7899999999999992E-3</v>
      </c>
      <c r="EA130" s="401">
        <v>12.48</v>
      </c>
      <c r="EB130" s="401" t="s">
        <v>1623</v>
      </c>
      <c r="EC130" s="401">
        <v>477.12</v>
      </c>
      <c r="ED130" s="401" t="s">
        <v>1675</v>
      </c>
      <c r="EE130" s="401">
        <v>100.18</v>
      </c>
      <c r="EF130" s="403" t="s">
        <v>1675</v>
      </c>
      <c r="EH130" s="155">
        <f t="shared" si="37"/>
        <v>400</v>
      </c>
      <c r="EI130" s="156">
        <f t="shared" si="40"/>
        <v>12480</v>
      </c>
    </row>
    <row r="131" spans="1:139" x14ac:dyDescent="0.2">
      <c r="A131" s="151">
        <v>450</v>
      </c>
      <c r="B131" s="202" t="s">
        <v>593</v>
      </c>
      <c r="C131" s="203">
        <v>299.60000000000002</v>
      </c>
      <c r="D131" s="203">
        <v>0.1492</v>
      </c>
      <c r="E131" s="202">
        <v>874.82</v>
      </c>
      <c r="F131" s="202" t="s">
        <v>1675</v>
      </c>
      <c r="G131" s="202">
        <v>34.380000000000003</v>
      </c>
      <c r="H131" s="202" t="s">
        <v>1675</v>
      </c>
      <c r="I131" s="202">
        <v>4.3099999999999996</v>
      </c>
      <c r="J131" s="202" t="s">
        <v>1675</v>
      </c>
      <c r="K131" s="204"/>
      <c r="L131" s="155">
        <f t="shared" si="22"/>
        <v>450</v>
      </c>
      <c r="M131" s="155">
        <f t="shared" si="23"/>
        <v>874.82</v>
      </c>
      <c r="N131" s="275"/>
      <c r="O131" s="151">
        <v>450</v>
      </c>
      <c r="P131" s="202" t="s">
        <v>593</v>
      </c>
      <c r="Q131" s="203">
        <v>213.6</v>
      </c>
      <c r="R131" s="203">
        <v>0.108</v>
      </c>
      <c r="S131" s="202">
        <v>1.17</v>
      </c>
      <c r="T131" s="202" t="s">
        <v>1623</v>
      </c>
      <c r="U131" s="202">
        <v>47.22</v>
      </c>
      <c r="V131" s="202" t="s">
        <v>1675</v>
      </c>
      <c r="W131" s="202">
        <v>5.98</v>
      </c>
      <c r="X131" s="202" t="s">
        <v>1675</v>
      </c>
      <c r="Y131" s="204"/>
      <c r="Z131" s="155">
        <f t="shared" si="24"/>
        <v>450</v>
      </c>
      <c r="AA131" s="155">
        <f t="shared" si="25"/>
        <v>1170</v>
      </c>
      <c r="AB131" s="275"/>
      <c r="AC131" s="151">
        <v>450</v>
      </c>
      <c r="AD131" s="202" t="s">
        <v>593</v>
      </c>
      <c r="AE131" s="203">
        <v>2.6480000000000001</v>
      </c>
      <c r="AF131" s="203">
        <v>1.212E-3</v>
      </c>
      <c r="AG131" s="202">
        <v>95.5</v>
      </c>
      <c r="AH131" s="202" t="s">
        <v>1623</v>
      </c>
      <c r="AI131" s="202">
        <v>3.9</v>
      </c>
      <c r="AJ131" s="202" t="s">
        <v>1623</v>
      </c>
      <c r="AK131" s="202">
        <v>1</v>
      </c>
      <c r="AL131" s="202" t="s">
        <v>1623</v>
      </c>
      <c r="AM131" s="204"/>
      <c r="AN131" s="155">
        <f t="shared" si="26"/>
        <v>450</v>
      </c>
      <c r="AO131" s="155">
        <f t="shared" si="27"/>
        <v>95500</v>
      </c>
      <c r="AP131" s="275"/>
      <c r="AQ131" s="151">
        <v>450</v>
      </c>
      <c r="AR131" s="202" t="s">
        <v>593</v>
      </c>
      <c r="AS131" s="203">
        <v>0.28249999999999997</v>
      </c>
      <c r="AT131" s="203">
        <v>8.3560000000000006E-5</v>
      </c>
      <c r="AU131" s="202">
        <v>1</v>
      </c>
      <c r="AV131" s="202" t="s">
        <v>144</v>
      </c>
      <c r="AW131" s="202">
        <v>39.32</v>
      </c>
      <c r="AX131" s="202" t="s">
        <v>1623</v>
      </c>
      <c r="AY131" s="202">
        <v>18.72</v>
      </c>
      <c r="AZ131" s="202" t="s">
        <v>1623</v>
      </c>
      <c r="BA131" s="204"/>
      <c r="BB131" s="155">
        <f t="shared" si="28"/>
        <v>450</v>
      </c>
      <c r="BC131" s="155">
        <f t="shared" si="29"/>
        <v>1000000</v>
      </c>
      <c r="BE131" s="151">
        <v>450</v>
      </c>
      <c r="BF131" s="202" t="s">
        <v>593</v>
      </c>
      <c r="BG131" s="203">
        <v>55.57</v>
      </c>
      <c r="BH131" s="203">
        <v>2.8070000000000001E-2</v>
      </c>
      <c r="BI131" s="202">
        <v>4.4400000000000004</v>
      </c>
      <c r="BJ131" s="202" t="s">
        <v>1623</v>
      </c>
      <c r="BK131" s="202">
        <v>182.71</v>
      </c>
      <c r="BL131" s="202" t="s">
        <v>1675</v>
      </c>
      <c r="BM131" s="202">
        <v>27.33</v>
      </c>
      <c r="BN131" s="202" t="s">
        <v>1675</v>
      </c>
      <c r="BO131" s="204"/>
      <c r="BP131" s="155">
        <f t="shared" si="30"/>
        <v>450</v>
      </c>
      <c r="BQ131" s="155">
        <f t="shared" si="31"/>
        <v>4440</v>
      </c>
      <c r="BS131" s="151">
        <v>450</v>
      </c>
      <c r="BT131" s="202" t="s">
        <v>593</v>
      </c>
      <c r="BU131" s="203">
        <v>175.3</v>
      </c>
      <c r="BV131" s="203">
        <v>8.8499999999999995E-2</v>
      </c>
      <c r="BW131" s="202">
        <v>1.43</v>
      </c>
      <c r="BX131" s="202" t="s">
        <v>1623</v>
      </c>
      <c r="BY131" s="202">
        <v>58.01</v>
      </c>
      <c r="BZ131" s="202" t="s">
        <v>1675</v>
      </c>
      <c r="CA131" s="202">
        <v>7.33</v>
      </c>
      <c r="CB131" s="202" t="s">
        <v>1675</v>
      </c>
      <c r="CC131" s="204"/>
      <c r="CD131" s="155">
        <f t="shared" si="32"/>
        <v>450</v>
      </c>
      <c r="CE131" s="155">
        <f t="shared" si="33"/>
        <v>1430</v>
      </c>
      <c r="CG131" s="151">
        <v>450</v>
      </c>
      <c r="CH131" s="202" t="s">
        <v>593</v>
      </c>
      <c r="CI131" s="203">
        <v>242.7</v>
      </c>
      <c r="CJ131" s="203">
        <v>0.1246</v>
      </c>
      <c r="CK131" s="202">
        <v>1.03</v>
      </c>
      <c r="CL131" s="202" t="s">
        <v>1623</v>
      </c>
      <c r="CM131" s="202">
        <v>41.45</v>
      </c>
      <c r="CN131" s="202" t="s">
        <v>1675</v>
      </c>
      <c r="CO131" s="202">
        <v>5</v>
      </c>
      <c r="CP131" s="202" t="s">
        <v>1675</v>
      </c>
      <c r="CQ131" s="204"/>
      <c r="CR131" s="155">
        <f t="shared" si="41"/>
        <v>450</v>
      </c>
      <c r="CS131" s="155">
        <f t="shared" si="34"/>
        <v>1030</v>
      </c>
      <c r="CU131" s="202">
        <v>450</v>
      </c>
      <c r="CV131" s="203" t="s">
        <v>593</v>
      </c>
      <c r="CW131" s="203">
        <v>1230</v>
      </c>
      <c r="CX131" s="203">
        <v>0.70040000000000002</v>
      </c>
      <c r="CY131" s="202">
        <v>241.04</v>
      </c>
      <c r="CZ131" s="202" t="s">
        <v>1675</v>
      </c>
      <c r="DA131" s="202">
        <v>8.73</v>
      </c>
      <c r="DB131" s="202" t="s">
        <v>1675</v>
      </c>
      <c r="DC131" s="202">
        <v>1.1399999999999999</v>
      </c>
      <c r="DD131" s="204" t="s">
        <v>1675</v>
      </c>
      <c r="DE131" s="204"/>
      <c r="DF131" s="155">
        <f t="shared" si="35"/>
        <v>450</v>
      </c>
      <c r="DG131" s="156">
        <f t="shared" si="38"/>
        <v>241.04</v>
      </c>
      <c r="DI131" s="202">
        <v>450</v>
      </c>
      <c r="DJ131" s="203" t="s">
        <v>593</v>
      </c>
      <c r="DK131" s="203">
        <v>1215</v>
      </c>
      <c r="DL131" s="203">
        <v>0.67910000000000004</v>
      </c>
      <c r="DM131" s="202">
        <v>251.65</v>
      </c>
      <c r="DN131" s="202" t="s">
        <v>1675</v>
      </c>
      <c r="DO131" s="202">
        <v>8.99</v>
      </c>
      <c r="DP131" s="202" t="s">
        <v>1675</v>
      </c>
      <c r="DQ131" s="202">
        <v>1.17</v>
      </c>
      <c r="DR131" s="204" t="s">
        <v>1675</v>
      </c>
      <c r="DS131" s="204"/>
      <c r="DT131" s="155">
        <f t="shared" si="36"/>
        <v>450</v>
      </c>
      <c r="DU131" s="156">
        <f t="shared" si="39"/>
        <v>251.65</v>
      </c>
      <c r="DW131" s="401">
        <v>450</v>
      </c>
      <c r="DX131" s="401" t="s">
        <v>593</v>
      </c>
      <c r="DY131" s="402">
        <v>15.98</v>
      </c>
      <c r="DZ131" s="402">
        <v>7.8899999999999994E-3</v>
      </c>
      <c r="EA131" s="401">
        <v>15.46</v>
      </c>
      <c r="EB131" s="401" t="s">
        <v>1623</v>
      </c>
      <c r="EC131" s="401">
        <v>638.04</v>
      </c>
      <c r="ED131" s="401" t="s">
        <v>1675</v>
      </c>
      <c r="EE131" s="401">
        <v>123.69</v>
      </c>
      <c r="EF131" s="403" t="s">
        <v>1675</v>
      </c>
      <c r="EH131" s="155">
        <f t="shared" si="37"/>
        <v>450</v>
      </c>
      <c r="EI131" s="156">
        <f t="shared" si="40"/>
        <v>15460</v>
      </c>
    </row>
    <row r="132" spans="1:139" x14ac:dyDescent="0.2">
      <c r="A132" s="151">
        <v>500</v>
      </c>
      <c r="B132" s="202" t="s">
        <v>593</v>
      </c>
      <c r="C132" s="203">
        <v>276</v>
      </c>
      <c r="D132" s="203">
        <v>0.1356</v>
      </c>
      <c r="E132" s="202">
        <v>1.05</v>
      </c>
      <c r="F132" s="202" t="s">
        <v>1623</v>
      </c>
      <c r="G132" s="202">
        <v>42.29</v>
      </c>
      <c r="H132" s="202" t="s">
        <v>1675</v>
      </c>
      <c r="I132" s="202">
        <v>5.0999999999999996</v>
      </c>
      <c r="J132" s="202" t="s">
        <v>1675</v>
      </c>
      <c r="K132" s="204"/>
      <c r="L132" s="155">
        <f t="shared" si="22"/>
        <v>500</v>
      </c>
      <c r="M132" s="155">
        <f t="shared" si="23"/>
        <v>1050</v>
      </c>
      <c r="N132" s="275"/>
      <c r="O132" s="151">
        <v>500</v>
      </c>
      <c r="P132" s="202" t="s">
        <v>593</v>
      </c>
      <c r="Q132" s="203">
        <v>197.2</v>
      </c>
      <c r="R132" s="203">
        <v>9.8220000000000002E-2</v>
      </c>
      <c r="S132" s="202">
        <v>1.41</v>
      </c>
      <c r="T132" s="202" t="s">
        <v>1623</v>
      </c>
      <c r="U132" s="202">
        <v>58.48</v>
      </c>
      <c r="V132" s="202" t="s">
        <v>1675</v>
      </c>
      <c r="W132" s="202">
        <v>7.17</v>
      </c>
      <c r="X132" s="202" t="s">
        <v>1675</v>
      </c>
      <c r="Y132" s="204"/>
      <c r="Z132" s="155">
        <f t="shared" si="24"/>
        <v>500</v>
      </c>
      <c r="AA132" s="155">
        <f t="shared" si="25"/>
        <v>1410</v>
      </c>
      <c r="AB132" s="275"/>
      <c r="AC132" s="151">
        <v>500</v>
      </c>
      <c r="AD132" s="202" t="s">
        <v>593</v>
      </c>
      <c r="AE132" s="203">
        <v>2.452</v>
      </c>
      <c r="AF132" s="203">
        <v>1.0989999999999999E-3</v>
      </c>
      <c r="AG132" s="202">
        <v>115.11</v>
      </c>
      <c r="AH132" s="202" t="s">
        <v>1623</v>
      </c>
      <c r="AI132" s="202">
        <v>4.8</v>
      </c>
      <c r="AJ132" s="202" t="s">
        <v>1623</v>
      </c>
      <c r="AK132" s="202">
        <v>1.2</v>
      </c>
      <c r="AL132" s="202" t="s">
        <v>1623</v>
      </c>
      <c r="AM132" s="204"/>
      <c r="AN132" s="155">
        <f t="shared" si="26"/>
        <v>500</v>
      </c>
      <c r="AO132" s="155">
        <f t="shared" si="27"/>
        <v>115110</v>
      </c>
      <c r="AP132" s="275"/>
      <c r="AQ132" s="151">
        <v>500</v>
      </c>
      <c r="AR132" s="202" t="s">
        <v>593</v>
      </c>
      <c r="AS132" s="203">
        <v>0.26960000000000001</v>
      </c>
      <c r="AT132" s="203">
        <v>7.5760000000000006E-5</v>
      </c>
      <c r="AU132" s="202">
        <v>1.18</v>
      </c>
      <c r="AV132" s="202" t="s">
        <v>144</v>
      </c>
      <c r="AW132" s="202">
        <v>47.05</v>
      </c>
      <c r="AX132" s="202" t="s">
        <v>1623</v>
      </c>
      <c r="AY132" s="202">
        <v>21.79</v>
      </c>
      <c r="AZ132" s="202" t="s">
        <v>1623</v>
      </c>
      <c r="BA132" s="204"/>
      <c r="BB132" s="155">
        <f t="shared" si="28"/>
        <v>500</v>
      </c>
      <c r="BC132" s="155">
        <f t="shared" si="29"/>
        <v>1180000</v>
      </c>
      <c r="BE132" s="151">
        <v>500</v>
      </c>
      <c r="BF132" s="202" t="s">
        <v>593</v>
      </c>
      <c r="BG132" s="203">
        <v>50.97</v>
      </c>
      <c r="BH132" s="203">
        <v>2.5499999999999998E-2</v>
      </c>
      <c r="BI132" s="202">
        <v>5.38</v>
      </c>
      <c r="BJ132" s="202" t="s">
        <v>1623</v>
      </c>
      <c r="BK132" s="202">
        <v>226.1</v>
      </c>
      <c r="BL132" s="202" t="s">
        <v>1675</v>
      </c>
      <c r="BM132" s="202">
        <v>32.979999999999997</v>
      </c>
      <c r="BN132" s="202" t="s">
        <v>1675</v>
      </c>
      <c r="BO132" s="204"/>
      <c r="BP132" s="155">
        <f t="shared" si="30"/>
        <v>500</v>
      </c>
      <c r="BQ132" s="155">
        <f t="shared" si="31"/>
        <v>5380</v>
      </c>
      <c r="BS132" s="151">
        <v>500</v>
      </c>
      <c r="BT132" s="202" t="s">
        <v>593</v>
      </c>
      <c r="BU132" s="203">
        <v>161.80000000000001</v>
      </c>
      <c r="BV132" s="203">
        <v>8.0449999999999994E-2</v>
      </c>
      <c r="BW132" s="202">
        <v>1.73</v>
      </c>
      <c r="BX132" s="202" t="s">
        <v>1623</v>
      </c>
      <c r="BY132" s="202">
        <v>71.650000000000006</v>
      </c>
      <c r="BZ132" s="202" t="s">
        <v>1675</v>
      </c>
      <c r="CA132" s="202">
        <v>8.7899999999999991</v>
      </c>
      <c r="CB132" s="202" t="s">
        <v>1675</v>
      </c>
      <c r="CC132" s="204"/>
      <c r="CD132" s="155">
        <f t="shared" si="32"/>
        <v>500</v>
      </c>
      <c r="CE132" s="155">
        <f t="shared" si="33"/>
        <v>1730</v>
      </c>
      <c r="CG132" s="151">
        <v>500</v>
      </c>
      <c r="CH132" s="202" t="s">
        <v>593</v>
      </c>
      <c r="CI132" s="203">
        <v>222.1</v>
      </c>
      <c r="CJ132" s="203">
        <v>0.1133</v>
      </c>
      <c r="CK132" s="202">
        <v>1.25</v>
      </c>
      <c r="CL132" s="202" t="s">
        <v>1623</v>
      </c>
      <c r="CM132" s="202">
        <v>51.46</v>
      </c>
      <c r="CN132" s="202" t="s">
        <v>1675</v>
      </c>
      <c r="CO132" s="202">
        <v>5.98</v>
      </c>
      <c r="CP132" s="202" t="s">
        <v>1675</v>
      </c>
      <c r="CQ132" s="204"/>
      <c r="CR132" s="155">
        <f t="shared" si="41"/>
        <v>500</v>
      </c>
      <c r="CS132" s="155">
        <f t="shared" si="34"/>
        <v>1250</v>
      </c>
      <c r="CU132" s="202">
        <v>500</v>
      </c>
      <c r="CV132" s="203" t="s">
        <v>593</v>
      </c>
      <c r="CW132" s="203">
        <v>1145</v>
      </c>
      <c r="CX132" s="203">
        <v>0.63770000000000004</v>
      </c>
      <c r="CY132" s="202">
        <v>283.16000000000003</v>
      </c>
      <c r="CZ132" s="202" t="s">
        <v>1675</v>
      </c>
      <c r="DA132" s="202">
        <v>10.57</v>
      </c>
      <c r="DB132" s="202" t="s">
        <v>1675</v>
      </c>
      <c r="DC132" s="202">
        <v>1.29</v>
      </c>
      <c r="DD132" s="204" t="s">
        <v>1675</v>
      </c>
      <c r="DE132" s="204"/>
      <c r="DF132" s="155">
        <f t="shared" si="35"/>
        <v>500</v>
      </c>
      <c r="DG132" s="156">
        <f t="shared" si="38"/>
        <v>283.16000000000003</v>
      </c>
      <c r="DI132" s="202">
        <v>500</v>
      </c>
      <c r="DJ132" s="203" t="s">
        <v>593</v>
      </c>
      <c r="DK132" s="203">
        <v>1135</v>
      </c>
      <c r="DL132" s="203">
        <v>0.61839999999999995</v>
      </c>
      <c r="DM132" s="202">
        <v>294.22000000000003</v>
      </c>
      <c r="DN132" s="202" t="s">
        <v>1675</v>
      </c>
      <c r="DO132" s="202">
        <v>10.82</v>
      </c>
      <c r="DP132" s="202" t="s">
        <v>1675</v>
      </c>
      <c r="DQ132" s="202">
        <v>1.32</v>
      </c>
      <c r="DR132" s="204" t="s">
        <v>1675</v>
      </c>
      <c r="DS132" s="204"/>
      <c r="DT132" s="155">
        <f t="shared" si="36"/>
        <v>500</v>
      </c>
      <c r="DU132" s="156">
        <f t="shared" si="39"/>
        <v>294.22000000000003</v>
      </c>
      <c r="DW132" s="401">
        <v>500</v>
      </c>
      <c r="DX132" s="401" t="s">
        <v>593</v>
      </c>
      <c r="DY132" s="402">
        <v>14.7</v>
      </c>
      <c r="DZ132" s="402">
        <v>7.1630000000000001E-3</v>
      </c>
      <c r="EA132" s="401">
        <v>18.73</v>
      </c>
      <c r="EB132" s="401" t="s">
        <v>1623</v>
      </c>
      <c r="EC132" s="401">
        <v>788.35</v>
      </c>
      <c r="ED132" s="401" t="s">
        <v>1675</v>
      </c>
      <c r="EE132" s="401">
        <v>149.25</v>
      </c>
      <c r="EF132" s="403" t="s">
        <v>1675</v>
      </c>
      <c r="EH132" s="155">
        <f t="shared" si="37"/>
        <v>500</v>
      </c>
      <c r="EI132" s="156">
        <f t="shared" si="40"/>
        <v>18730</v>
      </c>
    </row>
    <row r="133" spans="1:139" x14ac:dyDescent="0.2">
      <c r="A133" s="151">
        <v>550</v>
      </c>
      <c r="B133" s="202" t="s">
        <v>593</v>
      </c>
      <c r="C133" s="203">
        <v>256.60000000000002</v>
      </c>
      <c r="D133" s="203">
        <v>0.1245</v>
      </c>
      <c r="E133" s="202">
        <v>1.24</v>
      </c>
      <c r="F133" s="202" t="s">
        <v>1623</v>
      </c>
      <c r="G133" s="202">
        <v>49.97</v>
      </c>
      <c r="H133" s="202" t="s">
        <v>1675</v>
      </c>
      <c r="I133" s="202">
        <v>5.95</v>
      </c>
      <c r="J133" s="202" t="s">
        <v>1675</v>
      </c>
      <c r="K133" s="204"/>
      <c r="L133" s="155">
        <f t="shared" si="22"/>
        <v>550</v>
      </c>
      <c r="M133" s="155">
        <f t="shared" si="23"/>
        <v>1240</v>
      </c>
      <c r="N133" s="275"/>
      <c r="O133" s="151">
        <v>550</v>
      </c>
      <c r="P133" s="202" t="s">
        <v>593</v>
      </c>
      <c r="Q133" s="203">
        <v>184.4</v>
      </c>
      <c r="R133" s="203">
        <v>9.0109999999999996E-2</v>
      </c>
      <c r="S133" s="202">
        <v>1.67</v>
      </c>
      <c r="T133" s="202" t="s">
        <v>1623</v>
      </c>
      <c r="U133" s="202">
        <v>69.28</v>
      </c>
      <c r="V133" s="202" t="s">
        <v>1675</v>
      </c>
      <c r="W133" s="202">
        <v>8.4499999999999993</v>
      </c>
      <c r="X133" s="202" t="s">
        <v>1675</v>
      </c>
      <c r="Y133" s="204"/>
      <c r="Z133" s="155">
        <f t="shared" si="24"/>
        <v>550</v>
      </c>
      <c r="AA133" s="155">
        <f t="shared" si="25"/>
        <v>1670</v>
      </c>
      <c r="AB133" s="275"/>
      <c r="AC133" s="151">
        <v>550</v>
      </c>
      <c r="AD133" s="202" t="s">
        <v>593</v>
      </c>
      <c r="AE133" s="203">
        <v>2.29</v>
      </c>
      <c r="AF133" s="203">
        <v>1.0070000000000001E-3</v>
      </c>
      <c r="AG133" s="202">
        <v>136.21</v>
      </c>
      <c r="AH133" s="202" t="s">
        <v>1623</v>
      </c>
      <c r="AI133" s="202">
        <v>5.66</v>
      </c>
      <c r="AJ133" s="202" t="s">
        <v>1623</v>
      </c>
      <c r="AK133" s="202">
        <v>1.42</v>
      </c>
      <c r="AL133" s="202" t="s">
        <v>1623</v>
      </c>
      <c r="AM133" s="204"/>
      <c r="AN133" s="155">
        <f t="shared" si="26"/>
        <v>550</v>
      </c>
      <c r="AO133" s="155">
        <f t="shared" si="27"/>
        <v>136210</v>
      </c>
      <c r="AP133" s="275"/>
      <c r="AQ133" s="151">
        <v>550</v>
      </c>
      <c r="AR133" s="202" t="s">
        <v>593</v>
      </c>
      <c r="AS133" s="203">
        <v>0.25919999999999999</v>
      </c>
      <c r="AT133" s="203">
        <v>6.9319999999999994E-5</v>
      </c>
      <c r="AU133" s="202">
        <v>1.37</v>
      </c>
      <c r="AV133" s="202" t="s">
        <v>144</v>
      </c>
      <c r="AW133" s="202">
        <v>54.24</v>
      </c>
      <c r="AX133" s="202" t="s">
        <v>1623</v>
      </c>
      <c r="AY133" s="202">
        <v>24.93</v>
      </c>
      <c r="AZ133" s="202" t="s">
        <v>1623</v>
      </c>
      <c r="BA133" s="204"/>
      <c r="BB133" s="155">
        <f t="shared" si="28"/>
        <v>550</v>
      </c>
      <c r="BC133" s="155">
        <f t="shared" si="29"/>
        <v>1370000</v>
      </c>
      <c r="BE133" s="151">
        <v>550</v>
      </c>
      <c r="BF133" s="202" t="s">
        <v>593</v>
      </c>
      <c r="BG133" s="203">
        <v>47.16</v>
      </c>
      <c r="BH133" s="203">
        <v>2.3380000000000001E-2</v>
      </c>
      <c r="BI133" s="202">
        <v>6.4</v>
      </c>
      <c r="BJ133" s="202" t="s">
        <v>1623</v>
      </c>
      <c r="BK133" s="202">
        <v>268.37</v>
      </c>
      <c r="BL133" s="202" t="s">
        <v>1675</v>
      </c>
      <c r="BM133" s="202">
        <v>39.1</v>
      </c>
      <c r="BN133" s="202" t="s">
        <v>1675</v>
      </c>
      <c r="BO133" s="204"/>
      <c r="BP133" s="155">
        <f t="shared" si="30"/>
        <v>550</v>
      </c>
      <c r="BQ133" s="155">
        <f t="shared" si="31"/>
        <v>6400</v>
      </c>
      <c r="BS133" s="151">
        <v>550</v>
      </c>
      <c r="BT133" s="202" t="s">
        <v>593</v>
      </c>
      <c r="BU133" s="203">
        <v>150.30000000000001</v>
      </c>
      <c r="BV133" s="203">
        <v>7.3789999999999994E-2</v>
      </c>
      <c r="BW133" s="202">
        <v>2.0499999999999998</v>
      </c>
      <c r="BX133" s="202" t="s">
        <v>1623</v>
      </c>
      <c r="BY133" s="202">
        <v>84.85</v>
      </c>
      <c r="BZ133" s="202" t="s">
        <v>1675</v>
      </c>
      <c r="CA133" s="202">
        <v>10.36</v>
      </c>
      <c r="CB133" s="202" t="s">
        <v>1675</v>
      </c>
      <c r="CC133" s="204"/>
      <c r="CD133" s="155">
        <f t="shared" si="32"/>
        <v>550</v>
      </c>
      <c r="CE133" s="155">
        <f t="shared" si="33"/>
        <v>2050</v>
      </c>
      <c r="CG133" s="151">
        <v>550</v>
      </c>
      <c r="CH133" s="202" t="s">
        <v>593</v>
      </c>
      <c r="CI133" s="203">
        <v>205.9</v>
      </c>
      <c r="CJ133" s="203">
        <v>0.10390000000000001</v>
      </c>
      <c r="CK133" s="202">
        <v>1.48</v>
      </c>
      <c r="CL133" s="202" t="s">
        <v>1623</v>
      </c>
      <c r="CM133" s="202">
        <v>61.2</v>
      </c>
      <c r="CN133" s="202" t="s">
        <v>1675</v>
      </c>
      <c r="CO133" s="202">
        <v>7.05</v>
      </c>
      <c r="CP133" s="202" t="s">
        <v>1675</v>
      </c>
      <c r="CQ133" s="204"/>
      <c r="CR133" s="155">
        <f t="shared" si="41"/>
        <v>550</v>
      </c>
      <c r="CS133" s="155">
        <f t="shared" si="34"/>
        <v>1480</v>
      </c>
      <c r="CU133" s="202">
        <v>550</v>
      </c>
      <c r="CV133" s="203" t="s">
        <v>593</v>
      </c>
      <c r="CW133" s="203">
        <v>1072</v>
      </c>
      <c r="CX133" s="203">
        <v>0.58579999999999999</v>
      </c>
      <c r="CY133" s="202">
        <v>328.29</v>
      </c>
      <c r="CZ133" s="202" t="s">
        <v>1675</v>
      </c>
      <c r="DA133" s="202">
        <v>12.36</v>
      </c>
      <c r="DB133" s="202" t="s">
        <v>1675</v>
      </c>
      <c r="DC133" s="202">
        <v>1.45</v>
      </c>
      <c r="DD133" s="204" t="s">
        <v>1675</v>
      </c>
      <c r="DE133" s="204"/>
      <c r="DF133" s="155">
        <f t="shared" si="35"/>
        <v>550</v>
      </c>
      <c r="DG133" s="156">
        <f t="shared" si="38"/>
        <v>328.29</v>
      </c>
      <c r="DI133" s="202">
        <v>550</v>
      </c>
      <c r="DJ133" s="203" t="s">
        <v>593</v>
      </c>
      <c r="DK133" s="203">
        <v>1064</v>
      </c>
      <c r="DL133" s="203">
        <v>0.56799999999999995</v>
      </c>
      <c r="DM133" s="202">
        <v>339.72</v>
      </c>
      <c r="DN133" s="202" t="s">
        <v>1675</v>
      </c>
      <c r="DO133" s="202">
        <v>12.6</v>
      </c>
      <c r="DP133" s="202" t="s">
        <v>1675</v>
      </c>
      <c r="DQ133" s="202">
        <v>1.47</v>
      </c>
      <c r="DR133" s="204" t="s">
        <v>1675</v>
      </c>
      <c r="DS133" s="204"/>
      <c r="DT133" s="155">
        <f t="shared" si="36"/>
        <v>550</v>
      </c>
      <c r="DU133" s="156">
        <f t="shared" si="39"/>
        <v>339.72</v>
      </c>
      <c r="DW133" s="401">
        <v>550</v>
      </c>
      <c r="DX133" s="401" t="s">
        <v>593</v>
      </c>
      <c r="DY133" s="402">
        <v>13.64</v>
      </c>
      <c r="DZ133" s="402">
        <v>6.5630000000000003E-3</v>
      </c>
      <c r="EA133" s="401">
        <v>22.26</v>
      </c>
      <c r="EB133" s="401" t="s">
        <v>1623</v>
      </c>
      <c r="EC133" s="401">
        <v>934.22</v>
      </c>
      <c r="ED133" s="401" t="s">
        <v>1675</v>
      </c>
      <c r="EE133" s="401">
        <v>176.77</v>
      </c>
      <c r="EF133" s="403" t="s">
        <v>1675</v>
      </c>
      <c r="EH133" s="155">
        <f t="shared" si="37"/>
        <v>550</v>
      </c>
      <c r="EI133" s="156">
        <f t="shared" si="40"/>
        <v>22260</v>
      </c>
    </row>
    <row r="134" spans="1:139" x14ac:dyDescent="0.2">
      <c r="A134" s="151">
        <v>600</v>
      </c>
      <c r="B134" s="202" t="s">
        <v>593</v>
      </c>
      <c r="C134" s="203">
        <v>240.4</v>
      </c>
      <c r="D134" s="203">
        <v>0.115</v>
      </c>
      <c r="E134" s="202">
        <v>1.44</v>
      </c>
      <c r="F134" s="202" t="s">
        <v>1623</v>
      </c>
      <c r="G134" s="202">
        <v>57.53</v>
      </c>
      <c r="H134" s="202" t="s">
        <v>1675</v>
      </c>
      <c r="I134" s="202">
        <v>6.86</v>
      </c>
      <c r="J134" s="202" t="s">
        <v>1675</v>
      </c>
      <c r="K134" s="204"/>
      <c r="L134" s="155">
        <f t="shared" si="22"/>
        <v>600</v>
      </c>
      <c r="M134" s="155">
        <f t="shared" si="23"/>
        <v>1440</v>
      </c>
      <c r="N134" s="275"/>
      <c r="O134" s="151">
        <v>600</v>
      </c>
      <c r="P134" s="202" t="s">
        <v>593</v>
      </c>
      <c r="Q134" s="203">
        <v>171.8</v>
      </c>
      <c r="R134" s="203">
        <v>8.3280000000000007E-2</v>
      </c>
      <c r="S134" s="202">
        <v>1.96</v>
      </c>
      <c r="T134" s="202" t="s">
        <v>1623</v>
      </c>
      <c r="U134" s="202">
        <v>79.900000000000006</v>
      </c>
      <c r="V134" s="202" t="s">
        <v>1675</v>
      </c>
      <c r="W134" s="202">
        <v>9.82</v>
      </c>
      <c r="X134" s="202" t="s">
        <v>1675</v>
      </c>
      <c r="Y134" s="204"/>
      <c r="Z134" s="155">
        <f t="shared" si="24"/>
        <v>600</v>
      </c>
      <c r="AA134" s="155">
        <f t="shared" si="25"/>
        <v>1960</v>
      </c>
      <c r="AB134" s="275"/>
      <c r="AC134" s="151">
        <v>600</v>
      </c>
      <c r="AD134" s="202" t="s">
        <v>593</v>
      </c>
      <c r="AE134" s="203">
        <v>2.1539999999999999</v>
      </c>
      <c r="AF134" s="203">
        <v>9.2869999999999997E-4</v>
      </c>
      <c r="AG134" s="202">
        <v>158.72</v>
      </c>
      <c r="AH134" s="202" t="s">
        <v>1623</v>
      </c>
      <c r="AI134" s="202">
        <v>6.5</v>
      </c>
      <c r="AJ134" s="202" t="s">
        <v>1623</v>
      </c>
      <c r="AK134" s="202">
        <v>1.64</v>
      </c>
      <c r="AL134" s="202" t="s">
        <v>1623</v>
      </c>
      <c r="AM134" s="204"/>
      <c r="AN134" s="155">
        <f t="shared" si="26"/>
        <v>600</v>
      </c>
      <c r="AO134" s="155">
        <f t="shared" si="27"/>
        <v>158720</v>
      </c>
      <c r="AP134" s="275"/>
      <c r="AQ134" s="151">
        <v>600</v>
      </c>
      <c r="AR134" s="202" t="s">
        <v>593</v>
      </c>
      <c r="AS134" s="203">
        <v>0.25059999999999999</v>
      </c>
      <c r="AT134" s="203">
        <v>6.3930000000000006E-5</v>
      </c>
      <c r="AU134" s="202">
        <v>1.57</v>
      </c>
      <c r="AV134" s="202" t="s">
        <v>144</v>
      </c>
      <c r="AW134" s="202">
        <v>61.05</v>
      </c>
      <c r="AX134" s="202" t="s">
        <v>1623</v>
      </c>
      <c r="AY134" s="202">
        <v>28.11</v>
      </c>
      <c r="AZ134" s="202" t="s">
        <v>1623</v>
      </c>
      <c r="BA134" s="204"/>
      <c r="BB134" s="155">
        <f t="shared" si="28"/>
        <v>600</v>
      </c>
      <c r="BC134" s="155">
        <f t="shared" si="29"/>
        <v>1570000</v>
      </c>
      <c r="BE134" s="151">
        <v>600</v>
      </c>
      <c r="BF134" s="202" t="s">
        <v>593</v>
      </c>
      <c r="BG134" s="203">
        <v>43.95</v>
      </c>
      <c r="BH134" s="203">
        <v>2.1590000000000002E-2</v>
      </c>
      <c r="BI134" s="202">
        <v>7.5</v>
      </c>
      <c r="BJ134" s="202" t="s">
        <v>1623</v>
      </c>
      <c r="BK134" s="202">
        <v>310.27999999999997</v>
      </c>
      <c r="BL134" s="202" t="s">
        <v>1675</v>
      </c>
      <c r="BM134" s="202">
        <v>45.66</v>
      </c>
      <c r="BN134" s="202" t="s">
        <v>1675</v>
      </c>
      <c r="BO134" s="204"/>
      <c r="BP134" s="155">
        <f t="shared" si="30"/>
        <v>600</v>
      </c>
      <c r="BQ134" s="155">
        <f t="shared" si="31"/>
        <v>7500</v>
      </c>
      <c r="BS134" s="151">
        <v>600</v>
      </c>
      <c r="BT134" s="202" t="s">
        <v>593</v>
      </c>
      <c r="BU134" s="203">
        <v>139.9</v>
      </c>
      <c r="BV134" s="203">
        <v>6.8190000000000001E-2</v>
      </c>
      <c r="BW134" s="202">
        <v>2.39</v>
      </c>
      <c r="BX134" s="202" t="s">
        <v>1623</v>
      </c>
      <c r="BY134" s="202">
        <v>97.91</v>
      </c>
      <c r="BZ134" s="202" t="s">
        <v>1675</v>
      </c>
      <c r="CA134" s="202">
        <v>12.04</v>
      </c>
      <c r="CB134" s="202" t="s">
        <v>1675</v>
      </c>
      <c r="CC134" s="204"/>
      <c r="CD134" s="155">
        <f t="shared" si="32"/>
        <v>600</v>
      </c>
      <c r="CE134" s="155">
        <f t="shared" si="33"/>
        <v>2390</v>
      </c>
      <c r="CG134" s="151">
        <v>600</v>
      </c>
      <c r="CH134" s="202" t="s">
        <v>593</v>
      </c>
      <c r="CI134" s="203">
        <v>193.3</v>
      </c>
      <c r="CJ134" s="203">
        <v>9.604E-2</v>
      </c>
      <c r="CK134" s="202">
        <v>1.73</v>
      </c>
      <c r="CL134" s="202" t="s">
        <v>1623</v>
      </c>
      <c r="CM134" s="202">
        <v>70.75</v>
      </c>
      <c r="CN134" s="202" t="s">
        <v>1675</v>
      </c>
      <c r="CO134" s="202">
        <v>8.19</v>
      </c>
      <c r="CP134" s="202" t="s">
        <v>1675</v>
      </c>
      <c r="CQ134" s="204"/>
      <c r="CR134" s="155">
        <f t="shared" si="41"/>
        <v>600</v>
      </c>
      <c r="CS134" s="155">
        <f t="shared" si="34"/>
        <v>1730</v>
      </c>
      <c r="CU134" s="202">
        <v>600</v>
      </c>
      <c r="CV134" s="203" t="s">
        <v>593</v>
      </c>
      <c r="CW134" s="203">
        <v>1008</v>
      </c>
      <c r="CX134" s="203">
        <v>0.54200000000000004</v>
      </c>
      <c r="CY134" s="202">
        <v>376.41</v>
      </c>
      <c r="CZ134" s="202" t="s">
        <v>1675</v>
      </c>
      <c r="DA134" s="202">
        <v>14.11</v>
      </c>
      <c r="DB134" s="202" t="s">
        <v>1675</v>
      </c>
      <c r="DC134" s="202">
        <v>1.63</v>
      </c>
      <c r="DD134" s="204" t="s">
        <v>1675</v>
      </c>
      <c r="DE134" s="204"/>
      <c r="DF134" s="155">
        <f t="shared" si="35"/>
        <v>600</v>
      </c>
      <c r="DG134" s="156">
        <f t="shared" si="38"/>
        <v>376.41</v>
      </c>
      <c r="DI134" s="202">
        <v>600</v>
      </c>
      <c r="DJ134" s="203" t="s">
        <v>593</v>
      </c>
      <c r="DK134" s="203">
        <v>1001</v>
      </c>
      <c r="DL134" s="203">
        <v>0.52559999999999996</v>
      </c>
      <c r="DM134" s="202">
        <v>388.18</v>
      </c>
      <c r="DN134" s="202" t="s">
        <v>1675</v>
      </c>
      <c r="DO134" s="202">
        <v>14.34</v>
      </c>
      <c r="DP134" s="202" t="s">
        <v>1675</v>
      </c>
      <c r="DQ134" s="202">
        <v>1.64</v>
      </c>
      <c r="DR134" s="204" t="s">
        <v>1675</v>
      </c>
      <c r="DS134" s="204"/>
      <c r="DT134" s="155">
        <f t="shared" si="36"/>
        <v>600</v>
      </c>
      <c r="DU134" s="156">
        <f t="shared" si="39"/>
        <v>388.18</v>
      </c>
      <c r="DW134" s="401">
        <v>600</v>
      </c>
      <c r="DX134" s="401" t="s">
        <v>593</v>
      </c>
      <c r="DY134" s="402">
        <v>12.75</v>
      </c>
      <c r="DZ134" s="402">
        <v>6.0590000000000001E-3</v>
      </c>
      <c r="EA134" s="401">
        <v>26.05</v>
      </c>
      <c r="EB134" s="401" t="s">
        <v>1623</v>
      </c>
      <c r="EC134" s="401">
        <v>1.08</v>
      </c>
      <c r="ED134" s="401" t="s">
        <v>1623</v>
      </c>
      <c r="EE134" s="401">
        <v>206.18</v>
      </c>
      <c r="EF134" s="403" t="s">
        <v>1675</v>
      </c>
      <c r="EH134" s="155">
        <f t="shared" si="37"/>
        <v>600</v>
      </c>
      <c r="EI134" s="156">
        <f t="shared" si="40"/>
        <v>26050</v>
      </c>
    </row>
    <row r="135" spans="1:139" x14ac:dyDescent="0.2">
      <c r="A135" s="151">
        <v>650</v>
      </c>
      <c r="B135" s="202" t="s">
        <v>593</v>
      </c>
      <c r="C135" s="203">
        <v>226.2</v>
      </c>
      <c r="D135" s="203">
        <v>0.107</v>
      </c>
      <c r="E135" s="202">
        <v>1.65</v>
      </c>
      <c r="F135" s="202" t="s">
        <v>1623</v>
      </c>
      <c r="G135" s="202">
        <v>65.06</v>
      </c>
      <c r="H135" s="202" t="s">
        <v>1675</v>
      </c>
      <c r="I135" s="202">
        <v>7.82</v>
      </c>
      <c r="J135" s="202" t="s">
        <v>1675</v>
      </c>
      <c r="K135" s="204"/>
      <c r="L135" s="155">
        <f t="shared" si="22"/>
        <v>650</v>
      </c>
      <c r="M135" s="155">
        <f t="shared" si="23"/>
        <v>1650</v>
      </c>
      <c r="N135" s="275"/>
      <c r="O135" s="151">
        <v>650</v>
      </c>
      <c r="P135" s="202" t="s">
        <v>593</v>
      </c>
      <c r="Q135" s="203">
        <v>160.9</v>
      </c>
      <c r="R135" s="203">
        <v>7.7450000000000005E-2</v>
      </c>
      <c r="S135" s="202">
        <v>2.2599999999999998</v>
      </c>
      <c r="T135" s="202" t="s">
        <v>1623</v>
      </c>
      <c r="U135" s="202">
        <v>90.56</v>
      </c>
      <c r="V135" s="202" t="s">
        <v>1675</v>
      </c>
      <c r="W135" s="202">
        <v>11.27</v>
      </c>
      <c r="X135" s="202" t="s">
        <v>1675</v>
      </c>
      <c r="Y135" s="204"/>
      <c r="Z135" s="155">
        <f t="shared" si="24"/>
        <v>650</v>
      </c>
      <c r="AA135" s="155">
        <f t="shared" si="25"/>
        <v>2260</v>
      </c>
      <c r="AB135" s="275"/>
      <c r="AC135" s="151">
        <v>650</v>
      </c>
      <c r="AD135" s="202" t="s">
        <v>593</v>
      </c>
      <c r="AE135" s="203">
        <v>2.0379999999999998</v>
      </c>
      <c r="AF135" s="203">
        <v>8.6229999999999998E-4</v>
      </c>
      <c r="AG135" s="202">
        <v>182.58</v>
      </c>
      <c r="AH135" s="202" t="s">
        <v>1623</v>
      </c>
      <c r="AI135" s="202">
        <v>7.33</v>
      </c>
      <c r="AJ135" s="202" t="s">
        <v>1623</v>
      </c>
      <c r="AK135" s="202">
        <v>1.88</v>
      </c>
      <c r="AL135" s="202" t="s">
        <v>1623</v>
      </c>
      <c r="AM135" s="204"/>
      <c r="AN135" s="155">
        <f t="shared" si="26"/>
        <v>650</v>
      </c>
      <c r="AO135" s="155">
        <f t="shared" si="27"/>
        <v>182580</v>
      </c>
      <c r="AP135" s="275"/>
      <c r="AQ135" s="151">
        <v>650</v>
      </c>
      <c r="AR135" s="202" t="s">
        <v>593</v>
      </c>
      <c r="AS135" s="203">
        <v>0.24340000000000001</v>
      </c>
      <c r="AT135" s="203">
        <v>5.9330000000000003E-5</v>
      </c>
      <c r="AU135" s="202">
        <v>1.77</v>
      </c>
      <c r="AV135" s="202" t="s">
        <v>144</v>
      </c>
      <c r="AW135" s="202">
        <v>67.55</v>
      </c>
      <c r="AX135" s="202" t="s">
        <v>1623</v>
      </c>
      <c r="AY135" s="202">
        <v>31.34</v>
      </c>
      <c r="AZ135" s="202" t="s">
        <v>1623</v>
      </c>
      <c r="BA135" s="204"/>
      <c r="BB135" s="155">
        <f t="shared" si="28"/>
        <v>650</v>
      </c>
      <c r="BC135" s="155">
        <f t="shared" si="29"/>
        <v>1770000</v>
      </c>
      <c r="BE135" s="151">
        <v>650</v>
      </c>
      <c r="BF135" s="202" t="s">
        <v>593</v>
      </c>
      <c r="BG135" s="203">
        <v>41.2</v>
      </c>
      <c r="BH135" s="203">
        <v>2.0070000000000001E-2</v>
      </c>
      <c r="BI135" s="202">
        <v>8.67</v>
      </c>
      <c r="BJ135" s="202" t="s">
        <v>1623</v>
      </c>
      <c r="BK135" s="202">
        <v>352.19</v>
      </c>
      <c r="BL135" s="202" t="s">
        <v>1675</v>
      </c>
      <c r="BM135" s="202">
        <v>52.66</v>
      </c>
      <c r="BN135" s="202" t="s">
        <v>1675</v>
      </c>
      <c r="BO135" s="204"/>
      <c r="BP135" s="155">
        <f t="shared" si="30"/>
        <v>650</v>
      </c>
      <c r="BQ135" s="155">
        <f t="shared" si="31"/>
        <v>8670</v>
      </c>
      <c r="BS135" s="151">
        <v>650</v>
      </c>
      <c r="BT135" s="202" t="s">
        <v>593</v>
      </c>
      <c r="BU135" s="203">
        <v>131</v>
      </c>
      <c r="BV135" s="203">
        <v>6.3409999999999994E-2</v>
      </c>
      <c r="BW135" s="202">
        <v>2.76</v>
      </c>
      <c r="BX135" s="202" t="s">
        <v>1623</v>
      </c>
      <c r="BY135" s="202">
        <v>111.02</v>
      </c>
      <c r="BZ135" s="202" t="s">
        <v>1675</v>
      </c>
      <c r="CA135" s="202">
        <v>13.84</v>
      </c>
      <c r="CB135" s="202" t="s">
        <v>1675</v>
      </c>
      <c r="CC135" s="204"/>
      <c r="CD135" s="155">
        <f t="shared" si="32"/>
        <v>650</v>
      </c>
      <c r="CE135" s="155">
        <f t="shared" si="33"/>
        <v>2760</v>
      </c>
      <c r="CG135" s="151">
        <v>650</v>
      </c>
      <c r="CH135" s="202" t="s">
        <v>593</v>
      </c>
      <c r="CI135" s="203">
        <v>182.4</v>
      </c>
      <c r="CJ135" s="203">
        <v>8.9330000000000007E-2</v>
      </c>
      <c r="CK135" s="202">
        <v>2</v>
      </c>
      <c r="CL135" s="202" t="s">
        <v>1623</v>
      </c>
      <c r="CM135" s="202">
        <v>80.180000000000007</v>
      </c>
      <c r="CN135" s="202" t="s">
        <v>1675</v>
      </c>
      <c r="CO135" s="202">
        <v>9.39</v>
      </c>
      <c r="CP135" s="202" t="s">
        <v>1675</v>
      </c>
      <c r="CQ135" s="204"/>
      <c r="CR135" s="155">
        <f t="shared" si="41"/>
        <v>650</v>
      </c>
      <c r="CS135" s="155">
        <f t="shared" si="34"/>
        <v>2000</v>
      </c>
      <c r="CU135" s="202">
        <v>650</v>
      </c>
      <c r="CV135" s="203" t="s">
        <v>593</v>
      </c>
      <c r="CW135" s="203">
        <v>951.5</v>
      </c>
      <c r="CX135" s="203">
        <v>0.50460000000000005</v>
      </c>
      <c r="CY135" s="202">
        <v>427.46</v>
      </c>
      <c r="CZ135" s="202" t="s">
        <v>1675</v>
      </c>
      <c r="DA135" s="202">
        <v>15.85</v>
      </c>
      <c r="DB135" s="202" t="s">
        <v>1675</v>
      </c>
      <c r="DC135" s="202">
        <v>1.81</v>
      </c>
      <c r="DD135" s="204" t="s">
        <v>1675</v>
      </c>
      <c r="DE135" s="204"/>
      <c r="DF135" s="155">
        <f t="shared" si="35"/>
        <v>650</v>
      </c>
      <c r="DG135" s="156">
        <f t="shared" si="38"/>
        <v>427.46</v>
      </c>
      <c r="DI135" s="202">
        <v>650</v>
      </c>
      <c r="DJ135" s="203" t="s">
        <v>593</v>
      </c>
      <c r="DK135" s="203">
        <v>944.3</v>
      </c>
      <c r="DL135" s="203">
        <v>0.48930000000000001</v>
      </c>
      <c r="DM135" s="202">
        <v>439.61</v>
      </c>
      <c r="DN135" s="202" t="s">
        <v>1675</v>
      </c>
      <c r="DO135" s="202">
        <v>16.09</v>
      </c>
      <c r="DP135" s="202" t="s">
        <v>1675</v>
      </c>
      <c r="DQ135" s="202">
        <v>1.81</v>
      </c>
      <c r="DR135" s="204" t="s">
        <v>1675</v>
      </c>
      <c r="DS135" s="204"/>
      <c r="DT135" s="155">
        <f t="shared" si="36"/>
        <v>650</v>
      </c>
      <c r="DU135" s="156">
        <f t="shared" si="39"/>
        <v>439.61</v>
      </c>
      <c r="DW135" s="401">
        <v>650</v>
      </c>
      <c r="DX135" s="401" t="s">
        <v>593</v>
      </c>
      <c r="DY135" s="402">
        <v>11.99</v>
      </c>
      <c r="DZ135" s="402">
        <v>5.6290000000000003E-3</v>
      </c>
      <c r="EA135" s="401">
        <v>30.09</v>
      </c>
      <c r="EB135" s="401" t="s">
        <v>1623</v>
      </c>
      <c r="EC135" s="401">
        <v>1.22</v>
      </c>
      <c r="ED135" s="401" t="s">
        <v>1623</v>
      </c>
      <c r="EE135" s="401">
        <v>237.39</v>
      </c>
      <c r="EF135" s="403" t="s">
        <v>1675</v>
      </c>
      <c r="EH135" s="155">
        <f t="shared" si="37"/>
        <v>650</v>
      </c>
      <c r="EI135" s="156">
        <f t="shared" si="40"/>
        <v>30090</v>
      </c>
    </row>
    <row r="136" spans="1:139" x14ac:dyDescent="0.2">
      <c r="A136" s="151">
        <v>700</v>
      </c>
      <c r="B136" s="202" t="s">
        <v>593</v>
      </c>
      <c r="C136" s="203">
        <v>212.9</v>
      </c>
      <c r="D136" s="203">
        <v>0.10009999999999999</v>
      </c>
      <c r="E136" s="202">
        <v>1.88</v>
      </c>
      <c r="F136" s="202" t="s">
        <v>1623</v>
      </c>
      <c r="G136" s="202">
        <v>72.63</v>
      </c>
      <c r="H136" s="202" t="s">
        <v>1675</v>
      </c>
      <c r="I136" s="202">
        <v>8.83</v>
      </c>
      <c r="J136" s="202" t="s">
        <v>1675</v>
      </c>
      <c r="K136" s="204"/>
      <c r="L136" s="155">
        <f t="shared" si="22"/>
        <v>700</v>
      </c>
      <c r="M136" s="155">
        <f t="shared" si="23"/>
        <v>1880</v>
      </c>
      <c r="N136" s="275"/>
      <c r="O136" s="151">
        <v>700</v>
      </c>
      <c r="P136" s="202" t="s">
        <v>593</v>
      </c>
      <c r="Q136" s="203">
        <v>151.4</v>
      </c>
      <c r="R136" s="203">
        <v>7.2410000000000002E-2</v>
      </c>
      <c r="S136" s="202">
        <v>2.58</v>
      </c>
      <c r="T136" s="202" t="s">
        <v>1623</v>
      </c>
      <c r="U136" s="202">
        <v>101.3</v>
      </c>
      <c r="V136" s="202" t="s">
        <v>1675</v>
      </c>
      <c r="W136" s="202">
        <v>12.82</v>
      </c>
      <c r="X136" s="202" t="s">
        <v>1675</v>
      </c>
      <c r="Y136" s="204"/>
      <c r="Z136" s="155">
        <f t="shared" si="24"/>
        <v>700</v>
      </c>
      <c r="AA136" s="155">
        <f t="shared" si="25"/>
        <v>2580</v>
      </c>
      <c r="AB136" s="275"/>
      <c r="AC136" s="151">
        <v>700</v>
      </c>
      <c r="AD136" s="202" t="s">
        <v>593</v>
      </c>
      <c r="AE136" s="203">
        <v>1.9379999999999999</v>
      </c>
      <c r="AF136" s="203">
        <v>8.051E-4</v>
      </c>
      <c r="AG136" s="202">
        <v>207.73</v>
      </c>
      <c r="AH136" s="202" t="s">
        <v>1623</v>
      </c>
      <c r="AI136" s="202">
        <v>8.16</v>
      </c>
      <c r="AJ136" s="202" t="s">
        <v>1623</v>
      </c>
      <c r="AK136" s="202">
        <v>2.12</v>
      </c>
      <c r="AL136" s="202" t="s">
        <v>1623</v>
      </c>
      <c r="AM136" s="204"/>
      <c r="AN136" s="155">
        <f t="shared" si="26"/>
        <v>700</v>
      </c>
      <c r="AO136" s="155">
        <f t="shared" si="27"/>
        <v>207730</v>
      </c>
      <c r="AP136" s="275"/>
      <c r="AQ136" s="151">
        <v>700</v>
      </c>
      <c r="AR136" s="202" t="s">
        <v>593</v>
      </c>
      <c r="AS136" s="203">
        <v>0.2374</v>
      </c>
      <c r="AT136" s="203">
        <v>5.537E-5</v>
      </c>
      <c r="AU136" s="202">
        <v>1.98</v>
      </c>
      <c r="AV136" s="202" t="s">
        <v>144</v>
      </c>
      <c r="AW136" s="202">
        <v>73.8</v>
      </c>
      <c r="AX136" s="202" t="s">
        <v>1623</v>
      </c>
      <c r="AY136" s="202">
        <v>34.58</v>
      </c>
      <c r="AZ136" s="202" t="s">
        <v>1623</v>
      </c>
      <c r="BA136" s="204"/>
      <c r="BB136" s="155">
        <f t="shared" si="28"/>
        <v>700</v>
      </c>
      <c r="BC136" s="155">
        <f t="shared" si="29"/>
        <v>1980000</v>
      </c>
      <c r="BE136" s="151">
        <v>700</v>
      </c>
      <c r="BF136" s="202" t="s">
        <v>593</v>
      </c>
      <c r="BG136" s="203">
        <v>38.82</v>
      </c>
      <c r="BH136" s="203">
        <v>1.8759999999999999E-2</v>
      </c>
      <c r="BI136" s="202">
        <v>9.92</v>
      </c>
      <c r="BJ136" s="202" t="s">
        <v>1623</v>
      </c>
      <c r="BK136" s="202">
        <v>394.32</v>
      </c>
      <c r="BL136" s="202" t="s">
        <v>1675</v>
      </c>
      <c r="BM136" s="202">
        <v>60.08</v>
      </c>
      <c r="BN136" s="202" t="s">
        <v>1675</v>
      </c>
      <c r="BO136" s="204"/>
      <c r="BP136" s="155">
        <f t="shared" si="30"/>
        <v>700</v>
      </c>
      <c r="BQ136" s="155">
        <f t="shared" si="31"/>
        <v>9920</v>
      </c>
      <c r="BS136" s="151">
        <v>700</v>
      </c>
      <c r="BT136" s="202" t="s">
        <v>593</v>
      </c>
      <c r="BU136" s="203">
        <v>123.3</v>
      </c>
      <c r="BV136" s="203">
        <v>5.9290000000000002E-2</v>
      </c>
      <c r="BW136" s="202">
        <v>3.16</v>
      </c>
      <c r="BX136" s="202" t="s">
        <v>1623</v>
      </c>
      <c r="BY136" s="202">
        <v>124.22</v>
      </c>
      <c r="BZ136" s="202" t="s">
        <v>1675</v>
      </c>
      <c r="CA136" s="202">
        <v>15.74</v>
      </c>
      <c r="CB136" s="202" t="s">
        <v>1675</v>
      </c>
      <c r="CC136" s="204"/>
      <c r="CD136" s="155">
        <f t="shared" si="32"/>
        <v>700</v>
      </c>
      <c r="CE136" s="155">
        <f t="shared" si="33"/>
        <v>3160</v>
      </c>
      <c r="CG136" s="151">
        <v>700</v>
      </c>
      <c r="CH136" s="202" t="s">
        <v>593</v>
      </c>
      <c r="CI136" s="203">
        <v>171.7</v>
      </c>
      <c r="CJ136" s="203">
        <v>8.3529999999999993E-2</v>
      </c>
      <c r="CK136" s="202">
        <v>2.2799999999999998</v>
      </c>
      <c r="CL136" s="202" t="s">
        <v>1623</v>
      </c>
      <c r="CM136" s="202">
        <v>89.61</v>
      </c>
      <c r="CN136" s="202" t="s">
        <v>1675</v>
      </c>
      <c r="CO136" s="202">
        <v>10.67</v>
      </c>
      <c r="CP136" s="202" t="s">
        <v>1675</v>
      </c>
      <c r="CQ136" s="204"/>
      <c r="CR136" s="155">
        <f t="shared" si="41"/>
        <v>700</v>
      </c>
      <c r="CS136" s="155">
        <f t="shared" si="34"/>
        <v>2280</v>
      </c>
      <c r="CU136" s="202">
        <v>700</v>
      </c>
      <c r="CV136" s="203" t="s">
        <v>593</v>
      </c>
      <c r="CW136" s="203">
        <v>902</v>
      </c>
      <c r="CX136" s="203">
        <v>0.4723</v>
      </c>
      <c r="CY136" s="202">
        <v>481.42</v>
      </c>
      <c r="CZ136" s="202" t="s">
        <v>1675</v>
      </c>
      <c r="DA136" s="202">
        <v>17.600000000000001</v>
      </c>
      <c r="DB136" s="202" t="s">
        <v>1675</v>
      </c>
      <c r="DC136" s="202">
        <v>2</v>
      </c>
      <c r="DD136" s="204" t="s">
        <v>1675</v>
      </c>
      <c r="DE136" s="204"/>
      <c r="DF136" s="155">
        <f t="shared" si="35"/>
        <v>700</v>
      </c>
      <c r="DG136" s="156">
        <f t="shared" si="38"/>
        <v>481.42</v>
      </c>
      <c r="DI136" s="202">
        <v>700</v>
      </c>
      <c r="DJ136" s="203" t="s">
        <v>593</v>
      </c>
      <c r="DK136" s="203">
        <v>894.1</v>
      </c>
      <c r="DL136" s="203">
        <v>0.45789999999999997</v>
      </c>
      <c r="DM136" s="202">
        <v>494.01</v>
      </c>
      <c r="DN136" s="202" t="s">
        <v>1675</v>
      </c>
      <c r="DO136" s="202">
        <v>17.84</v>
      </c>
      <c r="DP136" s="202" t="s">
        <v>1675</v>
      </c>
      <c r="DQ136" s="202">
        <v>2</v>
      </c>
      <c r="DR136" s="204" t="s">
        <v>1675</v>
      </c>
      <c r="DS136" s="204"/>
      <c r="DT136" s="155">
        <f t="shared" si="36"/>
        <v>700</v>
      </c>
      <c r="DU136" s="156">
        <f t="shared" si="39"/>
        <v>494.01</v>
      </c>
      <c r="DW136" s="401">
        <v>700</v>
      </c>
      <c r="DX136" s="401" t="s">
        <v>593</v>
      </c>
      <c r="DY136" s="402">
        <v>11.33</v>
      </c>
      <c r="DZ136" s="402">
        <v>5.2579999999999997E-3</v>
      </c>
      <c r="EA136" s="401">
        <v>34.380000000000003</v>
      </c>
      <c r="EB136" s="401" t="s">
        <v>1623</v>
      </c>
      <c r="EC136" s="401">
        <v>1.37</v>
      </c>
      <c r="ED136" s="401" t="s">
        <v>1623</v>
      </c>
      <c r="EE136" s="401">
        <v>270.35000000000002</v>
      </c>
      <c r="EF136" s="403" t="s">
        <v>1675</v>
      </c>
      <c r="EH136" s="155">
        <f t="shared" si="37"/>
        <v>700</v>
      </c>
      <c r="EI136" s="156">
        <f t="shared" si="40"/>
        <v>34380</v>
      </c>
    </row>
    <row r="137" spans="1:139" x14ac:dyDescent="0.2">
      <c r="A137" s="151">
        <v>800</v>
      </c>
      <c r="B137" s="202" t="s">
        <v>593</v>
      </c>
      <c r="C137" s="203">
        <v>191</v>
      </c>
      <c r="D137" s="203">
        <v>8.8669999999999999E-2</v>
      </c>
      <c r="E137" s="202">
        <v>2.38</v>
      </c>
      <c r="F137" s="202" t="s">
        <v>1623</v>
      </c>
      <c r="G137" s="202">
        <v>101.02</v>
      </c>
      <c r="H137" s="202" t="s">
        <v>1675</v>
      </c>
      <c r="I137" s="202">
        <v>11.03</v>
      </c>
      <c r="J137" s="202" t="s">
        <v>1675</v>
      </c>
      <c r="K137" s="204"/>
      <c r="L137" s="155">
        <f t="shared" si="22"/>
        <v>800</v>
      </c>
      <c r="M137" s="155">
        <f t="shared" si="23"/>
        <v>2380</v>
      </c>
      <c r="N137" s="275"/>
      <c r="O137" s="151">
        <v>800</v>
      </c>
      <c r="P137" s="202" t="s">
        <v>593</v>
      </c>
      <c r="Q137" s="203">
        <v>135.9</v>
      </c>
      <c r="R137" s="203">
        <v>6.4140000000000003E-2</v>
      </c>
      <c r="S137" s="202">
        <v>3.27</v>
      </c>
      <c r="T137" s="202" t="s">
        <v>1623</v>
      </c>
      <c r="U137" s="202">
        <v>141.47</v>
      </c>
      <c r="V137" s="202" t="s">
        <v>1675</v>
      </c>
      <c r="W137" s="202">
        <v>16.170000000000002</v>
      </c>
      <c r="X137" s="202" t="s">
        <v>1675</v>
      </c>
      <c r="Y137" s="204"/>
      <c r="Z137" s="155">
        <f t="shared" si="24"/>
        <v>800</v>
      </c>
      <c r="AA137" s="155">
        <f t="shared" si="25"/>
        <v>3270</v>
      </c>
      <c r="AB137" s="275"/>
      <c r="AC137" s="151">
        <v>800</v>
      </c>
      <c r="AD137" s="202" t="s">
        <v>593</v>
      </c>
      <c r="AE137" s="203">
        <v>1.774</v>
      </c>
      <c r="AF137" s="203">
        <v>7.1140000000000005E-4</v>
      </c>
      <c r="AG137" s="202">
        <v>261.66000000000003</v>
      </c>
      <c r="AH137" s="202" t="s">
        <v>1623</v>
      </c>
      <c r="AI137" s="202">
        <v>11.19</v>
      </c>
      <c r="AJ137" s="202" t="s">
        <v>1623</v>
      </c>
      <c r="AK137" s="202">
        <v>2.65</v>
      </c>
      <c r="AL137" s="202" t="s">
        <v>1623</v>
      </c>
      <c r="AM137" s="204"/>
      <c r="AN137" s="155">
        <f t="shared" si="26"/>
        <v>800</v>
      </c>
      <c r="AO137" s="155">
        <f t="shared" si="27"/>
        <v>261660.00000000003</v>
      </c>
      <c r="AP137" s="275"/>
      <c r="AQ137" s="151">
        <v>800</v>
      </c>
      <c r="AR137" s="202" t="s">
        <v>593</v>
      </c>
      <c r="AS137" s="203">
        <v>0.2278</v>
      </c>
      <c r="AT137" s="203">
        <v>4.888E-5</v>
      </c>
      <c r="AU137" s="202">
        <v>2.41</v>
      </c>
      <c r="AV137" s="202" t="s">
        <v>144</v>
      </c>
      <c r="AW137" s="202">
        <v>95.84</v>
      </c>
      <c r="AX137" s="202" t="s">
        <v>1623</v>
      </c>
      <c r="AY137" s="202">
        <v>41.12</v>
      </c>
      <c r="AZ137" s="202" t="s">
        <v>1623</v>
      </c>
      <c r="BA137" s="204"/>
      <c r="BB137" s="155">
        <f t="shared" si="28"/>
        <v>800</v>
      </c>
      <c r="BC137" s="155">
        <f t="shared" si="29"/>
        <v>2410000</v>
      </c>
      <c r="BE137" s="151">
        <v>800</v>
      </c>
      <c r="BF137" s="202" t="s">
        <v>593</v>
      </c>
      <c r="BG137" s="203">
        <v>34.9</v>
      </c>
      <c r="BH137" s="203">
        <v>1.66E-2</v>
      </c>
      <c r="BI137" s="202">
        <v>12.64</v>
      </c>
      <c r="BJ137" s="202" t="s">
        <v>1623</v>
      </c>
      <c r="BK137" s="202">
        <v>551.1</v>
      </c>
      <c r="BL137" s="202" t="s">
        <v>1675</v>
      </c>
      <c r="BM137" s="202">
        <v>76.150000000000006</v>
      </c>
      <c r="BN137" s="202" t="s">
        <v>1675</v>
      </c>
      <c r="BO137" s="204"/>
      <c r="BP137" s="155">
        <f t="shared" si="30"/>
        <v>800</v>
      </c>
      <c r="BQ137" s="155">
        <f t="shared" si="31"/>
        <v>12640</v>
      </c>
      <c r="BS137" s="151">
        <v>800</v>
      </c>
      <c r="BT137" s="202" t="s">
        <v>593</v>
      </c>
      <c r="BU137" s="203">
        <v>110.6</v>
      </c>
      <c r="BV137" s="203">
        <v>5.2510000000000001E-2</v>
      </c>
      <c r="BW137" s="202">
        <v>4.01</v>
      </c>
      <c r="BX137" s="202" t="s">
        <v>1623</v>
      </c>
      <c r="BY137" s="202">
        <v>173.6</v>
      </c>
      <c r="BZ137" s="202" t="s">
        <v>1675</v>
      </c>
      <c r="CA137" s="202">
        <v>19.87</v>
      </c>
      <c r="CB137" s="202" t="s">
        <v>1675</v>
      </c>
      <c r="CC137" s="204"/>
      <c r="CD137" s="155">
        <f t="shared" si="32"/>
        <v>800</v>
      </c>
      <c r="CE137" s="155">
        <f t="shared" si="33"/>
        <v>4010</v>
      </c>
      <c r="CG137" s="151">
        <v>800</v>
      </c>
      <c r="CH137" s="202" t="s">
        <v>593</v>
      </c>
      <c r="CI137" s="203">
        <v>153.9</v>
      </c>
      <c r="CJ137" s="203">
        <v>7.3999999999999996E-2</v>
      </c>
      <c r="CK137" s="202">
        <v>2.9</v>
      </c>
      <c r="CL137" s="202" t="s">
        <v>1623</v>
      </c>
      <c r="CM137" s="202">
        <v>124.99</v>
      </c>
      <c r="CN137" s="202" t="s">
        <v>1675</v>
      </c>
      <c r="CO137" s="202">
        <v>13.45</v>
      </c>
      <c r="CP137" s="202" t="s">
        <v>1675</v>
      </c>
      <c r="CQ137" s="204"/>
      <c r="CR137" s="155">
        <f t="shared" si="41"/>
        <v>800</v>
      </c>
      <c r="CS137" s="155">
        <f t="shared" si="34"/>
        <v>2900</v>
      </c>
      <c r="CU137" s="202">
        <v>800</v>
      </c>
      <c r="CV137" s="203" t="s">
        <v>593</v>
      </c>
      <c r="CW137" s="203">
        <v>818.9</v>
      </c>
      <c r="CX137" s="203">
        <v>0.41899999999999998</v>
      </c>
      <c r="CY137" s="202">
        <v>597.77</v>
      </c>
      <c r="CZ137" s="202" t="s">
        <v>1675</v>
      </c>
      <c r="DA137" s="202">
        <v>24.11</v>
      </c>
      <c r="DB137" s="202" t="s">
        <v>1675</v>
      </c>
      <c r="DC137" s="202">
        <v>2.41</v>
      </c>
      <c r="DD137" s="204" t="s">
        <v>1675</v>
      </c>
      <c r="DE137" s="204"/>
      <c r="DF137" s="155">
        <f t="shared" si="35"/>
        <v>800</v>
      </c>
      <c r="DG137" s="156">
        <f t="shared" si="38"/>
        <v>597.77</v>
      </c>
      <c r="DI137" s="202">
        <v>800</v>
      </c>
      <c r="DJ137" s="203" t="s">
        <v>593</v>
      </c>
      <c r="DK137" s="203">
        <v>808.8</v>
      </c>
      <c r="DL137" s="203">
        <v>0.40629999999999999</v>
      </c>
      <c r="DM137" s="202">
        <v>611.61</v>
      </c>
      <c r="DN137" s="202" t="s">
        <v>1675</v>
      </c>
      <c r="DO137" s="202">
        <v>24.4</v>
      </c>
      <c r="DP137" s="202" t="s">
        <v>1675</v>
      </c>
      <c r="DQ137" s="202">
        <v>2.39</v>
      </c>
      <c r="DR137" s="204" t="s">
        <v>1675</v>
      </c>
      <c r="DS137" s="204"/>
      <c r="DT137" s="155">
        <f t="shared" si="36"/>
        <v>800</v>
      </c>
      <c r="DU137" s="156">
        <f t="shared" si="39"/>
        <v>611.61</v>
      </c>
      <c r="DW137" s="401">
        <v>800</v>
      </c>
      <c r="DX137" s="401" t="s">
        <v>593</v>
      </c>
      <c r="DY137" s="402">
        <v>10.25</v>
      </c>
      <c r="DZ137" s="402">
        <v>4.6499999999999996E-3</v>
      </c>
      <c r="EA137" s="401">
        <v>43.66</v>
      </c>
      <c r="EB137" s="401" t="s">
        <v>1623</v>
      </c>
      <c r="EC137" s="401">
        <v>1.9</v>
      </c>
      <c r="ED137" s="401" t="s">
        <v>1623</v>
      </c>
      <c r="EE137" s="401">
        <v>341.26</v>
      </c>
      <c r="EF137" s="403" t="s">
        <v>1675</v>
      </c>
      <c r="EH137" s="155">
        <f t="shared" si="37"/>
        <v>800</v>
      </c>
      <c r="EI137" s="156">
        <f t="shared" si="40"/>
        <v>43660</v>
      </c>
    </row>
    <row r="138" spans="1:139" x14ac:dyDescent="0.2">
      <c r="A138" s="151">
        <v>900</v>
      </c>
      <c r="B138" s="202" t="s">
        <v>593</v>
      </c>
      <c r="C138" s="203">
        <v>173.7</v>
      </c>
      <c r="D138" s="203">
        <v>7.9680000000000001E-2</v>
      </c>
      <c r="E138" s="202">
        <v>2.92</v>
      </c>
      <c r="F138" s="202" t="s">
        <v>1623</v>
      </c>
      <c r="G138" s="202">
        <v>127.48</v>
      </c>
      <c r="H138" s="202" t="s">
        <v>1675</v>
      </c>
      <c r="I138" s="202">
        <v>13.45</v>
      </c>
      <c r="J138" s="202" t="s">
        <v>1675</v>
      </c>
      <c r="K138" s="204"/>
      <c r="L138" s="155">
        <f>IF((B138="GeV"),A138*1000,IF((B138="keV"),A138*0.001,A138))</f>
        <v>900</v>
      </c>
      <c r="M138" s="155">
        <f>IF((F138="m"),E138*1000000,IF((F138="mm"),E138*1000,IF((F138="A"),E138*0.0001,E138)))</f>
        <v>2920</v>
      </c>
      <c r="N138" s="275"/>
      <c r="O138" s="151">
        <v>900</v>
      </c>
      <c r="P138" s="202" t="s">
        <v>593</v>
      </c>
      <c r="Q138" s="203">
        <v>123.5</v>
      </c>
      <c r="R138" s="203">
        <v>5.7630000000000001E-2</v>
      </c>
      <c r="S138" s="202">
        <v>4.05</v>
      </c>
      <c r="T138" s="202" t="s">
        <v>1623</v>
      </c>
      <c r="U138" s="202">
        <v>178.8</v>
      </c>
      <c r="V138" s="202" t="s">
        <v>1675</v>
      </c>
      <c r="W138" s="202">
        <v>19.86</v>
      </c>
      <c r="X138" s="202" t="s">
        <v>1675</v>
      </c>
      <c r="Y138" s="204"/>
      <c r="Z138" s="155">
        <f>IF((P138="GeV"),O138*1000,IF((P138="keV"),O138*0.001,O138))</f>
        <v>900</v>
      </c>
      <c r="AA138" s="155">
        <f>IF((T138="m"),S138*1000000,IF((T138="mm"),S138*1000,IF((T138="A"),S138*0.0001,S138)))</f>
        <v>4050</v>
      </c>
      <c r="AB138" s="275"/>
      <c r="AC138" s="151">
        <v>900</v>
      </c>
      <c r="AD138" s="202" t="s">
        <v>593</v>
      </c>
      <c r="AE138" s="203">
        <v>1.6459999999999999</v>
      </c>
      <c r="AF138" s="203">
        <v>6.378E-4</v>
      </c>
      <c r="AG138" s="202">
        <v>320.18</v>
      </c>
      <c r="AH138" s="202" t="s">
        <v>1623</v>
      </c>
      <c r="AI138" s="202">
        <v>13.93</v>
      </c>
      <c r="AJ138" s="202" t="s">
        <v>1623</v>
      </c>
      <c r="AK138" s="202">
        <v>3.21</v>
      </c>
      <c r="AL138" s="202" t="s">
        <v>1623</v>
      </c>
      <c r="AM138" s="204"/>
      <c r="AN138" s="155">
        <f>IF((AD138="GeV"),AC138*1000,IF((AD138="keV"),AC138*0.001,AC138))</f>
        <v>900</v>
      </c>
      <c r="AO138" s="155">
        <f>IF((AH138="m"),AG138*1000000,IF((AH138="mm"),AG138*1000,IF((AH138="A"),AG138*0.0001,AG138)))</f>
        <v>320180</v>
      </c>
      <c r="AP138" s="275"/>
      <c r="AQ138" s="151">
        <v>900</v>
      </c>
      <c r="AR138" s="202" t="s">
        <v>593</v>
      </c>
      <c r="AS138" s="203">
        <v>0.22070000000000001</v>
      </c>
      <c r="AT138" s="203">
        <v>4.3800000000000001E-5</v>
      </c>
      <c r="AU138" s="202">
        <v>2.85</v>
      </c>
      <c r="AV138" s="202" t="s">
        <v>144</v>
      </c>
      <c r="AW138" s="202">
        <v>114.94</v>
      </c>
      <c r="AX138" s="202" t="s">
        <v>1623</v>
      </c>
      <c r="AY138" s="202">
        <v>47.66</v>
      </c>
      <c r="AZ138" s="202" t="s">
        <v>1623</v>
      </c>
      <c r="BA138" s="204"/>
      <c r="BB138" s="155">
        <f>IF((AR138="GeV"),AQ138*1000,IF((AR138="keV"),AQ138*0.001,AQ138))</f>
        <v>900</v>
      </c>
      <c r="BC138" s="155">
        <f>IF((AV138="m"),AU138*1000000,IF((AV138="mm"),AU138*1000,IF((AV138="A"),AU138*0.0001,AU138)))</f>
        <v>2850000</v>
      </c>
      <c r="BE138" s="151">
        <v>900</v>
      </c>
      <c r="BF138" s="202" t="s">
        <v>593</v>
      </c>
      <c r="BG138" s="203">
        <v>31.81</v>
      </c>
      <c r="BH138" s="203">
        <v>1.49E-2</v>
      </c>
      <c r="BI138" s="202">
        <v>15.64</v>
      </c>
      <c r="BJ138" s="202" t="s">
        <v>1623</v>
      </c>
      <c r="BK138" s="202">
        <v>696.14</v>
      </c>
      <c r="BL138" s="202" t="s">
        <v>1675</v>
      </c>
      <c r="BM138" s="202">
        <v>93.79</v>
      </c>
      <c r="BN138" s="202" t="s">
        <v>1675</v>
      </c>
      <c r="BO138" s="204"/>
      <c r="BP138" s="155">
        <f>IF((BF138="GeV"),BE138*1000,IF((BF138="keV"),BE138*0.001,BE138))</f>
        <v>900</v>
      </c>
      <c r="BQ138" s="155">
        <f>IF((BJ138="m"),BI138*1000000,IF((BJ138="mm"),BI138*1000,IF((BJ138="A"),BI138*0.0001,BI138)))</f>
        <v>15640</v>
      </c>
      <c r="BS138" s="151">
        <v>900</v>
      </c>
      <c r="BT138" s="202" t="s">
        <v>593</v>
      </c>
      <c r="BU138" s="203">
        <v>100.6</v>
      </c>
      <c r="BV138" s="203">
        <v>4.7169999999999997E-2</v>
      </c>
      <c r="BW138" s="202">
        <v>4.96</v>
      </c>
      <c r="BX138" s="202" t="s">
        <v>1623</v>
      </c>
      <c r="BY138" s="202">
        <v>219.49</v>
      </c>
      <c r="BZ138" s="202" t="s">
        <v>1675</v>
      </c>
      <c r="CA138" s="202">
        <v>24.42</v>
      </c>
      <c r="CB138" s="202" t="s">
        <v>1675</v>
      </c>
      <c r="CC138" s="204"/>
      <c r="CD138" s="155">
        <f>IF((BT138="GeV"),BS138*1000,IF((BT138="keV"),BS138*0.001,BS138))</f>
        <v>900</v>
      </c>
      <c r="CE138" s="155">
        <f>IF((BX138="m"),BW138*1000000,IF((BX138="mm"),BW138*1000,IF((BX138="A"),BW138*0.0001,BW138)))</f>
        <v>4960</v>
      </c>
      <c r="CG138" s="151">
        <v>900</v>
      </c>
      <c r="CH138" s="202" t="s">
        <v>593</v>
      </c>
      <c r="CI138" s="203">
        <v>139.9</v>
      </c>
      <c r="CJ138" s="203">
        <v>6.6489999999999994E-2</v>
      </c>
      <c r="CK138" s="202">
        <v>3.58</v>
      </c>
      <c r="CL138" s="202" t="s">
        <v>1623</v>
      </c>
      <c r="CM138" s="202">
        <v>157.91999999999999</v>
      </c>
      <c r="CN138" s="202" t="s">
        <v>1675</v>
      </c>
      <c r="CO138" s="202">
        <v>16.5</v>
      </c>
      <c r="CP138" s="202" t="s">
        <v>1675</v>
      </c>
      <c r="CQ138" s="204"/>
      <c r="CR138" s="155">
        <f t="shared" si="41"/>
        <v>900</v>
      </c>
      <c r="CS138" s="155">
        <f>IF((CL138="m"),CK138*1000000,IF((CL138="mm"),CK138*1000,IF((CL138="A"),CK138*0.0001,CK138)))</f>
        <v>3580</v>
      </c>
      <c r="CU138" s="202">
        <v>900</v>
      </c>
      <c r="CV138" s="203" t="s">
        <v>593</v>
      </c>
      <c r="CW138" s="203">
        <v>751.7</v>
      </c>
      <c r="CX138" s="203">
        <v>0.377</v>
      </c>
      <c r="CY138" s="202">
        <v>725.23</v>
      </c>
      <c r="CZ138" s="202" t="s">
        <v>1675</v>
      </c>
      <c r="DA138" s="202">
        <v>30.11</v>
      </c>
      <c r="DB138" s="202" t="s">
        <v>1675</v>
      </c>
      <c r="DC138" s="202">
        <v>2.86</v>
      </c>
      <c r="DD138" s="204" t="s">
        <v>1675</v>
      </c>
      <c r="DE138" s="204"/>
      <c r="DF138" s="155">
        <f>IF((CV138="GeV"),CU138*1000,IF((CV138="keV"),CU138*0.001,CU138))</f>
        <v>900</v>
      </c>
      <c r="DG138" s="156">
        <f t="shared" si="38"/>
        <v>725.23</v>
      </c>
      <c r="DI138" s="202">
        <v>900</v>
      </c>
      <c r="DJ138" s="203" t="s">
        <v>593</v>
      </c>
      <c r="DK138" s="203">
        <v>740.4</v>
      </c>
      <c r="DL138" s="203">
        <v>0.36559999999999998</v>
      </c>
      <c r="DM138" s="202">
        <v>740.83</v>
      </c>
      <c r="DN138" s="202" t="s">
        <v>1675</v>
      </c>
      <c r="DO138" s="202">
        <v>30.49</v>
      </c>
      <c r="DP138" s="202" t="s">
        <v>1675</v>
      </c>
      <c r="DQ138" s="202">
        <v>2.82</v>
      </c>
      <c r="DR138" s="204" t="s">
        <v>1675</v>
      </c>
      <c r="DS138" s="204"/>
      <c r="DT138" s="155">
        <f>IF((DJ138="GeV"),DI138*1000,IF((DJ138="keV"),DI138*0.001,DI138))</f>
        <v>900</v>
      </c>
      <c r="DU138" s="156">
        <f t="shared" si="39"/>
        <v>740.83</v>
      </c>
      <c r="DW138" s="401">
        <v>900</v>
      </c>
      <c r="DX138" s="401" t="s">
        <v>593</v>
      </c>
      <c r="DY138" s="402">
        <v>9.4019999999999992</v>
      </c>
      <c r="DZ138" s="402">
        <v>4.1720000000000004E-3</v>
      </c>
      <c r="EA138" s="401">
        <v>53.85</v>
      </c>
      <c r="EB138" s="401" t="s">
        <v>1623</v>
      </c>
      <c r="EC138" s="401">
        <v>2.38</v>
      </c>
      <c r="ED138" s="401" t="s">
        <v>1623</v>
      </c>
      <c r="EE138" s="401">
        <v>418.42</v>
      </c>
      <c r="EF138" s="403" t="s">
        <v>1675</v>
      </c>
      <c r="EH138" s="155">
        <f>IF((DX138="GeV"),DW138*1000,IF((DX138="keV"),DW138*0.001,DW138))</f>
        <v>900</v>
      </c>
      <c r="EI138" s="156">
        <f t="shared" si="40"/>
        <v>53850</v>
      </c>
    </row>
    <row r="139" spans="1:139" x14ac:dyDescent="0.2">
      <c r="A139" s="151">
        <v>1</v>
      </c>
      <c r="B139" s="202" t="s">
        <v>1625</v>
      </c>
      <c r="C139" s="203">
        <v>159.5</v>
      </c>
      <c r="D139" s="203">
        <v>7.2410000000000002E-2</v>
      </c>
      <c r="E139" s="202">
        <v>3.53</v>
      </c>
      <c r="F139" s="202" t="s">
        <v>1623</v>
      </c>
      <c r="G139" s="202">
        <v>153.27000000000001</v>
      </c>
      <c r="H139" s="202" t="s">
        <v>1675</v>
      </c>
      <c r="I139" s="202">
        <v>16.079999999999998</v>
      </c>
      <c r="J139" s="202" t="s">
        <v>1675</v>
      </c>
      <c r="K139" s="204"/>
      <c r="L139" s="155">
        <f>IF((B139="GeV"),A139*1000,IF((B139="keV"),A139*0.001,A139))</f>
        <v>1000</v>
      </c>
      <c r="M139" s="155">
        <f>IF((F139="m"),E139*1000000,IF((F139="mm"),E139*1000,IF((F139="A"),E139*0.0001,E139)))</f>
        <v>3530</v>
      </c>
      <c r="N139" s="275"/>
      <c r="O139" s="151">
        <v>1</v>
      </c>
      <c r="P139" s="202" t="s">
        <v>1625</v>
      </c>
      <c r="Q139" s="203">
        <v>113.5</v>
      </c>
      <c r="R139" s="203">
        <v>5.2359999999999997E-2</v>
      </c>
      <c r="S139" s="202">
        <v>4.8899999999999997</v>
      </c>
      <c r="T139" s="202" t="s">
        <v>1623</v>
      </c>
      <c r="U139" s="202">
        <v>215.13</v>
      </c>
      <c r="V139" s="202" t="s">
        <v>1675</v>
      </c>
      <c r="W139" s="202">
        <v>23.88</v>
      </c>
      <c r="X139" s="202" t="s">
        <v>1675</v>
      </c>
      <c r="Y139" s="204"/>
      <c r="Z139" s="155">
        <f>IF((P139="GeV"),O139*1000,IF((P139="keV"),O139*0.001,O139))</f>
        <v>1000</v>
      </c>
      <c r="AA139" s="155">
        <f>IF((T139="m"),S139*1000000,IF((T139="mm"),S139*1000,IF((T139="A"),S139*0.0001,S139)))</f>
        <v>4890</v>
      </c>
      <c r="AB139" s="275"/>
      <c r="AC139" s="151">
        <v>1</v>
      </c>
      <c r="AD139" s="202" t="s">
        <v>1625</v>
      </c>
      <c r="AE139" s="203">
        <v>1.542</v>
      </c>
      <c r="AF139" s="203">
        <v>5.7839999999999996E-4</v>
      </c>
      <c r="AG139" s="202">
        <v>382.94</v>
      </c>
      <c r="AH139" s="202" t="s">
        <v>1623</v>
      </c>
      <c r="AI139" s="202">
        <v>16.54</v>
      </c>
      <c r="AJ139" s="202" t="s">
        <v>1623</v>
      </c>
      <c r="AK139" s="202">
        <v>3.81</v>
      </c>
      <c r="AL139" s="202" t="s">
        <v>1623</v>
      </c>
      <c r="AM139" s="204"/>
      <c r="AN139" s="155">
        <f>IF((AD139="GeV"),AC139*1000,IF((AD139="keV"),AC139*0.001,AC139))</f>
        <v>1000</v>
      </c>
      <c r="AO139" s="155">
        <f>IF((AH139="m"),AG139*1000000,IF((AH139="mm"),AG139*1000,IF((AH139="A"),AG139*0.0001,AG139)))</f>
        <v>382940</v>
      </c>
      <c r="AP139" s="275"/>
      <c r="AQ139" s="151">
        <v>1</v>
      </c>
      <c r="AR139" s="202" t="s">
        <v>1625</v>
      </c>
      <c r="AS139" s="203">
        <v>0.2152</v>
      </c>
      <c r="AT139" s="203">
        <v>3.9690000000000001E-5</v>
      </c>
      <c r="AU139" s="202">
        <v>3.31</v>
      </c>
      <c r="AV139" s="202" t="s">
        <v>144</v>
      </c>
      <c r="AW139" s="202">
        <v>132.19</v>
      </c>
      <c r="AX139" s="202" t="s">
        <v>1623</v>
      </c>
      <c r="AY139" s="202">
        <v>54.17</v>
      </c>
      <c r="AZ139" s="202" t="s">
        <v>1623</v>
      </c>
      <c r="BA139" s="204"/>
      <c r="BB139" s="155">
        <f>IF((AR139="GeV"),AQ139*1000,IF((AR139="keV"),AQ139*0.001,AQ139))</f>
        <v>1000</v>
      </c>
      <c r="BC139" s="155">
        <f>IF((AV139="m"),AU139*1000000,IF((AV139="mm"),AU139*1000,IF((AV139="A"),AU139*0.0001,AU139)))</f>
        <v>3310000</v>
      </c>
      <c r="BE139" s="151">
        <v>1</v>
      </c>
      <c r="BF139" s="202" t="s">
        <v>1625</v>
      </c>
      <c r="BG139" s="203">
        <v>29.3</v>
      </c>
      <c r="BH139" s="203">
        <v>1.353E-2</v>
      </c>
      <c r="BI139" s="202">
        <v>18.920000000000002</v>
      </c>
      <c r="BJ139" s="202" t="s">
        <v>1623</v>
      </c>
      <c r="BK139" s="202">
        <v>836.71</v>
      </c>
      <c r="BL139" s="202" t="s">
        <v>1675</v>
      </c>
      <c r="BM139" s="202">
        <v>112.93</v>
      </c>
      <c r="BN139" s="202" t="s">
        <v>1675</v>
      </c>
      <c r="BO139" s="204"/>
      <c r="BP139" s="155">
        <f>IF((BF139="GeV"),BE139*1000,IF((BF139="keV"),BE139*0.001,BE139))</f>
        <v>1000</v>
      </c>
      <c r="BQ139" s="155">
        <f>IF((BJ139="m"),BI139*1000000,IF((BJ139="mm"),BI139*1000,IF((BJ139="A"),BI139*0.0001,BI139)))</f>
        <v>18920</v>
      </c>
      <c r="BS139" s="151">
        <v>1</v>
      </c>
      <c r="BT139" s="202" t="s">
        <v>1625</v>
      </c>
      <c r="BU139" s="203">
        <v>92.38</v>
      </c>
      <c r="BV139" s="203">
        <v>4.2849999999999999E-2</v>
      </c>
      <c r="BW139" s="202">
        <v>6</v>
      </c>
      <c r="BX139" s="202" t="s">
        <v>1623</v>
      </c>
      <c r="BY139" s="202">
        <v>264.14999999999998</v>
      </c>
      <c r="BZ139" s="202" t="s">
        <v>1675</v>
      </c>
      <c r="CA139" s="202">
        <v>29.37</v>
      </c>
      <c r="CB139" s="202" t="s">
        <v>1675</v>
      </c>
      <c r="CC139" s="204"/>
      <c r="CD139" s="155">
        <f>IF((BT139="GeV"),BS139*1000,IF((BT139="keV"),BS139*0.001,BS139))</f>
        <v>1000</v>
      </c>
      <c r="CE139" s="155">
        <f>IF((BX139="m"),BW139*1000000,IF((BX139="mm"),BW139*1000,IF((BX139="A"),BW139*0.0001,BW139)))</f>
        <v>6000</v>
      </c>
      <c r="CG139" s="151">
        <v>1</v>
      </c>
      <c r="CH139" s="202" t="s">
        <v>1625</v>
      </c>
      <c r="CI139" s="203">
        <v>128.4</v>
      </c>
      <c r="CJ139" s="203">
        <v>6.0420000000000001E-2</v>
      </c>
      <c r="CK139" s="202">
        <v>4.33</v>
      </c>
      <c r="CL139" s="202" t="s">
        <v>1623</v>
      </c>
      <c r="CM139" s="202">
        <v>190.02</v>
      </c>
      <c r="CN139" s="202" t="s">
        <v>1675</v>
      </c>
      <c r="CO139" s="202">
        <v>19.82</v>
      </c>
      <c r="CP139" s="202" t="s">
        <v>1675</v>
      </c>
      <c r="CQ139" s="204"/>
      <c r="CR139" s="155">
        <f t="shared" si="41"/>
        <v>1000</v>
      </c>
      <c r="CS139" s="155">
        <f>IF((CL139="m"),CK139*1000000,IF((CL139="mm"),CK139*1000,IF((CL139="A"),CK139*0.0001,CK139)))</f>
        <v>4330</v>
      </c>
      <c r="CU139" s="202">
        <v>1</v>
      </c>
      <c r="CV139" s="203" t="s">
        <v>1625</v>
      </c>
      <c r="CW139" s="203">
        <v>696.4</v>
      </c>
      <c r="CX139" s="203">
        <v>0.34300000000000003</v>
      </c>
      <c r="CY139" s="202">
        <v>863.42</v>
      </c>
      <c r="CZ139" s="202" t="s">
        <v>1675</v>
      </c>
      <c r="DA139" s="202">
        <v>35.909999999999997</v>
      </c>
      <c r="DB139" s="202" t="s">
        <v>1675</v>
      </c>
      <c r="DC139" s="202">
        <v>3.34</v>
      </c>
      <c r="DD139" s="204" t="s">
        <v>1675</v>
      </c>
      <c r="DE139" s="204"/>
      <c r="DF139" s="155">
        <f>IF((CV139="GeV"),CU139*1000,IF((CV139="keV"),CU139*0.001,CU139))</f>
        <v>1000</v>
      </c>
      <c r="DG139" s="156">
        <f>IF((CZ139="m"),CY139*1000000,IF((CZ139="mm"),CY139*1000,IF((CZ139="A"),CY139*0.0001,CY139)))</f>
        <v>863.42</v>
      </c>
      <c r="DI139" s="202">
        <v>1</v>
      </c>
      <c r="DJ139" s="203" t="s">
        <v>1625</v>
      </c>
      <c r="DK139" s="203">
        <v>685.6</v>
      </c>
      <c r="DL139" s="203">
        <v>0.33260000000000001</v>
      </c>
      <c r="DM139" s="202">
        <v>881.18</v>
      </c>
      <c r="DN139" s="202" t="s">
        <v>1675</v>
      </c>
      <c r="DO139" s="202">
        <v>36.4</v>
      </c>
      <c r="DP139" s="202" t="s">
        <v>1675</v>
      </c>
      <c r="DQ139" s="202">
        <v>3.29</v>
      </c>
      <c r="DR139" s="204" t="s">
        <v>1675</v>
      </c>
      <c r="DS139" s="204"/>
      <c r="DT139" s="155">
        <f>IF((DJ139="GeV"),DI139*1000,IF((DJ139="keV"),DI139*0.001,DI139))</f>
        <v>1000</v>
      </c>
      <c r="DU139" s="156">
        <f>IF((DN139="m"),DM139*1000000,IF((DN139="mm"),DM139*1000,IF((DN139="A"),DM139*0.0001,DM139)))</f>
        <v>881.18</v>
      </c>
      <c r="DW139" s="401">
        <v>1</v>
      </c>
      <c r="DX139" s="401" t="s">
        <v>1625</v>
      </c>
      <c r="DY139" s="402">
        <v>8.7159999999999993</v>
      </c>
      <c r="DZ139" s="402">
        <v>3.7859999999999999E-3</v>
      </c>
      <c r="EA139" s="401">
        <v>64.89</v>
      </c>
      <c r="EB139" s="401" t="s">
        <v>1623</v>
      </c>
      <c r="EC139" s="401">
        <v>2.85</v>
      </c>
      <c r="ED139" s="401" t="s">
        <v>1623</v>
      </c>
      <c r="EE139" s="401">
        <v>501.38</v>
      </c>
      <c r="EF139" s="403" t="s">
        <v>1675</v>
      </c>
      <c r="EH139" s="155">
        <f>IF((DX139="GeV"),DW139*1000,IF((DX139="keV"),DW139*0.001,DW139))</f>
        <v>1000</v>
      </c>
      <c r="EI139" s="156">
        <f>IF((EB139="m"),EA139*1000000,IF((EB139="mm"),EA139*1000,IF((EB139="A"),EA139*0.0001,EA139)))</f>
        <v>64890</v>
      </c>
    </row>
    <row r="140" spans="1:139" x14ac:dyDescent="0.2">
      <c r="A140" s="264">
        <v>1.1000000000000001</v>
      </c>
      <c r="B140" s="205" t="s">
        <v>1625</v>
      </c>
      <c r="C140" s="206">
        <v>147.69999999999999</v>
      </c>
      <c r="D140" s="206">
        <v>6.6400000000000001E-2</v>
      </c>
      <c r="E140" s="205">
        <v>4.18</v>
      </c>
      <c r="F140" s="205" t="s">
        <v>1623</v>
      </c>
      <c r="G140" s="205">
        <v>178.9</v>
      </c>
      <c r="H140" s="205" t="s">
        <v>1675</v>
      </c>
      <c r="I140" s="205">
        <v>18.91</v>
      </c>
      <c r="J140" s="205" t="s">
        <v>1675</v>
      </c>
      <c r="K140" s="204"/>
      <c r="L140" s="157">
        <f>IF((B140="GeV"),A140*1000,IF((B140="keV"),A140*0.001,A140))</f>
        <v>1100</v>
      </c>
      <c r="M140" s="157">
        <f>IF((F140="m"),E140*1000000,IF((F140="mm"),E140*1000,IF((F140="A"),E140*0.0001,E140)))</f>
        <v>4180</v>
      </c>
      <c r="N140" s="275"/>
      <c r="O140" s="264">
        <v>1.1000000000000001</v>
      </c>
      <c r="P140" s="205" t="s">
        <v>1625</v>
      </c>
      <c r="Q140" s="206">
        <v>105.2</v>
      </c>
      <c r="R140" s="206">
        <v>4.8009999999999997E-2</v>
      </c>
      <c r="S140" s="205">
        <v>5.81</v>
      </c>
      <c r="T140" s="205" t="s">
        <v>1623</v>
      </c>
      <c r="U140" s="205">
        <v>251.18</v>
      </c>
      <c r="V140" s="205" t="s">
        <v>1675</v>
      </c>
      <c r="W140" s="205">
        <v>28.21</v>
      </c>
      <c r="X140" s="205" t="s">
        <v>1675</v>
      </c>
      <c r="Y140" s="204"/>
      <c r="Z140" s="157">
        <f>IF((P140="GeV"),O140*1000,IF((P140="keV"),O140*0.001,O140))</f>
        <v>1100</v>
      </c>
      <c r="AA140" s="157">
        <f>IF((T140="m"),S140*1000000,IF((T140="mm"),S140*1000,IF((T140="A"),S140*0.0001,S140)))</f>
        <v>5810</v>
      </c>
      <c r="AB140" s="275"/>
      <c r="AC140" s="264">
        <v>1.1000000000000001</v>
      </c>
      <c r="AD140" s="205" t="s">
        <v>1625</v>
      </c>
      <c r="AE140" s="206">
        <v>1.4570000000000001</v>
      </c>
      <c r="AF140" s="206">
        <v>5.2939999999999997E-4</v>
      </c>
      <c r="AG140" s="205">
        <v>449.63</v>
      </c>
      <c r="AH140" s="205" t="s">
        <v>1623</v>
      </c>
      <c r="AI140" s="205">
        <v>19.059999999999999</v>
      </c>
      <c r="AJ140" s="205" t="s">
        <v>1623</v>
      </c>
      <c r="AK140" s="205">
        <v>4.43</v>
      </c>
      <c r="AL140" s="205" t="s">
        <v>1623</v>
      </c>
      <c r="AM140" s="204"/>
      <c r="AN140" s="157">
        <f>IF((AD140="GeV"),AC140*1000,IF((AD140="keV"),AC140*0.001,AC140))</f>
        <v>1100</v>
      </c>
      <c r="AO140" s="157">
        <f>IF((AH140="m"),AG140*1000000,IF((AH140="mm"),AG140*1000,IF((AH140="A"),AG140*0.0001,AG140)))</f>
        <v>449630</v>
      </c>
      <c r="AP140" s="275"/>
      <c r="AQ140" s="264">
        <v>1.1000000000000001</v>
      </c>
      <c r="AR140" s="205" t="s">
        <v>1625</v>
      </c>
      <c r="AS140" s="206">
        <v>0.2109</v>
      </c>
      <c r="AT140" s="206">
        <v>3.6310000000000003E-5</v>
      </c>
      <c r="AU140" s="205">
        <v>3.78</v>
      </c>
      <c r="AV140" s="205" t="s">
        <v>144</v>
      </c>
      <c r="AW140" s="205">
        <v>148.12</v>
      </c>
      <c r="AX140" s="205" t="s">
        <v>1623</v>
      </c>
      <c r="AY140" s="205">
        <v>60.62</v>
      </c>
      <c r="AZ140" s="205" t="s">
        <v>1623</v>
      </c>
      <c r="BA140" s="204"/>
      <c r="BB140" s="157">
        <f>IF((AR140="GeV"),AQ140*1000,IF((AR140="keV"),AQ140*0.001,AQ140))</f>
        <v>1100</v>
      </c>
      <c r="BC140" s="157">
        <f>IF((AV140="m"),AU140*1000000,IF((AV140="mm"),AU140*1000,IF((AV140="A"),AU140*0.0001,AU140)))</f>
        <v>3780000</v>
      </c>
      <c r="BE140" s="264">
        <v>1.1000000000000001</v>
      </c>
      <c r="BF140" s="205" t="s">
        <v>1625</v>
      </c>
      <c r="BG140" s="206">
        <v>27.23</v>
      </c>
      <c r="BH140" s="206">
        <v>1.24E-2</v>
      </c>
      <c r="BI140" s="205">
        <v>22.46</v>
      </c>
      <c r="BJ140" s="205" t="s">
        <v>1623</v>
      </c>
      <c r="BK140" s="205">
        <v>975.63</v>
      </c>
      <c r="BL140" s="205" t="s">
        <v>1675</v>
      </c>
      <c r="BM140" s="205">
        <v>133.5</v>
      </c>
      <c r="BN140" s="205" t="s">
        <v>1675</v>
      </c>
      <c r="BO140" s="204"/>
      <c r="BP140" s="157">
        <f>IF((BF140="GeV"),BE140*1000,IF((BF140="keV"),BE140*0.001,BE140))</f>
        <v>1100</v>
      </c>
      <c r="BQ140" s="157">
        <f>IF((BJ140="m"),BI140*1000000,IF((BJ140="mm"),BI140*1000,IF((BJ140="A"),BI140*0.0001,BI140)))</f>
        <v>22460</v>
      </c>
      <c r="BS140" s="264">
        <v>1.1000000000000001</v>
      </c>
      <c r="BT140" s="205" t="s">
        <v>1625</v>
      </c>
      <c r="BU140" s="206">
        <v>85.59</v>
      </c>
      <c r="BV140" s="206">
        <v>3.9289999999999999E-2</v>
      </c>
      <c r="BW140" s="205">
        <v>7.12</v>
      </c>
      <c r="BX140" s="205" t="s">
        <v>1623</v>
      </c>
      <c r="BY140" s="205">
        <v>308.47000000000003</v>
      </c>
      <c r="BZ140" s="205" t="s">
        <v>1675</v>
      </c>
      <c r="CA140" s="205">
        <v>34.71</v>
      </c>
      <c r="CB140" s="205" t="s">
        <v>1675</v>
      </c>
      <c r="CC140" s="204"/>
      <c r="CD140" s="157">
        <f>IF((BT140="GeV"),BS140*1000,IF((BT140="keV"),BS140*0.001,BS140))</f>
        <v>1100</v>
      </c>
      <c r="CE140" s="157">
        <f>IF((BX140="m"),BW140*1000000,IF((BX140="mm"),BW140*1000,IF((BX140="A"),BW140*0.0001,BW140)))</f>
        <v>7120</v>
      </c>
      <c r="CG140" s="264">
        <v>1.1000000000000001</v>
      </c>
      <c r="CH140" s="205" t="s">
        <v>1625</v>
      </c>
      <c r="CI140" s="206">
        <v>118.9</v>
      </c>
      <c r="CJ140" s="206">
        <v>5.5399999999999998E-2</v>
      </c>
      <c r="CK140" s="205">
        <v>5.13</v>
      </c>
      <c r="CL140" s="205" t="s">
        <v>1623</v>
      </c>
      <c r="CM140" s="205">
        <v>221.9</v>
      </c>
      <c r="CN140" s="205" t="s">
        <v>1675</v>
      </c>
      <c r="CO140" s="205">
        <v>23.41</v>
      </c>
      <c r="CP140" s="205" t="s">
        <v>1675</v>
      </c>
      <c r="CQ140" s="204"/>
      <c r="CR140" s="157">
        <f t="shared" si="41"/>
        <v>1100</v>
      </c>
      <c r="CS140" s="157">
        <f>IF((CL140="m"),CK140*1000000,IF((CL140="mm"),CK140*1000,IF((CL140="A"),CK140*0.0001,CK140)))</f>
        <v>5130</v>
      </c>
      <c r="CU140" s="205">
        <v>1.1000000000000001</v>
      </c>
      <c r="CV140" s="206" t="s">
        <v>1625</v>
      </c>
      <c r="CW140" s="206">
        <v>649.9</v>
      </c>
      <c r="CX140" s="206">
        <v>0.31480000000000002</v>
      </c>
      <c r="CY140" s="205">
        <v>1.01</v>
      </c>
      <c r="CZ140" s="205" t="s">
        <v>1623</v>
      </c>
      <c r="DA140" s="205">
        <v>41.62</v>
      </c>
      <c r="DB140" s="205" t="s">
        <v>1675</v>
      </c>
      <c r="DC140" s="205">
        <v>3.85</v>
      </c>
      <c r="DD140" s="204" t="s">
        <v>1675</v>
      </c>
      <c r="DE140" s="204"/>
      <c r="DF140" s="155">
        <f>IF((CV140="GeV"),CU140*1000,IF((CV140="keV"),CU140*0.001,CU140))</f>
        <v>1100</v>
      </c>
      <c r="DG140" s="156">
        <f>IF((CZ140="m"),CY140*1000000,IF((CZ140="mm"),CY140*1000,IF((CZ140="A"),CY140*0.0001,CY140)))</f>
        <v>1010</v>
      </c>
      <c r="DI140" s="205">
        <v>1.1000000000000001</v>
      </c>
      <c r="DJ140" s="206" t="s">
        <v>1625</v>
      </c>
      <c r="DK140" s="206">
        <v>642.1</v>
      </c>
      <c r="DL140" s="206">
        <v>0.30530000000000002</v>
      </c>
      <c r="DM140" s="205">
        <v>1.03</v>
      </c>
      <c r="DN140" s="205" t="s">
        <v>1623</v>
      </c>
      <c r="DO140" s="205">
        <v>42.19</v>
      </c>
      <c r="DP140" s="205" t="s">
        <v>1675</v>
      </c>
      <c r="DQ140" s="205">
        <v>3.79</v>
      </c>
      <c r="DR140" s="204" t="s">
        <v>1675</v>
      </c>
      <c r="DS140" s="204"/>
      <c r="DT140" s="155">
        <f>IF((DJ140="GeV"),DI140*1000,IF((DJ140="keV"),DI140*0.001,DI140))</f>
        <v>1100</v>
      </c>
      <c r="DU140" s="156">
        <f>IF((DN140="m"),DM140*1000000,IF((DN140="mm"),DM140*1000,IF((DN140="A"),DM140*0.0001,DM140)))</f>
        <v>1030</v>
      </c>
      <c r="DW140" s="404">
        <v>1.1000000000000001</v>
      </c>
      <c r="DX140" s="404" t="s">
        <v>1625</v>
      </c>
      <c r="DY140" s="405">
        <v>8.1509999999999998</v>
      </c>
      <c r="DZ140" s="405">
        <v>3.467E-3</v>
      </c>
      <c r="EA140" s="404">
        <v>76.75</v>
      </c>
      <c r="EB140" s="404" t="s">
        <v>1623</v>
      </c>
      <c r="EC140" s="404">
        <v>3.31</v>
      </c>
      <c r="ED140" s="404" t="s">
        <v>1623</v>
      </c>
      <c r="EE140" s="404">
        <v>589.75</v>
      </c>
      <c r="EF140" s="406" t="s">
        <v>1675</v>
      </c>
      <c r="EH140" s="155">
        <f>IF((DX140="GeV"),DW140*1000,IF((DX140="keV"),DW140*0.001,DW140))</f>
        <v>1100</v>
      </c>
      <c r="EI140" s="156">
        <f>IF((EB140="m"),EA140*1000000,IF((EB140="mm"),EA140*1000,IF((EB140="A"),EA140*0.0001,EA140)))</f>
        <v>76750</v>
      </c>
    </row>
    <row r="141" spans="1:139" x14ac:dyDescent="0.2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</row>
    <row r="142" spans="1:139" x14ac:dyDescent="0.2">
      <c r="A142" s="207" t="s">
        <v>1664</v>
      </c>
      <c r="O142" s="207" t="s">
        <v>1670</v>
      </c>
      <c r="AC142" s="207" t="s">
        <v>1671</v>
      </c>
      <c r="AQ142" s="207" t="s">
        <v>143</v>
      </c>
      <c r="BE142" s="207" t="s">
        <v>31</v>
      </c>
      <c r="BS142" s="207" t="s">
        <v>168</v>
      </c>
      <c r="CG142" s="207" t="s">
        <v>174</v>
      </c>
      <c r="CU142" s="207" t="s">
        <v>8</v>
      </c>
      <c r="DI142" s="207" t="s">
        <v>1559</v>
      </c>
    </row>
    <row r="143" spans="1:139" ht="51" x14ac:dyDescent="0.2">
      <c r="A143" s="148" t="s">
        <v>1619</v>
      </c>
      <c r="B143" s="148"/>
      <c r="C143" s="149" t="s">
        <v>125</v>
      </c>
      <c r="D143" s="149" t="s">
        <v>126</v>
      </c>
      <c r="E143" s="149" t="s">
        <v>1616</v>
      </c>
      <c r="F143" s="149"/>
      <c r="G143" s="149" t="s">
        <v>1620</v>
      </c>
      <c r="H143" s="149"/>
      <c r="I143" s="149" t="s">
        <v>1621</v>
      </c>
      <c r="J143" s="149"/>
      <c r="L143" s="147" t="s">
        <v>1676</v>
      </c>
      <c r="M143" s="158" t="s">
        <v>1617</v>
      </c>
      <c r="O143" s="148" t="s">
        <v>1619</v>
      </c>
      <c r="P143" s="148"/>
      <c r="Q143" s="149" t="s">
        <v>125</v>
      </c>
      <c r="R143" s="149" t="s">
        <v>126</v>
      </c>
      <c r="S143" s="149" t="s">
        <v>1616</v>
      </c>
      <c r="T143" s="149"/>
      <c r="U143" s="149" t="s">
        <v>1620</v>
      </c>
      <c r="V143" s="149"/>
      <c r="W143" s="149" t="s">
        <v>1621</v>
      </c>
      <c r="X143" s="149"/>
      <c r="Z143" s="147" t="s">
        <v>1676</v>
      </c>
      <c r="AA143" s="158" t="s">
        <v>1617</v>
      </c>
      <c r="AC143" s="148" t="s">
        <v>1619</v>
      </c>
      <c r="AD143" s="148"/>
      <c r="AE143" s="149" t="s">
        <v>125</v>
      </c>
      <c r="AF143" s="149" t="s">
        <v>126</v>
      </c>
      <c r="AG143" s="149" t="s">
        <v>1616</v>
      </c>
      <c r="AH143" s="149"/>
      <c r="AI143" s="149" t="s">
        <v>1620</v>
      </c>
      <c r="AJ143" s="149"/>
      <c r="AK143" s="149" t="s">
        <v>1621</v>
      </c>
      <c r="AL143" s="149"/>
      <c r="AN143" s="147" t="s">
        <v>1676</v>
      </c>
      <c r="AO143" s="158" t="s">
        <v>1617</v>
      </c>
      <c r="AQ143" s="148" t="s">
        <v>1619</v>
      </c>
      <c r="AR143" s="148"/>
      <c r="AS143" s="149" t="s">
        <v>125</v>
      </c>
      <c r="AT143" s="149" t="s">
        <v>126</v>
      </c>
      <c r="AU143" s="149" t="s">
        <v>1616</v>
      </c>
      <c r="AV143" s="149"/>
      <c r="AW143" s="149" t="s">
        <v>1620</v>
      </c>
      <c r="AX143" s="149"/>
      <c r="AY143" s="149" t="s">
        <v>1621</v>
      </c>
      <c r="AZ143" s="149"/>
      <c r="BB143" s="147" t="s">
        <v>1676</v>
      </c>
      <c r="BC143" s="158" t="s">
        <v>1617</v>
      </c>
      <c r="BE143" s="148" t="s">
        <v>1619</v>
      </c>
      <c r="BF143" s="148"/>
      <c r="BG143" s="149" t="s">
        <v>125</v>
      </c>
      <c r="BH143" s="149" t="s">
        <v>126</v>
      </c>
      <c r="BI143" s="149" t="s">
        <v>1616</v>
      </c>
      <c r="BJ143" s="149"/>
      <c r="BK143" s="149" t="s">
        <v>1620</v>
      </c>
      <c r="BL143" s="149"/>
      <c r="BM143" s="149" t="s">
        <v>1621</v>
      </c>
      <c r="BN143" s="149"/>
      <c r="BP143" s="147" t="s">
        <v>1676</v>
      </c>
      <c r="BQ143" s="158" t="s">
        <v>1617</v>
      </c>
      <c r="BS143" s="148" t="s">
        <v>1619</v>
      </c>
      <c r="BT143" s="148"/>
      <c r="BU143" s="149" t="s">
        <v>125</v>
      </c>
      <c r="BV143" s="149" t="s">
        <v>126</v>
      </c>
      <c r="BW143" s="149" t="s">
        <v>1616</v>
      </c>
      <c r="BX143" s="149"/>
      <c r="BY143" s="149" t="s">
        <v>1620</v>
      </c>
      <c r="BZ143" s="149"/>
      <c r="CA143" s="149" t="s">
        <v>1621</v>
      </c>
      <c r="CB143" s="149"/>
      <c r="CD143" s="147" t="s">
        <v>1676</v>
      </c>
      <c r="CE143" s="158" t="s">
        <v>1617</v>
      </c>
      <c r="CG143" s="148" t="s">
        <v>1619</v>
      </c>
      <c r="CH143" s="148"/>
      <c r="CI143" s="149" t="s">
        <v>125</v>
      </c>
      <c r="CJ143" s="149" t="s">
        <v>126</v>
      </c>
      <c r="CK143" s="149" t="s">
        <v>1616</v>
      </c>
      <c r="CL143" s="149"/>
      <c r="CM143" s="149" t="s">
        <v>1620</v>
      </c>
      <c r="CN143" s="149"/>
      <c r="CO143" s="149" t="s">
        <v>1621</v>
      </c>
      <c r="CP143" s="149"/>
      <c r="CR143" s="147" t="s">
        <v>1676</v>
      </c>
      <c r="CS143" s="158" t="s">
        <v>1617</v>
      </c>
      <c r="CU143" s="148" t="s">
        <v>1619</v>
      </c>
      <c r="CV143" s="148"/>
      <c r="CW143" s="149" t="s">
        <v>125</v>
      </c>
      <c r="CX143" s="149" t="s">
        <v>126</v>
      </c>
      <c r="CY143" s="149" t="s">
        <v>1616</v>
      </c>
      <c r="CZ143" s="149"/>
      <c r="DA143" s="149" t="s">
        <v>1620</v>
      </c>
      <c r="DB143" s="149"/>
      <c r="DC143" s="149" t="s">
        <v>1621</v>
      </c>
      <c r="DD143" s="149"/>
      <c r="DF143" s="147" t="s">
        <v>1676</v>
      </c>
      <c r="DG143" s="158" t="s">
        <v>1617</v>
      </c>
      <c r="DI143" s="148" t="s">
        <v>1619</v>
      </c>
      <c r="DJ143" s="148"/>
      <c r="DK143" s="149" t="s">
        <v>125</v>
      </c>
      <c r="DL143" s="149" t="s">
        <v>126</v>
      </c>
      <c r="DM143" s="149" t="s">
        <v>1616</v>
      </c>
      <c r="DN143" s="149"/>
      <c r="DO143" s="149" t="s">
        <v>1620</v>
      </c>
      <c r="DP143" s="149"/>
      <c r="DQ143" s="149" t="s">
        <v>1621</v>
      </c>
      <c r="DR143" s="149"/>
      <c r="DT143" s="147" t="s">
        <v>1676</v>
      </c>
      <c r="DU143" s="158" t="s">
        <v>1617</v>
      </c>
    </row>
    <row r="144" spans="1:139" x14ac:dyDescent="0.2">
      <c r="A144" s="145" t="s">
        <v>1673</v>
      </c>
      <c r="B144" s="145" t="s">
        <v>1674</v>
      </c>
      <c r="C144" s="145" t="s">
        <v>1673</v>
      </c>
      <c r="D144" s="145" t="s">
        <v>1673</v>
      </c>
      <c r="E144" s="145" t="s">
        <v>1673</v>
      </c>
      <c r="F144" s="145" t="s">
        <v>1674</v>
      </c>
      <c r="G144" s="145" t="s">
        <v>1673</v>
      </c>
      <c r="H144" s="145" t="s">
        <v>1674</v>
      </c>
      <c r="I144" s="145" t="s">
        <v>1673</v>
      </c>
      <c r="J144" s="145" t="s">
        <v>1674</v>
      </c>
      <c r="L144" s="145" t="s">
        <v>1673</v>
      </c>
      <c r="M144" s="154" t="s">
        <v>1673</v>
      </c>
      <c r="O144" s="145" t="s">
        <v>1673</v>
      </c>
      <c r="P144" s="145" t="s">
        <v>1674</v>
      </c>
      <c r="Q144" s="145" t="s">
        <v>1673</v>
      </c>
      <c r="R144" s="145" t="s">
        <v>1673</v>
      </c>
      <c r="S144" s="145" t="s">
        <v>1673</v>
      </c>
      <c r="T144" s="145" t="s">
        <v>1674</v>
      </c>
      <c r="U144" s="145" t="s">
        <v>1673</v>
      </c>
      <c r="V144" s="145" t="s">
        <v>1674</v>
      </c>
      <c r="W144" s="145" t="s">
        <v>1673</v>
      </c>
      <c r="X144" s="145" t="s">
        <v>1674</v>
      </c>
      <c r="Z144" s="145" t="s">
        <v>1673</v>
      </c>
      <c r="AA144" s="154" t="s">
        <v>1673</v>
      </c>
      <c r="AC144" s="145" t="s">
        <v>1673</v>
      </c>
      <c r="AD144" s="145" t="s">
        <v>1674</v>
      </c>
      <c r="AE144" s="145" t="s">
        <v>1673</v>
      </c>
      <c r="AF144" s="145" t="s">
        <v>1673</v>
      </c>
      <c r="AG144" s="145" t="s">
        <v>1673</v>
      </c>
      <c r="AH144" s="145" t="s">
        <v>1674</v>
      </c>
      <c r="AI144" s="145" t="s">
        <v>1673</v>
      </c>
      <c r="AJ144" s="145" t="s">
        <v>1674</v>
      </c>
      <c r="AK144" s="145" t="s">
        <v>1673</v>
      </c>
      <c r="AL144" s="145" t="s">
        <v>1674</v>
      </c>
      <c r="AN144" s="145" t="s">
        <v>1673</v>
      </c>
      <c r="AO144" s="154" t="s">
        <v>1673</v>
      </c>
      <c r="AQ144" s="145" t="s">
        <v>1673</v>
      </c>
      <c r="AR144" s="145" t="s">
        <v>1674</v>
      </c>
      <c r="AS144" s="145" t="s">
        <v>1673</v>
      </c>
      <c r="AT144" s="145" t="s">
        <v>1673</v>
      </c>
      <c r="AU144" s="145" t="s">
        <v>1673</v>
      </c>
      <c r="AV144" s="145" t="s">
        <v>1674</v>
      </c>
      <c r="AW144" s="145" t="s">
        <v>1673</v>
      </c>
      <c r="AX144" s="145" t="s">
        <v>1674</v>
      </c>
      <c r="AY144" s="145" t="s">
        <v>1673</v>
      </c>
      <c r="AZ144" s="145" t="s">
        <v>1674</v>
      </c>
      <c r="BB144" s="145" t="s">
        <v>1673</v>
      </c>
      <c r="BC144" s="154" t="s">
        <v>1673</v>
      </c>
      <c r="BE144" s="145" t="s">
        <v>1673</v>
      </c>
      <c r="BF144" s="145" t="s">
        <v>1674</v>
      </c>
      <c r="BG144" s="145" t="s">
        <v>1673</v>
      </c>
      <c r="BH144" s="145" t="s">
        <v>1673</v>
      </c>
      <c r="BI144" s="145" t="s">
        <v>1673</v>
      </c>
      <c r="BJ144" s="145" t="s">
        <v>1674</v>
      </c>
      <c r="BK144" s="145" t="s">
        <v>1673</v>
      </c>
      <c r="BL144" s="145" t="s">
        <v>1674</v>
      </c>
      <c r="BM144" s="145" t="s">
        <v>1673</v>
      </c>
      <c r="BN144" s="145" t="s">
        <v>1674</v>
      </c>
      <c r="BP144" s="145" t="s">
        <v>1673</v>
      </c>
      <c r="BQ144" s="154" t="s">
        <v>1673</v>
      </c>
      <c r="BS144" s="145" t="s">
        <v>1673</v>
      </c>
      <c r="BT144" s="145" t="s">
        <v>1674</v>
      </c>
      <c r="BU144" s="145" t="s">
        <v>1673</v>
      </c>
      <c r="BV144" s="145" t="s">
        <v>1673</v>
      </c>
      <c r="BW144" s="145" t="s">
        <v>1673</v>
      </c>
      <c r="BX144" s="145" t="s">
        <v>1674</v>
      </c>
      <c r="BY144" s="145" t="s">
        <v>1673</v>
      </c>
      <c r="BZ144" s="145" t="s">
        <v>1674</v>
      </c>
      <c r="CA144" s="145" t="s">
        <v>1673</v>
      </c>
      <c r="CB144" s="145" t="s">
        <v>1674</v>
      </c>
      <c r="CD144" s="145" t="s">
        <v>1673</v>
      </c>
      <c r="CE144" s="154" t="s">
        <v>1673</v>
      </c>
      <c r="CG144" s="145" t="s">
        <v>1673</v>
      </c>
      <c r="CH144" s="145" t="s">
        <v>1674</v>
      </c>
      <c r="CI144" s="145" t="s">
        <v>1673</v>
      </c>
      <c r="CJ144" s="145" t="s">
        <v>1673</v>
      </c>
      <c r="CK144" s="145" t="s">
        <v>1673</v>
      </c>
      <c r="CL144" s="145" t="s">
        <v>1674</v>
      </c>
      <c r="CM144" s="145" t="s">
        <v>1673</v>
      </c>
      <c r="CN144" s="145" t="s">
        <v>1674</v>
      </c>
      <c r="CO144" s="145" t="s">
        <v>1673</v>
      </c>
      <c r="CP144" s="145" t="s">
        <v>1674</v>
      </c>
      <c r="CR144" s="145" t="s">
        <v>1673</v>
      </c>
      <c r="CS144" s="154" t="s">
        <v>1673</v>
      </c>
      <c r="CU144" s="145" t="s">
        <v>1673</v>
      </c>
      <c r="CV144" s="145" t="s">
        <v>1674</v>
      </c>
      <c r="CW144" s="145" t="s">
        <v>1673</v>
      </c>
      <c r="CX144" s="145" t="s">
        <v>1673</v>
      </c>
      <c r="CY144" s="145" t="s">
        <v>1673</v>
      </c>
      <c r="CZ144" s="145" t="s">
        <v>1674</v>
      </c>
      <c r="DA144" s="145" t="s">
        <v>1673</v>
      </c>
      <c r="DB144" s="145" t="s">
        <v>1674</v>
      </c>
      <c r="DC144" s="145" t="s">
        <v>1673</v>
      </c>
      <c r="DD144" s="145" t="s">
        <v>1674</v>
      </c>
      <c r="DF144" s="145" t="s">
        <v>1673</v>
      </c>
      <c r="DG144" s="154" t="s">
        <v>1673</v>
      </c>
      <c r="DI144" s="145" t="s">
        <v>1673</v>
      </c>
      <c r="DJ144" s="145" t="s">
        <v>1674</v>
      </c>
      <c r="DK144" s="145" t="s">
        <v>1673</v>
      </c>
      <c r="DL144" s="145" t="s">
        <v>1673</v>
      </c>
      <c r="DM144" s="145" t="s">
        <v>1673</v>
      </c>
      <c r="DN144" s="145" t="s">
        <v>1674</v>
      </c>
      <c r="DO144" s="145" t="s">
        <v>1673</v>
      </c>
      <c r="DP144" s="145" t="s">
        <v>1674</v>
      </c>
      <c r="DQ144" s="145" t="s">
        <v>1673</v>
      </c>
      <c r="DR144" s="145" t="s">
        <v>1674</v>
      </c>
      <c r="DT144" s="145" t="s">
        <v>1673</v>
      </c>
      <c r="DU144" s="154" t="s">
        <v>1673</v>
      </c>
    </row>
    <row r="145" spans="1:125" x14ac:dyDescent="0.2">
      <c r="A145" s="150">
        <v>10</v>
      </c>
      <c r="B145" s="151" t="s">
        <v>162</v>
      </c>
      <c r="C145" s="152">
        <v>70.739999999999995</v>
      </c>
      <c r="D145" s="152">
        <v>274</v>
      </c>
      <c r="E145" s="151">
        <v>217</v>
      </c>
      <c r="F145" s="151" t="s">
        <v>1718</v>
      </c>
      <c r="G145" s="151">
        <v>121</v>
      </c>
      <c r="H145" s="151" t="s">
        <v>1718</v>
      </c>
      <c r="I145" s="151">
        <v>87</v>
      </c>
      <c r="J145" s="151" t="s">
        <v>1718</v>
      </c>
      <c r="L145" s="155">
        <f>IF((B145="GeV"),A145*1000,IF((B145="keV"),A145*0.001,A145))</f>
        <v>0.01</v>
      </c>
      <c r="M145" s="156">
        <f>IF((F145="m"),E145*1000000,IF((F145="mm"),E145*1000,IF((F145="A"),E145*0.0001,E145)))</f>
        <v>2.1700000000000001E-2</v>
      </c>
      <c r="O145" s="150">
        <v>10</v>
      </c>
      <c r="P145" s="151" t="s">
        <v>162</v>
      </c>
      <c r="Q145" s="152">
        <v>77.3</v>
      </c>
      <c r="R145" s="152">
        <v>229.1</v>
      </c>
      <c r="S145" s="151">
        <v>233</v>
      </c>
      <c r="T145" s="151" t="s">
        <v>1718</v>
      </c>
      <c r="U145" s="151">
        <v>135</v>
      </c>
      <c r="V145" s="151" t="s">
        <v>1718</v>
      </c>
      <c r="W145" s="151">
        <v>97</v>
      </c>
      <c r="X145" s="151" t="s">
        <v>1718</v>
      </c>
      <c r="Z145" s="155">
        <f>IF((P145="GeV"),O145*1000,IF((P145="keV"),O145*0.001,O145))</f>
        <v>0.01</v>
      </c>
      <c r="AA145" s="156">
        <f>IF((T145="m"),S145*1000000,IF((T145="mm"),S145*1000,IF((T145="A"),S145*0.0001,S145)))</f>
        <v>2.3300000000000001E-2</v>
      </c>
      <c r="AC145" s="150">
        <v>10</v>
      </c>
      <c r="AD145" s="151" t="s">
        <v>162</v>
      </c>
      <c r="AE145" s="152">
        <v>53.92</v>
      </c>
      <c r="AF145" s="152">
        <v>10.29</v>
      </c>
      <c r="AG145" s="151">
        <v>1038</v>
      </c>
      <c r="AH145" s="151" t="s">
        <v>1718</v>
      </c>
      <c r="AI145" s="151">
        <v>603</v>
      </c>
      <c r="AJ145" s="151" t="s">
        <v>1718</v>
      </c>
      <c r="AK145" s="151">
        <v>500</v>
      </c>
      <c r="AL145" s="151" t="s">
        <v>1718</v>
      </c>
      <c r="AN145" s="155">
        <f>IF((AD145="GeV"),AC145*1000,IF((AD145="keV"),AC145*0.001,AC145))</f>
        <v>0.01</v>
      </c>
      <c r="AO145" s="156">
        <f>IF((AH145="m"),AG145*1000000,IF((AH145="mm"),AG145*1000,IF((AH145="A"),AG145*0.0001,AG145)))</f>
        <v>0.1038</v>
      </c>
      <c r="AQ145" s="150">
        <v>10</v>
      </c>
      <c r="AR145" s="151" t="s">
        <v>162</v>
      </c>
      <c r="AS145" s="152">
        <v>72.67</v>
      </c>
      <c r="AT145" s="152">
        <v>0.98</v>
      </c>
      <c r="AU145" s="151">
        <v>1342</v>
      </c>
      <c r="AV145" s="151" t="s">
        <v>1718</v>
      </c>
      <c r="AW145" s="151">
        <v>519</v>
      </c>
      <c r="AX145" s="151" t="s">
        <v>1718</v>
      </c>
      <c r="AY145" s="151">
        <v>488</v>
      </c>
      <c r="AZ145" s="151" t="s">
        <v>1718</v>
      </c>
      <c r="BB145" s="155">
        <f>IF((AR145="GeV"),AQ145*1000,IF((AR145="keV"),AQ145*0.001,AQ145))</f>
        <v>0.01</v>
      </c>
      <c r="BC145" s="156">
        <f>IF((AV145="m"),AU145*1000000,IF((AV145="mm"),AU145*1000,IF((AV145="A"),AU145*0.0001,AU145)))</f>
        <v>0.13420000000000001</v>
      </c>
      <c r="BE145" s="150">
        <v>10</v>
      </c>
      <c r="BF145" s="151" t="s">
        <v>162</v>
      </c>
      <c r="BG145" s="152">
        <v>96.33</v>
      </c>
      <c r="BH145" s="152">
        <v>103.7</v>
      </c>
      <c r="BI145" s="151">
        <v>341</v>
      </c>
      <c r="BJ145" s="151" t="s">
        <v>1718</v>
      </c>
      <c r="BK145" s="151">
        <v>200</v>
      </c>
      <c r="BL145" s="151" t="s">
        <v>1718</v>
      </c>
      <c r="BM145" s="151">
        <v>148</v>
      </c>
      <c r="BN145" s="151" t="s">
        <v>1718</v>
      </c>
      <c r="BP145" s="155">
        <f>IF((BF145="GeV"),BE145*1000,IF((BF145="keV"),BE145*0.001,BE145))</f>
        <v>0.01</v>
      </c>
      <c r="BQ145" s="156">
        <f>IF((BJ145="m"),BI145*1000000,IF((BJ145="mm"),BI145*1000,IF((BJ145="A"),BI145*0.0001,BI145)))</f>
        <v>3.4099999999999998E-2</v>
      </c>
      <c r="BS145" s="150">
        <v>10</v>
      </c>
      <c r="BT145" s="151" t="s">
        <v>162</v>
      </c>
      <c r="BU145" s="152">
        <v>84.05</v>
      </c>
      <c r="BV145" s="152">
        <v>207.5</v>
      </c>
      <c r="BW145" s="151">
        <v>249</v>
      </c>
      <c r="BX145" s="151" t="s">
        <v>1718</v>
      </c>
      <c r="BY145" s="151">
        <v>141</v>
      </c>
      <c r="BZ145" s="151" t="s">
        <v>1718</v>
      </c>
      <c r="CA145" s="151">
        <v>101</v>
      </c>
      <c r="CB145" s="151" t="s">
        <v>1718</v>
      </c>
      <c r="CD145" s="155">
        <f>IF((BT145="GeV"),BS145*1000,IF((BT145="keV"),BS145*0.001,BS145))</f>
        <v>0.01</v>
      </c>
      <c r="CE145" s="156">
        <f>IF((BX145="m"),BW145*1000000,IF((BX145="mm"),BW145*1000,IF((BX145="A"),BW145*0.0001,BW145)))</f>
        <v>2.4900000000000002E-2</v>
      </c>
      <c r="CG145" s="150">
        <v>10</v>
      </c>
      <c r="CH145" s="151" t="s">
        <v>162</v>
      </c>
      <c r="CI145" s="152">
        <v>71.59</v>
      </c>
      <c r="CJ145" s="152">
        <v>251.4</v>
      </c>
      <c r="CK145" s="151">
        <v>232</v>
      </c>
      <c r="CL145" s="151" t="s">
        <v>1718</v>
      </c>
      <c r="CM145" s="151">
        <v>127</v>
      </c>
      <c r="CN145" s="151" t="s">
        <v>1718</v>
      </c>
      <c r="CO145" s="151">
        <v>91</v>
      </c>
      <c r="CP145" s="151" t="s">
        <v>1718</v>
      </c>
      <c r="CR145" s="155">
        <f>IF((CH145="GeV"),CG145*1000,IF((CH145="keV"),CG145*0.001,CG145))</f>
        <v>0.01</v>
      </c>
      <c r="CS145" s="156">
        <f>IF((CL145="m"),CK145*1000000,IF((CL145="mm"),CK145*1000,IF((CL145="A"),CK145*0.0001,CK145)))</f>
        <v>2.3200000000000002E-2</v>
      </c>
      <c r="CU145" s="151">
        <v>10</v>
      </c>
      <c r="CV145" s="152" t="s">
        <v>1557</v>
      </c>
      <c r="CW145" s="152">
        <v>100.4</v>
      </c>
      <c r="CX145" s="152">
        <v>568.29999999999995</v>
      </c>
      <c r="CY145" s="151">
        <v>146</v>
      </c>
      <c r="CZ145" s="151" t="s">
        <v>1718</v>
      </c>
      <c r="DA145" s="151">
        <v>67</v>
      </c>
      <c r="DB145" s="151" t="s">
        <v>1718</v>
      </c>
      <c r="DC145" s="151">
        <v>49</v>
      </c>
      <c r="DD145" t="s">
        <v>1718</v>
      </c>
      <c r="DF145" s="155">
        <f>IF((CV145="GeV"),CU145*1000,IF((CV145="keV"),CU145*0.001,CU145))</f>
        <v>0.01</v>
      </c>
      <c r="DG145" s="156">
        <f>IF((CZ145="m"),CY145*1000000,IF((CZ145="mm"),CY145*1000,IF((CZ145="A"),CY145*0.0001,CY145)))</f>
        <v>1.46E-2</v>
      </c>
      <c r="DI145" s="151">
        <v>10</v>
      </c>
      <c r="DJ145" s="152" t="s">
        <v>162</v>
      </c>
      <c r="DK145" s="152">
        <v>110.9</v>
      </c>
      <c r="DL145" s="152">
        <v>550.79999999999995</v>
      </c>
      <c r="DM145" s="151">
        <v>149</v>
      </c>
      <c r="DN145" s="151" t="s">
        <v>1718</v>
      </c>
      <c r="DO145" s="151">
        <v>67</v>
      </c>
      <c r="DP145" s="151" t="s">
        <v>1718</v>
      </c>
      <c r="DQ145" s="151">
        <v>49</v>
      </c>
      <c r="DR145" t="s">
        <v>1718</v>
      </c>
      <c r="DT145" s="155">
        <f>IF((DJ145="GeV"),DI145*1000,IF((DJ145="keV"),DI145*0.001,DI145))</f>
        <v>0.01</v>
      </c>
      <c r="DU145" s="156">
        <f>IF((DN145="m"),DM145*1000000,IF((DN145="mm"),DM145*1000,IF((DN145="A"),DM145*0.0001,DM145)))</f>
        <v>1.49E-2</v>
      </c>
    </row>
    <row r="146" spans="1:125" x14ac:dyDescent="0.2">
      <c r="A146" s="150">
        <v>11</v>
      </c>
      <c r="B146" s="151" t="s">
        <v>162</v>
      </c>
      <c r="C146" s="152">
        <v>74.2</v>
      </c>
      <c r="D146" s="152">
        <v>273.7</v>
      </c>
      <c r="E146" s="151">
        <v>236</v>
      </c>
      <c r="F146" s="151" t="s">
        <v>1718</v>
      </c>
      <c r="G146" s="151">
        <v>130</v>
      </c>
      <c r="H146" s="151" t="s">
        <v>1718</v>
      </c>
      <c r="I146" s="151">
        <v>93</v>
      </c>
      <c r="J146" s="151" t="s">
        <v>1718</v>
      </c>
      <c r="L146" s="155">
        <f t="shared" ref="L146:L209" si="42">IF((B146="GeV"),A146*1000,IF((B146="keV"),A146*0.001,A146))</f>
        <v>1.0999999999999999E-2</v>
      </c>
      <c r="M146" s="156">
        <f t="shared" ref="M146:M209" si="43">IF((F146="m"),E146*1000000,IF((F146="mm"),E146*1000,IF((F146="A"),E146*0.0001,E146)))</f>
        <v>2.3599999999999999E-2</v>
      </c>
      <c r="O146" s="150">
        <v>11</v>
      </c>
      <c r="P146" s="151" t="s">
        <v>162</v>
      </c>
      <c r="Q146" s="152">
        <v>81.08</v>
      </c>
      <c r="R146" s="152">
        <v>228.2</v>
      </c>
      <c r="S146" s="151">
        <v>254</v>
      </c>
      <c r="T146" s="151" t="s">
        <v>1718</v>
      </c>
      <c r="U146" s="151">
        <v>145</v>
      </c>
      <c r="V146" s="151" t="s">
        <v>1718</v>
      </c>
      <c r="W146" s="151">
        <v>104</v>
      </c>
      <c r="X146" s="151" t="s">
        <v>1718</v>
      </c>
      <c r="Z146" s="155">
        <f t="shared" ref="Z146:Z209" si="44">IF((P146="GeV"),O146*1000,IF((P146="keV"),O146*0.001,O146))</f>
        <v>1.0999999999999999E-2</v>
      </c>
      <c r="AA146" s="156">
        <f t="shared" ref="AA146:AA209" si="45">IF((T146="m"),S146*1000000,IF((T146="mm"),S146*1000,IF((T146="A"),S146*0.0001,S146)))</f>
        <v>2.5400000000000002E-2</v>
      </c>
      <c r="AC146" s="150">
        <v>11</v>
      </c>
      <c r="AD146" s="151" t="s">
        <v>162</v>
      </c>
      <c r="AE146" s="152">
        <v>56.49</v>
      </c>
      <c r="AF146" s="152">
        <v>9.8550000000000004</v>
      </c>
      <c r="AG146" s="151">
        <v>1138</v>
      </c>
      <c r="AH146" s="151" t="s">
        <v>1718</v>
      </c>
      <c r="AI146" s="151">
        <v>639</v>
      </c>
      <c r="AJ146" s="151" t="s">
        <v>1718</v>
      </c>
      <c r="AK146" s="151">
        <v>534</v>
      </c>
      <c r="AL146" s="151" t="s">
        <v>1718</v>
      </c>
      <c r="AN146" s="155">
        <f t="shared" ref="AN146:AN209" si="46">IF((AD146="GeV"),AC146*1000,IF((AD146="keV"),AC146*0.001,AC146))</f>
        <v>1.0999999999999999E-2</v>
      </c>
      <c r="AO146" s="156">
        <f t="shared" ref="AO146:AO209" si="47">IF((AH146="m"),AG146*1000000,IF((AH146="mm"),AG146*1000,IF((AH146="A"),AG146*0.0001,AG146)))</f>
        <v>0.11380000000000001</v>
      </c>
      <c r="AQ146" s="150">
        <v>11</v>
      </c>
      <c r="AR146" s="151" t="s">
        <v>162</v>
      </c>
      <c r="AS146" s="152">
        <v>76.06</v>
      </c>
      <c r="AT146" s="152">
        <v>0.92720000000000002</v>
      </c>
      <c r="AU146" s="151">
        <v>1452</v>
      </c>
      <c r="AV146" s="151" t="s">
        <v>1718</v>
      </c>
      <c r="AW146" s="151">
        <v>538</v>
      </c>
      <c r="AX146" s="151" t="s">
        <v>1718</v>
      </c>
      <c r="AY146" s="151">
        <v>511</v>
      </c>
      <c r="AZ146" s="151" t="s">
        <v>1718</v>
      </c>
      <c r="BB146" s="155">
        <f t="shared" ref="BB146:BB209" si="48">IF((AR146="GeV"),AQ146*1000,IF((AR146="keV"),AQ146*0.001,AQ146))</f>
        <v>1.0999999999999999E-2</v>
      </c>
      <c r="BC146" s="156">
        <f t="shared" ref="BC146:BC209" si="49">IF((AV146="m"),AU146*1000000,IF((AV146="mm"),AU146*1000,IF((AV146="A"),AU146*0.0001,AU146)))</f>
        <v>0.1452</v>
      </c>
      <c r="BE146" s="150">
        <v>11</v>
      </c>
      <c r="BF146" s="151" t="s">
        <v>162</v>
      </c>
      <c r="BG146" s="152">
        <v>101</v>
      </c>
      <c r="BH146" s="152">
        <v>102</v>
      </c>
      <c r="BI146" s="151">
        <v>373</v>
      </c>
      <c r="BJ146" s="151" t="s">
        <v>1718</v>
      </c>
      <c r="BK146" s="151">
        <v>214</v>
      </c>
      <c r="BL146" s="151" t="s">
        <v>1718</v>
      </c>
      <c r="BM146" s="151">
        <v>160</v>
      </c>
      <c r="BN146" s="151" t="s">
        <v>1718</v>
      </c>
      <c r="BP146" s="155">
        <f t="shared" ref="BP146:BP209" si="50">IF((BF146="GeV"),BE146*1000,IF((BF146="keV"),BE146*0.001,BE146))</f>
        <v>1.0999999999999999E-2</v>
      </c>
      <c r="BQ146" s="156">
        <f t="shared" ref="BQ146:BQ209" si="51">IF((BJ146="m"),BI146*1000000,IF((BJ146="mm"),BI146*1000,IF((BJ146="A"),BI146*0.0001,BI146)))</f>
        <v>3.73E-2</v>
      </c>
      <c r="BS146" s="150">
        <v>11</v>
      </c>
      <c r="BT146" s="151" t="s">
        <v>162</v>
      </c>
      <c r="BU146" s="152">
        <v>88.16</v>
      </c>
      <c r="BV146" s="152">
        <v>206.2</v>
      </c>
      <c r="BW146" s="151">
        <v>271</v>
      </c>
      <c r="BX146" s="151" t="s">
        <v>1718</v>
      </c>
      <c r="BY146" s="151">
        <v>151</v>
      </c>
      <c r="BZ146" s="151" t="s">
        <v>1718</v>
      </c>
      <c r="CA146" s="151">
        <v>109</v>
      </c>
      <c r="CB146" s="151" t="s">
        <v>1718</v>
      </c>
      <c r="CD146" s="155">
        <f t="shared" ref="CD146:CD209" si="52">IF((BT146="GeV"),BS146*1000,IF((BT146="keV"),BS146*0.001,BS146))</f>
        <v>1.0999999999999999E-2</v>
      </c>
      <c r="CE146" s="156">
        <f t="shared" ref="CE146:CE209" si="53">IF((BX146="m"),BW146*1000000,IF((BX146="mm"),BW146*1000,IF((BX146="A"),BW146*0.0001,BW146)))</f>
        <v>2.7100000000000003E-2</v>
      </c>
      <c r="CG146" s="150">
        <v>11</v>
      </c>
      <c r="CH146" s="151" t="s">
        <v>162</v>
      </c>
      <c r="CI146" s="152">
        <v>75.09</v>
      </c>
      <c r="CJ146" s="152">
        <v>250.6</v>
      </c>
      <c r="CK146" s="151">
        <v>252</v>
      </c>
      <c r="CL146" s="151" t="s">
        <v>1718</v>
      </c>
      <c r="CM146" s="151">
        <v>137</v>
      </c>
      <c r="CN146" s="151" t="s">
        <v>1718</v>
      </c>
      <c r="CO146" s="151">
        <v>98</v>
      </c>
      <c r="CP146" s="151" t="s">
        <v>1718</v>
      </c>
      <c r="CR146" s="155">
        <f t="shared" ref="CR146:CR209" si="54">IF((CH146="GeV"),CG146*1000,IF((CH146="keV"),CG146*0.001,CG146))</f>
        <v>1.0999999999999999E-2</v>
      </c>
      <c r="CS146" s="156">
        <f t="shared" ref="CS146:CS209" si="55">IF((CL146="m"),CK146*1000000,IF((CL146="mm"),CK146*1000,IF((CL146="A"),CK146*0.0001,CK146)))</f>
        <v>2.52E-2</v>
      </c>
      <c r="CU146" s="151">
        <v>11</v>
      </c>
      <c r="CV146" s="152" t="s">
        <v>162</v>
      </c>
      <c r="CW146" s="152">
        <v>105.3</v>
      </c>
      <c r="CX146" s="152">
        <v>575.1</v>
      </c>
      <c r="CY146" s="151">
        <v>157</v>
      </c>
      <c r="CZ146" s="151" t="s">
        <v>1718</v>
      </c>
      <c r="DA146" s="151">
        <v>71</v>
      </c>
      <c r="DB146" s="151" t="s">
        <v>1718</v>
      </c>
      <c r="DC146" s="151">
        <v>52</v>
      </c>
      <c r="DD146" t="s">
        <v>1718</v>
      </c>
      <c r="DF146" s="155">
        <f t="shared" ref="DF146:DF209" si="56">IF((CV146="GeV"),CU146*1000,IF((CV146="keV"),CU146*0.001,CU146))</f>
        <v>1.0999999999999999E-2</v>
      </c>
      <c r="DG146" s="156">
        <f t="shared" ref="DG146:DG209" si="57">IF((CZ146="m"),CY146*1000000,IF((CZ146="mm"),CY146*1000,IF((CZ146="A"),CY146*0.0001,CY146)))</f>
        <v>1.5700000000000002E-2</v>
      </c>
      <c r="DI146" s="151">
        <v>11</v>
      </c>
      <c r="DJ146" s="152" t="s">
        <v>162</v>
      </c>
      <c r="DK146" s="152">
        <v>116.3</v>
      </c>
      <c r="DL146" s="152">
        <v>557.1</v>
      </c>
      <c r="DM146" s="151">
        <v>160</v>
      </c>
      <c r="DN146" s="151" t="s">
        <v>1718</v>
      </c>
      <c r="DO146" s="151">
        <v>71</v>
      </c>
      <c r="DP146" s="151" t="s">
        <v>1718</v>
      </c>
      <c r="DQ146" s="151">
        <v>53</v>
      </c>
      <c r="DR146" t="s">
        <v>1718</v>
      </c>
      <c r="DT146" s="155">
        <f t="shared" ref="DT146:DT209" si="58">IF((DJ146="GeV"),DI146*1000,IF((DJ146="keV"),DI146*0.001,DI146))</f>
        <v>1.0999999999999999E-2</v>
      </c>
      <c r="DU146" s="156">
        <f t="shared" ref="DU146:DU209" si="59">IF((DN146="m"),DM146*1000000,IF((DN146="mm"),DM146*1000,IF((DN146="A"),DM146*0.0001,DM146)))</f>
        <v>1.6E-2</v>
      </c>
    </row>
    <row r="147" spans="1:125" x14ac:dyDescent="0.2">
      <c r="A147" s="150">
        <v>12</v>
      </c>
      <c r="B147" s="151" t="s">
        <v>162</v>
      </c>
      <c r="C147" s="152">
        <v>77.5</v>
      </c>
      <c r="D147" s="152">
        <v>273</v>
      </c>
      <c r="E147" s="151">
        <v>255</v>
      </c>
      <c r="F147" s="151" t="s">
        <v>1718</v>
      </c>
      <c r="G147" s="151">
        <v>139</v>
      </c>
      <c r="H147" s="151" t="s">
        <v>1718</v>
      </c>
      <c r="I147" s="151">
        <v>99</v>
      </c>
      <c r="J147" s="151" t="s">
        <v>1718</v>
      </c>
      <c r="L147" s="155">
        <f t="shared" si="42"/>
        <v>1.2E-2</v>
      </c>
      <c r="M147" s="156">
        <f t="shared" si="43"/>
        <v>2.5500000000000002E-2</v>
      </c>
      <c r="O147" s="150">
        <v>12</v>
      </c>
      <c r="P147" s="151" t="s">
        <v>162</v>
      </c>
      <c r="Q147" s="152">
        <v>84.68</v>
      </c>
      <c r="R147" s="152">
        <v>227</v>
      </c>
      <c r="S147" s="151">
        <v>275</v>
      </c>
      <c r="T147" s="151" t="s">
        <v>1718</v>
      </c>
      <c r="U147" s="151">
        <v>156</v>
      </c>
      <c r="V147" s="151" t="s">
        <v>1718</v>
      </c>
      <c r="W147" s="151">
        <v>111</v>
      </c>
      <c r="X147" s="151" t="s">
        <v>1718</v>
      </c>
      <c r="Z147" s="155">
        <f t="shared" si="44"/>
        <v>1.2E-2</v>
      </c>
      <c r="AA147" s="156">
        <f t="shared" si="45"/>
        <v>2.75E-2</v>
      </c>
      <c r="AC147" s="150">
        <v>12</v>
      </c>
      <c r="AD147" s="151" t="s">
        <v>162</v>
      </c>
      <c r="AE147" s="152">
        <v>58.95</v>
      </c>
      <c r="AF147" s="152">
        <v>9.4610000000000003</v>
      </c>
      <c r="AG147" s="151">
        <v>1237</v>
      </c>
      <c r="AH147" s="151" t="s">
        <v>1718</v>
      </c>
      <c r="AI147" s="151">
        <v>673</v>
      </c>
      <c r="AJ147" s="151" t="s">
        <v>1718</v>
      </c>
      <c r="AK147" s="151">
        <v>567</v>
      </c>
      <c r="AL147" s="151" t="s">
        <v>1718</v>
      </c>
      <c r="AN147" s="155">
        <f t="shared" si="46"/>
        <v>1.2E-2</v>
      </c>
      <c r="AO147" s="156">
        <f t="shared" si="47"/>
        <v>0.1237</v>
      </c>
      <c r="AQ147" s="150">
        <v>12</v>
      </c>
      <c r="AR147" s="151" t="s">
        <v>162</v>
      </c>
      <c r="AS147" s="152">
        <v>79.36</v>
      </c>
      <c r="AT147" s="152">
        <v>0.88060000000000005</v>
      </c>
      <c r="AU147" s="151">
        <v>1558</v>
      </c>
      <c r="AV147" s="151" t="s">
        <v>1718</v>
      </c>
      <c r="AW147" s="151">
        <v>554</v>
      </c>
      <c r="AX147" s="151" t="s">
        <v>1718</v>
      </c>
      <c r="AY147" s="151">
        <v>532</v>
      </c>
      <c r="AZ147" s="151" t="s">
        <v>1718</v>
      </c>
      <c r="BB147" s="155">
        <f t="shared" si="48"/>
        <v>1.2E-2</v>
      </c>
      <c r="BC147" s="156">
        <f t="shared" si="49"/>
        <v>0.15579999999999999</v>
      </c>
      <c r="BE147" s="150">
        <v>12</v>
      </c>
      <c r="BF147" s="151" t="s">
        <v>162</v>
      </c>
      <c r="BG147" s="152">
        <v>105.5</v>
      </c>
      <c r="BH147" s="152">
        <v>100.3</v>
      </c>
      <c r="BI147" s="151">
        <v>404</v>
      </c>
      <c r="BJ147" s="151" t="s">
        <v>1718</v>
      </c>
      <c r="BK147" s="151">
        <v>229</v>
      </c>
      <c r="BL147" s="151" t="s">
        <v>1718</v>
      </c>
      <c r="BM147" s="151">
        <v>171</v>
      </c>
      <c r="BN147" s="151" t="s">
        <v>1718</v>
      </c>
      <c r="BP147" s="155">
        <f t="shared" si="50"/>
        <v>1.2E-2</v>
      </c>
      <c r="BQ147" s="156">
        <f t="shared" si="51"/>
        <v>4.0400000000000005E-2</v>
      </c>
      <c r="BS147" s="150">
        <v>12</v>
      </c>
      <c r="BT147" s="151" t="s">
        <v>162</v>
      </c>
      <c r="BU147" s="152">
        <v>92.08</v>
      </c>
      <c r="BV147" s="152">
        <v>204.8</v>
      </c>
      <c r="BW147" s="151">
        <v>293</v>
      </c>
      <c r="BX147" s="151" t="s">
        <v>1718</v>
      </c>
      <c r="BY147" s="151">
        <v>162</v>
      </c>
      <c r="BZ147" s="151" t="s">
        <v>1718</v>
      </c>
      <c r="CA147" s="151">
        <v>116</v>
      </c>
      <c r="CB147" s="151" t="s">
        <v>1718</v>
      </c>
      <c r="CD147" s="155">
        <f t="shared" si="52"/>
        <v>1.2E-2</v>
      </c>
      <c r="CE147" s="156">
        <f t="shared" si="53"/>
        <v>2.9300000000000003E-2</v>
      </c>
      <c r="CG147" s="150">
        <v>12</v>
      </c>
      <c r="CH147" s="151" t="s">
        <v>162</v>
      </c>
      <c r="CI147" s="152">
        <v>78.42</v>
      </c>
      <c r="CJ147" s="152">
        <v>249.5</v>
      </c>
      <c r="CK147" s="151">
        <v>273</v>
      </c>
      <c r="CL147" s="151" t="s">
        <v>1718</v>
      </c>
      <c r="CM147" s="151">
        <v>147</v>
      </c>
      <c r="CN147" s="151" t="s">
        <v>1718</v>
      </c>
      <c r="CO147" s="151">
        <v>104</v>
      </c>
      <c r="CP147" s="151" t="s">
        <v>1718</v>
      </c>
      <c r="CR147" s="155">
        <f t="shared" si="54"/>
        <v>1.2E-2</v>
      </c>
      <c r="CS147" s="156">
        <f t="shared" si="55"/>
        <v>2.7300000000000001E-2</v>
      </c>
      <c r="CU147" s="151">
        <v>12</v>
      </c>
      <c r="CV147" s="152" t="s">
        <v>162</v>
      </c>
      <c r="CW147" s="152">
        <v>110</v>
      </c>
      <c r="CX147" s="152">
        <v>580.79999999999995</v>
      </c>
      <c r="CY147" s="151">
        <v>167</v>
      </c>
      <c r="CZ147" s="151" t="s">
        <v>1718</v>
      </c>
      <c r="DA147" s="151">
        <v>75</v>
      </c>
      <c r="DB147" s="151" t="s">
        <v>1718</v>
      </c>
      <c r="DC147" s="151">
        <v>56</v>
      </c>
      <c r="DD147" t="s">
        <v>1718</v>
      </c>
      <c r="DF147" s="155">
        <f t="shared" si="56"/>
        <v>1.2E-2</v>
      </c>
      <c r="DG147" s="156">
        <f t="shared" si="57"/>
        <v>1.67E-2</v>
      </c>
      <c r="DI147" s="151">
        <v>12</v>
      </c>
      <c r="DJ147" s="152" t="s">
        <v>162</v>
      </c>
      <c r="DK147" s="152">
        <v>121.5</v>
      </c>
      <c r="DL147" s="152">
        <v>562.20000000000005</v>
      </c>
      <c r="DM147" s="151">
        <v>171</v>
      </c>
      <c r="DN147" s="151" t="s">
        <v>1718</v>
      </c>
      <c r="DO147" s="151">
        <v>75</v>
      </c>
      <c r="DP147" s="151" t="s">
        <v>1718</v>
      </c>
      <c r="DQ147" s="151">
        <v>56</v>
      </c>
      <c r="DR147" t="s">
        <v>1718</v>
      </c>
      <c r="DT147" s="155">
        <f t="shared" si="58"/>
        <v>1.2E-2</v>
      </c>
      <c r="DU147" s="156">
        <f t="shared" si="59"/>
        <v>1.7100000000000001E-2</v>
      </c>
    </row>
    <row r="148" spans="1:125" x14ac:dyDescent="0.2">
      <c r="A148" s="150">
        <v>13</v>
      </c>
      <c r="B148" s="151" t="s">
        <v>162</v>
      </c>
      <c r="C148" s="152">
        <v>80.66</v>
      </c>
      <c r="D148" s="152">
        <v>272</v>
      </c>
      <c r="E148" s="151">
        <v>273</v>
      </c>
      <c r="F148" s="151" t="s">
        <v>1718</v>
      </c>
      <c r="G148" s="151">
        <v>148</v>
      </c>
      <c r="H148" s="151" t="s">
        <v>1718</v>
      </c>
      <c r="I148" s="151">
        <v>105</v>
      </c>
      <c r="J148" s="151" t="s">
        <v>1718</v>
      </c>
      <c r="L148" s="155">
        <f t="shared" si="42"/>
        <v>1.3000000000000001E-2</v>
      </c>
      <c r="M148" s="156">
        <f t="shared" si="43"/>
        <v>2.7300000000000001E-2</v>
      </c>
      <c r="O148" s="150">
        <v>13</v>
      </c>
      <c r="P148" s="151" t="s">
        <v>162</v>
      </c>
      <c r="Q148" s="152">
        <v>88.14</v>
      </c>
      <c r="R148" s="152">
        <v>225.7</v>
      </c>
      <c r="S148" s="151">
        <v>295</v>
      </c>
      <c r="T148" s="151" t="s">
        <v>1718</v>
      </c>
      <c r="U148" s="151">
        <v>166</v>
      </c>
      <c r="V148" s="151" t="s">
        <v>1718</v>
      </c>
      <c r="W148" s="151">
        <v>118</v>
      </c>
      <c r="X148" s="151" t="s">
        <v>1718</v>
      </c>
      <c r="Z148" s="155">
        <f t="shared" si="44"/>
        <v>1.3000000000000001E-2</v>
      </c>
      <c r="AA148" s="156">
        <f t="shared" si="45"/>
        <v>2.9500000000000002E-2</v>
      </c>
      <c r="AC148" s="150">
        <v>13</v>
      </c>
      <c r="AD148" s="151" t="s">
        <v>162</v>
      </c>
      <c r="AE148" s="152">
        <v>61.34</v>
      </c>
      <c r="AF148" s="152">
        <v>9.1020000000000003</v>
      </c>
      <c r="AG148" s="151">
        <v>1335</v>
      </c>
      <c r="AH148" s="151" t="s">
        <v>1718</v>
      </c>
      <c r="AI148" s="151">
        <v>705</v>
      </c>
      <c r="AJ148" s="151" t="s">
        <v>1718</v>
      </c>
      <c r="AK148" s="151">
        <v>599</v>
      </c>
      <c r="AL148" s="151" t="s">
        <v>1718</v>
      </c>
      <c r="AN148" s="155">
        <f t="shared" si="46"/>
        <v>1.3000000000000001E-2</v>
      </c>
      <c r="AO148" s="156">
        <f t="shared" si="47"/>
        <v>0.13350000000000001</v>
      </c>
      <c r="AQ148" s="150">
        <v>13</v>
      </c>
      <c r="AR148" s="151" t="s">
        <v>162</v>
      </c>
      <c r="AS148" s="152">
        <v>82.54</v>
      </c>
      <c r="AT148" s="152">
        <v>0.83909999999999996</v>
      </c>
      <c r="AU148" s="151">
        <v>1662</v>
      </c>
      <c r="AV148" s="151" t="s">
        <v>1718</v>
      </c>
      <c r="AW148" s="151">
        <v>569</v>
      </c>
      <c r="AX148" s="151" t="s">
        <v>1718</v>
      </c>
      <c r="AY148" s="151">
        <v>552</v>
      </c>
      <c r="AZ148" s="151" t="s">
        <v>1718</v>
      </c>
      <c r="BB148" s="155">
        <f t="shared" si="48"/>
        <v>1.3000000000000001E-2</v>
      </c>
      <c r="BC148" s="156">
        <f t="shared" si="49"/>
        <v>0.16620000000000001</v>
      </c>
      <c r="BE148" s="150">
        <v>13</v>
      </c>
      <c r="BF148" s="151" t="s">
        <v>162</v>
      </c>
      <c r="BG148" s="152">
        <v>109.8</v>
      </c>
      <c r="BH148" s="152">
        <v>98.56</v>
      </c>
      <c r="BI148" s="151">
        <v>436</v>
      </c>
      <c r="BJ148" s="151" t="s">
        <v>1718</v>
      </c>
      <c r="BK148" s="151">
        <v>243</v>
      </c>
      <c r="BL148" s="151" t="s">
        <v>1718</v>
      </c>
      <c r="BM148" s="151">
        <v>181</v>
      </c>
      <c r="BN148" s="151" t="s">
        <v>1718</v>
      </c>
      <c r="BP148" s="155">
        <f t="shared" si="50"/>
        <v>1.3000000000000001E-2</v>
      </c>
      <c r="BQ148" s="156">
        <f t="shared" si="51"/>
        <v>4.36E-2</v>
      </c>
      <c r="BS148" s="150">
        <v>13</v>
      </c>
      <c r="BT148" s="151" t="s">
        <v>162</v>
      </c>
      <c r="BU148" s="152">
        <v>95.84</v>
      </c>
      <c r="BV148" s="152">
        <v>203.2</v>
      </c>
      <c r="BW148" s="151">
        <v>315</v>
      </c>
      <c r="BX148" s="151" t="s">
        <v>1718</v>
      </c>
      <c r="BY148" s="151">
        <v>172</v>
      </c>
      <c r="BZ148" s="151" t="s">
        <v>1718</v>
      </c>
      <c r="CA148" s="151">
        <v>123</v>
      </c>
      <c r="CB148" s="151" t="s">
        <v>1718</v>
      </c>
      <c r="CD148" s="155">
        <f t="shared" si="52"/>
        <v>1.3000000000000001E-2</v>
      </c>
      <c r="CE148" s="156">
        <f t="shared" si="53"/>
        <v>3.15E-2</v>
      </c>
      <c r="CG148" s="150">
        <v>13</v>
      </c>
      <c r="CH148" s="151" t="s">
        <v>162</v>
      </c>
      <c r="CI148" s="152">
        <v>81.63</v>
      </c>
      <c r="CJ148" s="152">
        <v>248.3</v>
      </c>
      <c r="CK148" s="151">
        <v>293</v>
      </c>
      <c r="CL148" s="151" t="s">
        <v>1718</v>
      </c>
      <c r="CM148" s="151">
        <v>156</v>
      </c>
      <c r="CN148" s="151" t="s">
        <v>1718</v>
      </c>
      <c r="CO148" s="151">
        <v>111</v>
      </c>
      <c r="CP148" s="151" t="s">
        <v>1718</v>
      </c>
      <c r="CR148" s="155">
        <f t="shared" si="54"/>
        <v>1.3000000000000001E-2</v>
      </c>
      <c r="CS148" s="156">
        <f t="shared" si="55"/>
        <v>2.9300000000000003E-2</v>
      </c>
      <c r="CU148" s="151">
        <v>13</v>
      </c>
      <c r="CV148" s="152" t="s">
        <v>162</v>
      </c>
      <c r="CW148" s="152">
        <v>114.5</v>
      </c>
      <c r="CX148" s="152">
        <v>585.5</v>
      </c>
      <c r="CY148" s="151">
        <v>178</v>
      </c>
      <c r="CZ148" s="151" t="s">
        <v>1718</v>
      </c>
      <c r="DA148" s="151">
        <v>79</v>
      </c>
      <c r="DB148" s="151" t="s">
        <v>1718</v>
      </c>
      <c r="DC148" s="151">
        <v>59</v>
      </c>
      <c r="DD148" t="s">
        <v>1718</v>
      </c>
      <c r="DF148" s="155">
        <f t="shared" si="56"/>
        <v>1.3000000000000001E-2</v>
      </c>
      <c r="DG148" s="156">
        <f t="shared" si="57"/>
        <v>1.78E-2</v>
      </c>
      <c r="DI148" s="151">
        <v>13</v>
      </c>
      <c r="DJ148" s="152" t="s">
        <v>162</v>
      </c>
      <c r="DK148" s="152">
        <v>126.5</v>
      </c>
      <c r="DL148" s="152">
        <v>566.5</v>
      </c>
      <c r="DM148" s="151">
        <v>182</v>
      </c>
      <c r="DN148" s="151" t="s">
        <v>1718</v>
      </c>
      <c r="DO148" s="151">
        <v>79</v>
      </c>
      <c r="DP148" s="151" t="s">
        <v>1718</v>
      </c>
      <c r="DQ148" s="151">
        <v>59</v>
      </c>
      <c r="DR148" t="s">
        <v>1718</v>
      </c>
      <c r="DT148" s="155">
        <f t="shared" si="58"/>
        <v>1.3000000000000001E-2</v>
      </c>
      <c r="DU148" s="156">
        <f t="shared" si="59"/>
        <v>1.8200000000000001E-2</v>
      </c>
    </row>
    <row r="149" spans="1:125" x14ac:dyDescent="0.2">
      <c r="A149" s="150">
        <v>14</v>
      </c>
      <c r="B149" s="151" t="s">
        <v>162</v>
      </c>
      <c r="C149" s="152">
        <v>83.7</v>
      </c>
      <c r="D149" s="152">
        <v>270.8</v>
      </c>
      <c r="E149" s="151">
        <v>292</v>
      </c>
      <c r="F149" s="151" t="s">
        <v>1718</v>
      </c>
      <c r="G149" s="151">
        <v>157</v>
      </c>
      <c r="H149" s="151" t="s">
        <v>1718</v>
      </c>
      <c r="I149" s="151">
        <v>111</v>
      </c>
      <c r="J149" s="151" t="s">
        <v>1718</v>
      </c>
      <c r="L149" s="155">
        <f t="shared" si="42"/>
        <v>1.4E-2</v>
      </c>
      <c r="M149" s="156">
        <f t="shared" si="43"/>
        <v>2.92E-2</v>
      </c>
      <c r="O149" s="150">
        <v>14</v>
      </c>
      <c r="P149" s="151" t="s">
        <v>162</v>
      </c>
      <c r="Q149" s="152">
        <v>91.47</v>
      </c>
      <c r="R149" s="152">
        <v>224.2</v>
      </c>
      <c r="S149" s="151">
        <v>316</v>
      </c>
      <c r="T149" s="151" t="s">
        <v>1718</v>
      </c>
      <c r="U149" s="151">
        <v>175</v>
      </c>
      <c r="V149" s="151" t="s">
        <v>1718</v>
      </c>
      <c r="W149" s="151">
        <v>125</v>
      </c>
      <c r="X149" s="151" t="s">
        <v>1718</v>
      </c>
      <c r="Z149" s="155">
        <f t="shared" si="44"/>
        <v>1.4E-2</v>
      </c>
      <c r="AA149" s="156">
        <f t="shared" si="45"/>
        <v>3.1600000000000003E-2</v>
      </c>
      <c r="AC149" s="150">
        <v>14</v>
      </c>
      <c r="AD149" s="151" t="s">
        <v>162</v>
      </c>
      <c r="AE149" s="152">
        <v>63.7</v>
      </c>
      <c r="AF149" s="152">
        <v>8.7739999999999991</v>
      </c>
      <c r="AG149" s="151">
        <v>1432</v>
      </c>
      <c r="AH149" s="151" t="s">
        <v>1718</v>
      </c>
      <c r="AI149" s="151">
        <v>735</v>
      </c>
      <c r="AJ149" s="151" t="s">
        <v>1718</v>
      </c>
      <c r="AK149" s="151">
        <v>630</v>
      </c>
      <c r="AL149" s="151" t="s">
        <v>1718</v>
      </c>
      <c r="AN149" s="155">
        <f t="shared" si="46"/>
        <v>1.4E-2</v>
      </c>
      <c r="AO149" s="156">
        <f t="shared" si="47"/>
        <v>0.14319999999999999</v>
      </c>
      <c r="AQ149" s="150">
        <v>14</v>
      </c>
      <c r="AR149" s="151" t="s">
        <v>162</v>
      </c>
      <c r="AS149" s="152">
        <v>85.6</v>
      </c>
      <c r="AT149" s="152">
        <v>0.80200000000000005</v>
      </c>
      <c r="AU149" s="151">
        <v>1762</v>
      </c>
      <c r="AV149" s="151" t="s">
        <v>1718</v>
      </c>
      <c r="AW149" s="151">
        <v>583</v>
      </c>
      <c r="AX149" s="151" t="s">
        <v>1718</v>
      </c>
      <c r="AY149" s="151">
        <v>571</v>
      </c>
      <c r="AZ149" s="151" t="s">
        <v>1718</v>
      </c>
      <c r="BB149" s="155">
        <f t="shared" si="48"/>
        <v>1.4E-2</v>
      </c>
      <c r="BC149" s="156">
        <f t="shared" si="49"/>
        <v>0.1762</v>
      </c>
      <c r="BE149" s="150">
        <v>14</v>
      </c>
      <c r="BF149" s="151" t="s">
        <v>162</v>
      </c>
      <c r="BG149" s="152">
        <v>114</v>
      </c>
      <c r="BH149" s="152">
        <v>96.91</v>
      </c>
      <c r="BI149" s="151">
        <v>467</v>
      </c>
      <c r="BJ149" s="151" t="s">
        <v>1718</v>
      </c>
      <c r="BK149" s="151">
        <v>256</v>
      </c>
      <c r="BL149" s="151" t="s">
        <v>1718</v>
      </c>
      <c r="BM149" s="151">
        <v>192</v>
      </c>
      <c r="BN149" s="151" t="s">
        <v>1718</v>
      </c>
      <c r="BP149" s="155">
        <f t="shared" si="50"/>
        <v>1.4E-2</v>
      </c>
      <c r="BQ149" s="156">
        <f t="shared" si="51"/>
        <v>4.6700000000000005E-2</v>
      </c>
      <c r="BS149" s="150">
        <v>14</v>
      </c>
      <c r="BT149" s="151" t="s">
        <v>162</v>
      </c>
      <c r="BU149" s="152">
        <v>99.46</v>
      </c>
      <c r="BV149" s="152">
        <v>201.5</v>
      </c>
      <c r="BW149" s="151">
        <v>337</v>
      </c>
      <c r="BX149" s="151" t="s">
        <v>1718</v>
      </c>
      <c r="BY149" s="151">
        <v>182</v>
      </c>
      <c r="BZ149" s="151" t="s">
        <v>1718</v>
      </c>
      <c r="CA149" s="151">
        <v>131</v>
      </c>
      <c r="CB149" s="151" t="s">
        <v>1718</v>
      </c>
      <c r="CD149" s="155">
        <f t="shared" si="52"/>
        <v>1.4E-2</v>
      </c>
      <c r="CE149" s="156">
        <f t="shared" si="53"/>
        <v>3.3700000000000001E-2</v>
      </c>
      <c r="CG149" s="150">
        <v>14</v>
      </c>
      <c r="CH149" s="151" t="s">
        <v>162</v>
      </c>
      <c r="CI149" s="152">
        <v>84.71</v>
      </c>
      <c r="CJ149" s="152">
        <v>246.9</v>
      </c>
      <c r="CK149" s="151">
        <v>313</v>
      </c>
      <c r="CL149" s="151" t="s">
        <v>1718</v>
      </c>
      <c r="CM149" s="151">
        <v>165</v>
      </c>
      <c r="CN149" s="151" t="s">
        <v>1718</v>
      </c>
      <c r="CO149" s="151">
        <v>118</v>
      </c>
      <c r="CP149" s="151" t="s">
        <v>1718</v>
      </c>
      <c r="CR149" s="155">
        <f t="shared" si="54"/>
        <v>1.4E-2</v>
      </c>
      <c r="CS149" s="156">
        <f t="shared" si="55"/>
        <v>3.1300000000000001E-2</v>
      </c>
      <c r="CU149" s="151">
        <v>14</v>
      </c>
      <c r="CV149" s="152" t="s">
        <v>162</v>
      </c>
      <c r="CW149" s="152">
        <v>118.8</v>
      </c>
      <c r="CX149" s="152">
        <v>589.4</v>
      </c>
      <c r="CY149" s="151">
        <v>188</v>
      </c>
      <c r="CZ149" s="151" t="s">
        <v>1718</v>
      </c>
      <c r="DA149" s="151">
        <v>83</v>
      </c>
      <c r="DB149" s="151" t="s">
        <v>1718</v>
      </c>
      <c r="DC149" s="151">
        <v>61</v>
      </c>
      <c r="DD149" t="s">
        <v>1718</v>
      </c>
      <c r="DF149" s="155">
        <f t="shared" si="56"/>
        <v>1.4E-2</v>
      </c>
      <c r="DG149" s="156">
        <f t="shared" si="57"/>
        <v>1.8800000000000001E-2</v>
      </c>
      <c r="DI149" s="151">
        <v>14</v>
      </c>
      <c r="DJ149" s="152" t="s">
        <v>162</v>
      </c>
      <c r="DK149" s="152">
        <v>131.19999999999999</v>
      </c>
      <c r="DL149" s="152">
        <v>570</v>
      </c>
      <c r="DM149" s="151">
        <v>193</v>
      </c>
      <c r="DN149" s="151" t="s">
        <v>1718</v>
      </c>
      <c r="DO149" s="151">
        <v>83</v>
      </c>
      <c r="DP149" s="151" t="s">
        <v>1718</v>
      </c>
      <c r="DQ149" s="151">
        <v>62</v>
      </c>
      <c r="DR149" t="s">
        <v>1718</v>
      </c>
      <c r="DT149" s="155">
        <f t="shared" si="58"/>
        <v>1.4E-2</v>
      </c>
      <c r="DU149" s="156">
        <f t="shared" si="59"/>
        <v>1.9300000000000001E-2</v>
      </c>
    </row>
    <row r="150" spans="1:125" x14ac:dyDescent="0.2">
      <c r="A150" s="150">
        <v>15</v>
      </c>
      <c r="B150" s="151" t="s">
        <v>162</v>
      </c>
      <c r="C150" s="152">
        <v>86.64</v>
      </c>
      <c r="D150" s="152">
        <v>269.5</v>
      </c>
      <c r="E150" s="151">
        <v>311</v>
      </c>
      <c r="F150" s="151" t="s">
        <v>1718</v>
      </c>
      <c r="G150" s="151">
        <v>166</v>
      </c>
      <c r="H150" s="151" t="s">
        <v>1718</v>
      </c>
      <c r="I150" s="151">
        <v>118</v>
      </c>
      <c r="J150" s="151" t="s">
        <v>1718</v>
      </c>
      <c r="L150" s="155">
        <f t="shared" si="42"/>
        <v>1.4999999999999999E-2</v>
      </c>
      <c r="M150" s="156">
        <f t="shared" si="43"/>
        <v>3.1100000000000003E-2</v>
      </c>
      <c r="O150" s="150">
        <v>15</v>
      </c>
      <c r="P150" s="151" t="s">
        <v>162</v>
      </c>
      <c r="Q150" s="152">
        <v>94.68</v>
      </c>
      <c r="R150" s="152">
        <v>222.6</v>
      </c>
      <c r="S150" s="151">
        <v>337</v>
      </c>
      <c r="T150" s="151" t="s">
        <v>1718</v>
      </c>
      <c r="U150" s="151">
        <v>185</v>
      </c>
      <c r="V150" s="151" t="s">
        <v>1718</v>
      </c>
      <c r="W150" s="151">
        <v>132</v>
      </c>
      <c r="X150" s="151" t="s">
        <v>1718</v>
      </c>
      <c r="Z150" s="155">
        <f t="shared" si="44"/>
        <v>1.4999999999999999E-2</v>
      </c>
      <c r="AA150" s="156">
        <f t="shared" si="45"/>
        <v>3.3700000000000001E-2</v>
      </c>
      <c r="AC150" s="150">
        <v>15</v>
      </c>
      <c r="AD150" s="151" t="s">
        <v>162</v>
      </c>
      <c r="AE150" s="152">
        <v>66.06</v>
      </c>
      <c r="AF150" s="152">
        <v>8.4730000000000008</v>
      </c>
      <c r="AG150" s="151">
        <v>1528</v>
      </c>
      <c r="AH150" s="151" t="s">
        <v>1718</v>
      </c>
      <c r="AI150" s="151">
        <v>764</v>
      </c>
      <c r="AJ150" s="151" t="s">
        <v>1718</v>
      </c>
      <c r="AK150" s="151">
        <v>659</v>
      </c>
      <c r="AL150" s="151" t="s">
        <v>1718</v>
      </c>
      <c r="AN150" s="155">
        <f t="shared" si="46"/>
        <v>1.4999999999999999E-2</v>
      </c>
      <c r="AO150" s="156">
        <f t="shared" si="47"/>
        <v>0.15280000000000002</v>
      </c>
      <c r="AQ150" s="150">
        <v>15</v>
      </c>
      <c r="AR150" s="151" t="s">
        <v>162</v>
      </c>
      <c r="AS150" s="152">
        <v>88.51</v>
      </c>
      <c r="AT150" s="152">
        <v>0.76839999999999997</v>
      </c>
      <c r="AU150" s="151">
        <v>1861</v>
      </c>
      <c r="AV150" s="151" t="s">
        <v>1718</v>
      </c>
      <c r="AW150" s="151">
        <v>596</v>
      </c>
      <c r="AX150" s="151" t="s">
        <v>1718</v>
      </c>
      <c r="AY150" s="151">
        <v>589</v>
      </c>
      <c r="AZ150" s="151" t="s">
        <v>1718</v>
      </c>
      <c r="BB150" s="155">
        <f t="shared" si="48"/>
        <v>1.4999999999999999E-2</v>
      </c>
      <c r="BC150" s="156">
        <f t="shared" si="49"/>
        <v>0.18610000000000002</v>
      </c>
      <c r="BE150" s="150">
        <v>15</v>
      </c>
      <c r="BF150" s="151" t="s">
        <v>162</v>
      </c>
      <c r="BG150" s="152">
        <v>118</v>
      </c>
      <c r="BH150" s="152">
        <v>95.3</v>
      </c>
      <c r="BI150" s="151">
        <v>498</v>
      </c>
      <c r="BJ150" s="151" t="s">
        <v>1718</v>
      </c>
      <c r="BK150" s="151">
        <v>269</v>
      </c>
      <c r="BL150" s="151" t="s">
        <v>1718</v>
      </c>
      <c r="BM150" s="151">
        <v>203</v>
      </c>
      <c r="BN150" s="151" t="s">
        <v>1718</v>
      </c>
      <c r="BP150" s="155">
        <f t="shared" si="50"/>
        <v>1.4999999999999999E-2</v>
      </c>
      <c r="BQ150" s="156">
        <f t="shared" si="51"/>
        <v>4.9800000000000004E-2</v>
      </c>
      <c r="BS150" s="150">
        <v>15</v>
      </c>
      <c r="BT150" s="151" t="s">
        <v>162</v>
      </c>
      <c r="BU150" s="152">
        <v>102.9</v>
      </c>
      <c r="BV150" s="152">
        <v>199.8</v>
      </c>
      <c r="BW150" s="151">
        <v>360</v>
      </c>
      <c r="BX150" s="151" t="s">
        <v>1718</v>
      </c>
      <c r="BY150" s="151">
        <v>192</v>
      </c>
      <c r="BZ150" s="151" t="s">
        <v>1718</v>
      </c>
      <c r="CA150" s="151">
        <v>138</v>
      </c>
      <c r="CB150" s="151" t="s">
        <v>1718</v>
      </c>
      <c r="CD150" s="155">
        <f t="shared" si="52"/>
        <v>1.4999999999999999E-2</v>
      </c>
      <c r="CE150" s="156">
        <f t="shared" si="53"/>
        <v>3.6000000000000004E-2</v>
      </c>
      <c r="CG150" s="150">
        <v>15</v>
      </c>
      <c r="CH150" s="151" t="s">
        <v>162</v>
      </c>
      <c r="CI150" s="152">
        <v>87.68</v>
      </c>
      <c r="CJ150" s="152">
        <v>245.3</v>
      </c>
      <c r="CK150" s="151">
        <v>334</v>
      </c>
      <c r="CL150" s="151" t="s">
        <v>1718</v>
      </c>
      <c r="CM150" s="151">
        <v>175</v>
      </c>
      <c r="CN150" s="151" t="s">
        <v>1718</v>
      </c>
      <c r="CO150" s="151">
        <v>124</v>
      </c>
      <c r="CP150" s="151" t="s">
        <v>1718</v>
      </c>
      <c r="CR150" s="155">
        <f t="shared" si="54"/>
        <v>1.4999999999999999E-2</v>
      </c>
      <c r="CS150" s="156">
        <f t="shared" si="55"/>
        <v>3.3399999999999999E-2</v>
      </c>
      <c r="CU150" s="151">
        <v>15</v>
      </c>
      <c r="CV150" s="152" t="s">
        <v>162</v>
      </c>
      <c r="CW150" s="152">
        <v>123</v>
      </c>
      <c r="CX150" s="152">
        <v>592.70000000000005</v>
      </c>
      <c r="CY150" s="151">
        <v>199</v>
      </c>
      <c r="CZ150" s="151" t="s">
        <v>1718</v>
      </c>
      <c r="DA150" s="151">
        <v>87</v>
      </c>
      <c r="DB150" s="151" t="s">
        <v>1718</v>
      </c>
      <c r="DC150" s="151">
        <v>64</v>
      </c>
      <c r="DD150" t="s">
        <v>1718</v>
      </c>
      <c r="DF150" s="155">
        <f t="shared" si="56"/>
        <v>1.4999999999999999E-2</v>
      </c>
      <c r="DG150" s="156">
        <f t="shared" si="57"/>
        <v>1.9900000000000001E-2</v>
      </c>
      <c r="DI150" s="151">
        <v>15</v>
      </c>
      <c r="DJ150" s="152" t="s">
        <v>162</v>
      </c>
      <c r="DK150" s="152">
        <v>135.9</v>
      </c>
      <c r="DL150" s="152">
        <v>572.9</v>
      </c>
      <c r="DM150" s="151">
        <v>203</v>
      </c>
      <c r="DN150" s="151" t="s">
        <v>1718</v>
      </c>
      <c r="DO150" s="151">
        <v>87</v>
      </c>
      <c r="DP150" s="151" t="s">
        <v>1718</v>
      </c>
      <c r="DQ150" s="151">
        <v>65</v>
      </c>
      <c r="DR150" t="s">
        <v>1718</v>
      </c>
      <c r="DT150" s="155">
        <f t="shared" si="58"/>
        <v>1.4999999999999999E-2</v>
      </c>
      <c r="DU150" s="156">
        <f t="shared" si="59"/>
        <v>2.0300000000000002E-2</v>
      </c>
    </row>
    <row r="151" spans="1:125" x14ac:dyDescent="0.2">
      <c r="A151" s="150">
        <v>16</v>
      </c>
      <c r="B151" s="151" t="s">
        <v>162</v>
      </c>
      <c r="C151" s="152">
        <v>89.48</v>
      </c>
      <c r="D151" s="152">
        <v>268.10000000000002</v>
      </c>
      <c r="E151" s="151">
        <v>330</v>
      </c>
      <c r="F151" s="151" t="s">
        <v>1718</v>
      </c>
      <c r="G151" s="151">
        <v>174</v>
      </c>
      <c r="H151" s="151" t="s">
        <v>1718</v>
      </c>
      <c r="I151" s="151">
        <v>124</v>
      </c>
      <c r="J151" s="151" t="s">
        <v>1718</v>
      </c>
      <c r="L151" s="155">
        <f t="shared" si="42"/>
        <v>1.6E-2</v>
      </c>
      <c r="M151" s="156">
        <f t="shared" si="43"/>
        <v>3.3000000000000002E-2</v>
      </c>
      <c r="O151" s="150">
        <v>16</v>
      </c>
      <c r="P151" s="151" t="s">
        <v>162</v>
      </c>
      <c r="Q151" s="152">
        <v>97.78</v>
      </c>
      <c r="R151" s="152">
        <v>220.9</v>
      </c>
      <c r="S151" s="151">
        <v>358</v>
      </c>
      <c r="T151" s="151" t="s">
        <v>1718</v>
      </c>
      <c r="U151" s="151">
        <v>195</v>
      </c>
      <c r="V151" s="151" t="s">
        <v>1718</v>
      </c>
      <c r="W151" s="151">
        <v>139</v>
      </c>
      <c r="X151" s="151" t="s">
        <v>1718</v>
      </c>
      <c r="Z151" s="155">
        <f t="shared" si="44"/>
        <v>1.6E-2</v>
      </c>
      <c r="AA151" s="156">
        <f t="shared" si="45"/>
        <v>3.5799999999999998E-2</v>
      </c>
      <c r="AC151" s="150">
        <v>16</v>
      </c>
      <c r="AD151" s="151" t="s">
        <v>162</v>
      </c>
      <c r="AE151" s="152">
        <v>68.44</v>
      </c>
      <c r="AF151" s="152">
        <v>8.1950000000000003</v>
      </c>
      <c r="AG151" s="151">
        <v>1622</v>
      </c>
      <c r="AH151" s="151" t="s">
        <v>1718</v>
      </c>
      <c r="AI151" s="151">
        <v>792</v>
      </c>
      <c r="AJ151" s="151" t="s">
        <v>1718</v>
      </c>
      <c r="AK151" s="151">
        <v>687</v>
      </c>
      <c r="AL151" s="151" t="s">
        <v>1718</v>
      </c>
      <c r="AN151" s="155">
        <f t="shared" si="46"/>
        <v>1.6E-2</v>
      </c>
      <c r="AO151" s="156">
        <f t="shared" si="47"/>
        <v>0.16220000000000001</v>
      </c>
      <c r="AQ151" s="150">
        <v>16</v>
      </c>
      <c r="AR151" s="151" t="s">
        <v>162</v>
      </c>
      <c r="AS151" s="152">
        <v>91.28</v>
      </c>
      <c r="AT151" s="152">
        <v>0.7379</v>
      </c>
      <c r="AU151" s="151">
        <v>1957</v>
      </c>
      <c r="AV151" s="151" t="s">
        <v>1718</v>
      </c>
      <c r="AW151" s="151">
        <v>608</v>
      </c>
      <c r="AX151" s="151" t="s">
        <v>1718</v>
      </c>
      <c r="AY151" s="151">
        <v>605</v>
      </c>
      <c r="AZ151" s="151" t="s">
        <v>1718</v>
      </c>
      <c r="BB151" s="155">
        <f t="shared" si="48"/>
        <v>1.6E-2</v>
      </c>
      <c r="BC151" s="156">
        <f t="shared" si="49"/>
        <v>0.19570000000000001</v>
      </c>
      <c r="BE151" s="150">
        <v>16</v>
      </c>
      <c r="BF151" s="151" t="s">
        <v>162</v>
      </c>
      <c r="BG151" s="152">
        <v>121.9</v>
      </c>
      <c r="BH151" s="152">
        <v>93.74</v>
      </c>
      <c r="BI151" s="151">
        <v>530</v>
      </c>
      <c r="BJ151" s="151" t="s">
        <v>1718</v>
      </c>
      <c r="BK151" s="151">
        <v>282</v>
      </c>
      <c r="BL151" s="151" t="s">
        <v>1718</v>
      </c>
      <c r="BM151" s="151">
        <v>213</v>
      </c>
      <c r="BN151" s="151" t="s">
        <v>1718</v>
      </c>
      <c r="BP151" s="155">
        <f t="shared" si="50"/>
        <v>1.6E-2</v>
      </c>
      <c r="BQ151" s="156">
        <f t="shared" si="51"/>
        <v>5.3000000000000005E-2</v>
      </c>
      <c r="BS151" s="150">
        <v>16</v>
      </c>
      <c r="BT151" s="151" t="s">
        <v>162</v>
      </c>
      <c r="BU151" s="152">
        <v>106.3</v>
      </c>
      <c r="BV151" s="152">
        <v>198</v>
      </c>
      <c r="BW151" s="151">
        <v>382</v>
      </c>
      <c r="BX151" s="151" t="s">
        <v>1718</v>
      </c>
      <c r="BY151" s="151">
        <v>202</v>
      </c>
      <c r="BZ151" s="151" t="s">
        <v>1718</v>
      </c>
      <c r="CA151" s="151">
        <v>145</v>
      </c>
      <c r="CB151" s="151" t="s">
        <v>1718</v>
      </c>
      <c r="CD151" s="155">
        <f t="shared" si="52"/>
        <v>1.6E-2</v>
      </c>
      <c r="CE151" s="156">
        <f t="shared" si="53"/>
        <v>3.8200000000000005E-2</v>
      </c>
      <c r="CG151" s="150">
        <v>16</v>
      </c>
      <c r="CH151" s="151" t="s">
        <v>162</v>
      </c>
      <c r="CI151" s="152">
        <v>90.56</v>
      </c>
      <c r="CJ151" s="152">
        <v>243.7</v>
      </c>
      <c r="CK151" s="151">
        <v>354</v>
      </c>
      <c r="CL151" s="151" t="s">
        <v>1718</v>
      </c>
      <c r="CM151" s="151">
        <v>184</v>
      </c>
      <c r="CN151" s="151" t="s">
        <v>1718</v>
      </c>
      <c r="CO151" s="151">
        <v>130</v>
      </c>
      <c r="CP151" s="151" t="s">
        <v>1718</v>
      </c>
      <c r="CR151" s="155">
        <f t="shared" si="54"/>
        <v>1.6E-2</v>
      </c>
      <c r="CS151" s="156">
        <f t="shared" si="55"/>
        <v>3.5400000000000001E-2</v>
      </c>
      <c r="CU151" s="151">
        <v>16</v>
      </c>
      <c r="CV151" s="152" t="s">
        <v>162</v>
      </c>
      <c r="CW151" s="152">
        <v>127</v>
      </c>
      <c r="CX151" s="152">
        <v>595.29999999999995</v>
      </c>
      <c r="CY151" s="151">
        <v>209</v>
      </c>
      <c r="CZ151" s="151" t="s">
        <v>1718</v>
      </c>
      <c r="DA151" s="151">
        <v>91</v>
      </c>
      <c r="DB151" s="151" t="s">
        <v>1718</v>
      </c>
      <c r="DC151" s="151">
        <v>67</v>
      </c>
      <c r="DD151" t="s">
        <v>1718</v>
      </c>
      <c r="DF151" s="155">
        <f t="shared" si="56"/>
        <v>1.6E-2</v>
      </c>
      <c r="DG151" s="156">
        <f t="shared" si="57"/>
        <v>2.0900000000000002E-2</v>
      </c>
      <c r="DI151" s="151">
        <v>16</v>
      </c>
      <c r="DJ151" s="152" t="s">
        <v>162</v>
      </c>
      <c r="DK151" s="152">
        <v>140.30000000000001</v>
      </c>
      <c r="DL151" s="152">
        <v>575.29999999999995</v>
      </c>
      <c r="DM151" s="151">
        <v>214</v>
      </c>
      <c r="DN151" s="151" t="s">
        <v>1718</v>
      </c>
      <c r="DO151" s="151">
        <v>91</v>
      </c>
      <c r="DP151" s="151" t="s">
        <v>1718</v>
      </c>
      <c r="DQ151" s="151">
        <v>67</v>
      </c>
      <c r="DR151" t="s">
        <v>1718</v>
      </c>
      <c r="DT151" s="155">
        <f t="shared" si="58"/>
        <v>1.6E-2</v>
      </c>
      <c r="DU151" s="156">
        <f t="shared" si="59"/>
        <v>2.1400000000000002E-2</v>
      </c>
    </row>
    <row r="152" spans="1:125" x14ac:dyDescent="0.2">
      <c r="A152" s="150">
        <v>17</v>
      </c>
      <c r="B152" s="151" t="s">
        <v>162</v>
      </c>
      <c r="C152" s="152">
        <v>92.24</v>
      </c>
      <c r="D152" s="152">
        <v>266.5</v>
      </c>
      <c r="E152" s="151">
        <v>349</v>
      </c>
      <c r="F152" s="151" t="s">
        <v>1718</v>
      </c>
      <c r="G152" s="151">
        <v>183</v>
      </c>
      <c r="H152" s="151" t="s">
        <v>1718</v>
      </c>
      <c r="I152" s="151">
        <v>130</v>
      </c>
      <c r="J152" s="151" t="s">
        <v>1718</v>
      </c>
      <c r="L152" s="155">
        <f t="shared" si="42"/>
        <v>1.7000000000000001E-2</v>
      </c>
      <c r="M152" s="156">
        <f t="shared" si="43"/>
        <v>3.49E-2</v>
      </c>
      <c r="O152" s="150">
        <v>17</v>
      </c>
      <c r="P152" s="151" t="s">
        <v>162</v>
      </c>
      <c r="Q152" s="152">
        <v>100.8</v>
      </c>
      <c r="R152" s="152">
        <v>219.2</v>
      </c>
      <c r="S152" s="151">
        <v>378</v>
      </c>
      <c r="T152" s="151" t="s">
        <v>1718</v>
      </c>
      <c r="U152" s="151">
        <v>204</v>
      </c>
      <c r="V152" s="151" t="s">
        <v>1718</v>
      </c>
      <c r="W152" s="151">
        <v>146</v>
      </c>
      <c r="X152" s="151" t="s">
        <v>1718</v>
      </c>
      <c r="Z152" s="155">
        <f t="shared" si="44"/>
        <v>1.7000000000000001E-2</v>
      </c>
      <c r="AA152" s="156">
        <f t="shared" si="45"/>
        <v>3.78E-2</v>
      </c>
      <c r="AC152" s="150">
        <v>17</v>
      </c>
      <c r="AD152" s="151" t="s">
        <v>162</v>
      </c>
      <c r="AE152" s="152">
        <v>70.83</v>
      </c>
      <c r="AF152" s="152">
        <v>7.9370000000000003</v>
      </c>
      <c r="AG152" s="151">
        <v>1716</v>
      </c>
      <c r="AH152" s="151" t="s">
        <v>1718</v>
      </c>
      <c r="AI152" s="151">
        <v>817</v>
      </c>
      <c r="AJ152" s="151" t="s">
        <v>1718</v>
      </c>
      <c r="AK152" s="151">
        <v>715</v>
      </c>
      <c r="AL152" s="151" t="s">
        <v>1718</v>
      </c>
      <c r="AN152" s="155">
        <f t="shared" si="46"/>
        <v>1.7000000000000001E-2</v>
      </c>
      <c r="AO152" s="156">
        <f t="shared" si="47"/>
        <v>0.1716</v>
      </c>
      <c r="AQ152" s="150">
        <v>17</v>
      </c>
      <c r="AR152" s="151" t="s">
        <v>162</v>
      </c>
      <c r="AS152" s="152">
        <v>93.9</v>
      </c>
      <c r="AT152" s="152">
        <v>0.71009999999999995</v>
      </c>
      <c r="AU152" s="151">
        <v>2051</v>
      </c>
      <c r="AV152" s="151" t="s">
        <v>1718</v>
      </c>
      <c r="AW152" s="151">
        <v>619</v>
      </c>
      <c r="AX152" s="151" t="s">
        <v>1718</v>
      </c>
      <c r="AY152" s="151">
        <v>621</v>
      </c>
      <c r="AZ152" s="151" t="s">
        <v>1718</v>
      </c>
      <c r="BB152" s="155">
        <f t="shared" si="48"/>
        <v>1.7000000000000001E-2</v>
      </c>
      <c r="BC152" s="156">
        <f t="shared" si="49"/>
        <v>0.2051</v>
      </c>
      <c r="BE152" s="150">
        <v>17</v>
      </c>
      <c r="BF152" s="151" t="s">
        <v>162</v>
      </c>
      <c r="BG152" s="152">
        <v>125.6</v>
      </c>
      <c r="BH152" s="152">
        <v>92.22</v>
      </c>
      <c r="BI152" s="151">
        <v>561</v>
      </c>
      <c r="BJ152" s="151" t="s">
        <v>1718</v>
      </c>
      <c r="BK152" s="151">
        <v>295</v>
      </c>
      <c r="BL152" s="151" t="s">
        <v>1718</v>
      </c>
      <c r="BM152" s="151">
        <v>223</v>
      </c>
      <c r="BN152" s="151" t="s">
        <v>1718</v>
      </c>
      <c r="BP152" s="155">
        <f t="shared" si="50"/>
        <v>1.7000000000000001E-2</v>
      </c>
      <c r="BQ152" s="156">
        <f t="shared" si="51"/>
        <v>5.6100000000000004E-2</v>
      </c>
      <c r="BS152" s="150">
        <v>17</v>
      </c>
      <c r="BT152" s="151" t="s">
        <v>162</v>
      </c>
      <c r="BU152" s="152">
        <v>109.6</v>
      </c>
      <c r="BV152" s="152">
        <v>196.2</v>
      </c>
      <c r="BW152" s="151">
        <v>404</v>
      </c>
      <c r="BX152" s="151" t="s">
        <v>1718</v>
      </c>
      <c r="BY152" s="151">
        <v>212</v>
      </c>
      <c r="BZ152" s="151" t="s">
        <v>1718</v>
      </c>
      <c r="CA152" s="151">
        <v>152</v>
      </c>
      <c r="CB152" s="151" t="s">
        <v>1718</v>
      </c>
      <c r="CD152" s="155">
        <f t="shared" si="52"/>
        <v>1.7000000000000001E-2</v>
      </c>
      <c r="CE152" s="156">
        <f t="shared" si="53"/>
        <v>4.0400000000000005E-2</v>
      </c>
      <c r="CG152" s="150">
        <v>17</v>
      </c>
      <c r="CH152" s="151" t="s">
        <v>162</v>
      </c>
      <c r="CI152" s="152">
        <v>93.34</v>
      </c>
      <c r="CJ152" s="152">
        <v>242</v>
      </c>
      <c r="CK152" s="151">
        <v>375</v>
      </c>
      <c r="CL152" s="151" t="s">
        <v>1718</v>
      </c>
      <c r="CM152" s="151">
        <v>193</v>
      </c>
      <c r="CN152" s="151" t="s">
        <v>1718</v>
      </c>
      <c r="CO152" s="151">
        <v>137</v>
      </c>
      <c r="CP152" s="151" t="s">
        <v>1718</v>
      </c>
      <c r="CR152" s="155">
        <f t="shared" si="54"/>
        <v>1.7000000000000001E-2</v>
      </c>
      <c r="CS152" s="156">
        <f t="shared" si="55"/>
        <v>3.7499999999999999E-2</v>
      </c>
      <c r="CU152" s="151">
        <v>17</v>
      </c>
      <c r="CV152" s="152" t="s">
        <v>162</v>
      </c>
      <c r="CW152" s="152">
        <v>131</v>
      </c>
      <c r="CX152" s="152">
        <v>597.6</v>
      </c>
      <c r="CY152" s="151">
        <v>219</v>
      </c>
      <c r="CZ152" s="151" t="s">
        <v>1718</v>
      </c>
      <c r="DA152" s="151">
        <v>95</v>
      </c>
      <c r="DB152" s="151" t="s">
        <v>1718</v>
      </c>
      <c r="DC152" s="151">
        <v>70</v>
      </c>
      <c r="DD152" t="s">
        <v>1718</v>
      </c>
      <c r="DF152" s="155">
        <f t="shared" si="56"/>
        <v>1.7000000000000001E-2</v>
      </c>
      <c r="DG152" s="156">
        <f t="shared" si="57"/>
        <v>2.1899999999999999E-2</v>
      </c>
      <c r="DI152" s="151">
        <v>17</v>
      </c>
      <c r="DJ152" s="152" t="s">
        <v>162</v>
      </c>
      <c r="DK152" s="152">
        <v>144.6</v>
      </c>
      <c r="DL152" s="152">
        <v>577.20000000000005</v>
      </c>
      <c r="DM152" s="151">
        <v>224</v>
      </c>
      <c r="DN152" s="151" t="s">
        <v>1718</v>
      </c>
      <c r="DO152" s="151">
        <v>95</v>
      </c>
      <c r="DP152" s="151" t="s">
        <v>1718</v>
      </c>
      <c r="DQ152" s="151">
        <v>70</v>
      </c>
      <c r="DR152" t="s">
        <v>1718</v>
      </c>
      <c r="DT152" s="155">
        <f t="shared" si="58"/>
        <v>1.7000000000000001E-2</v>
      </c>
      <c r="DU152" s="156">
        <f t="shared" si="59"/>
        <v>2.24E-2</v>
      </c>
    </row>
    <row r="153" spans="1:125" x14ac:dyDescent="0.2">
      <c r="A153" s="150">
        <v>18</v>
      </c>
      <c r="B153" s="151" t="s">
        <v>162</v>
      </c>
      <c r="C153" s="152">
        <v>94.91</v>
      </c>
      <c r="D153" s="152">
        <v>264.89999999999998</v>
      </c>
      <c r="E153" s="151">
        <v>368</v>
      </c>
      <c r="F153" s="151" t="s">
        <v>1718</v>
      </c>
      <c r="G153" s="151">
        <v>191</v>
      </c>
      <c r="H153" s="151" t="s">
        <v>1718</v>
      </c>
      <c r="I153" s="151">
        <v>135</v>
      </c>
      <c r="J153" s="151" t="s">
        <v>1718</v>
      </c>
      <c r="L153" s="155">
        <f t="shared" si="42"/>
        <v>1.8000000000000002E-2</v>
      </c>
      <c r="M153" s="156">
        <f t="shared" si="43"/>
        <v>3.6799999999999999E-2</v>
      </c>
      <c r="O153" s="150">
        <v>18</v>
      </c>
      <c r="P153" s="151" t="s">
        <v>162</v>
      </c>
      <c r="Q153" s="152">
        <v>103.7</v>
      </c>
      <c r="R153" s="152">
        <v>217.5</v>
      </c>
      <c r="S153" s="151">
        <v>399</v>
      </c>
      <c r="T153" s="151" t="s">
        <v>1718</v>
      </c>
      <c r="U153" s="151">
        <v>214</v>
      </c>
      <c r="V153" s="151" t="s">
        <v>1718</v>
      </c>
      <c r="W153" s="151">
        <v>153</v>
      </c>
      <c r="X153" s="151" t="s">
        <v>1718</v>
      </c>
      <c r="Z153" s="155">
        <f t="shared" si="44"/>
        <v>1.8000000000000002E-2</v>
      </c>
      <c r="AA153" s="156">
        <f t="shared" si="45"/>
        <v>3.9900000000000005E-2</v>
      </c>
      <c r="AC153" s="150">
        <v>18</v>
      </c>
      <c r="AD153" s="151" t="s">
        <v>162</v>
      </c>
      <c r="AE153" s="152">
        <v>73.23</v>
      </c>
      <c r="AF153" s="152">
        <v>7.6980000000000004</v>
      </c>
      <c r="AG153" s="151">
        <v>1808</v>
      </c>
      <c r="AH153" s="151" t="s">
        <v>1718</v>
      </c>
      <c r="AI153" s="151">
        <v>842</v>
      </c>
      <c r="AJ153" s="151" t="s">
        <v>1718</v>
      </c>
      <c r="AK153" s="151">
        <v>741</v>
      </c>
      <c r="AL153" s="151" t="s">
        <v>1718</v>
      </c>
      <c r="AN153" s="155">
        <f t="shared" si="46"/>
        <v>1.8000000000000002E-2</v>
      </c>
      <c r="AO153" s="156">
        <f t="shared" si="47"/>
        <v>0.18080000000000002</v>
      </c>
      <c r="AQ153" s="150">
        <v>18</v>
      </c>
      <c r="AR153" s="151" t="s">
        <v>162</v>
      </c>
      <c r="AS153" s="152">
        <v>96.37</v>
      </c>
      <c r="AT153" s="152">
        <v>0.68459999999999999</v>
      </c>
      <c r="AU153" s="151">
        <v>2143</v>
      </c>
      <c r="AV153" s="151" t="s">
        <v>1718</v>
      </c>
      <c r="AW153" s="151">
        <v>629</v>
      </c>
      <c r="AX153" s="151" t="s">
        <v>1718</v>
      </c>
      <c r="AY153" s="151">
        <v>636</v>
      </c>
      <c r="AZ153" s="151" t="s">
        <v>1718</v>
      </c>
      <c r="BB153" s="155">
        <f t="shared" si="48"/>
        <v>1.8000000000000002E-2</v>
      </c>
      <c r="BC153" s="156">
        <f t="shared" si="49"/>
        <v>0.21430000000000002</v>
      </c>
      <c r="BE153" s="150">
        <v>18</v>
      </c>
      <c r="BF153" s="151" t="s">
        <v>162</v>
      </c>
      <c r="BG153" s="152">
        <v>129.19999999999999</v>
      </c>
      <c r="BH153" s="152">
        <v>90.75</v>
      </c>
      <c r="BI153" s="151">
        <v>592</v>
      </c>
      <c r="BJ153" s="151" t="s">
        <v>1718</v>
      </c>
      <c r="BK153" s="151">
        <v>307</v>
      </c>
      <c r="BL153" s="151" t="s">
        <v>1718</v>
      </c>
      <c r="BM153" s="151">
        <v>233</v>
      </c>
      <c r="BN153" s="151" t="s">
        <v>1718</v>
      </c>
      <c r="BP153" s="155">
        <f t="shared" si="50"/>
        <v>1.8000000000000002E-2</v>
      </c>
      <c r="BQ153" s="156">
        <f t="shared" si="51"/>
        <v>5.9200000000000003E-2</v>
      </c>
      <c r="BS153" s="150">
        <v>18</v>
      </c>
      <c r="BT153" s="151" t="s">
        <v>162</v>
      </c>
      <c r="BU153" s="152">
        <v>112.8</v>
      </c>
      <c r="BV153" s="152">
        <v>194.4</v>
      </c>
      <c r="BW153" s="151">
        <v>427</v>
      </c>
      <c r="BX153" s="151" t="s">
        <v>1718</v>
      </c>
      <c r="BY153" s="151">
        <v>221</v>
      </c>
      <c r="BZ153" s="151" t="s">
        <v>1718</v>
      </c>
      <c r="CA153" s="151">
        <v>159</v>
      </c>
      <c r="CB153" s="151" t="s">
        <v>1718</v>
      </c>
      <c r="CD153" s="155">
        <f t="shared" si="52"/>
        <v>1.8000000000000002E-2</v>
      </c>
      <c r="CE153" s="156">
        <f t="shared" si="53"/>
        <v>4.2700000000000002E-2</v>
      </c>
      <c r="CG153" s="150">
        <v>18</v>
      </c>
      <c r="CH153" s="151" t="s">
        <v>162</v>
      </c>
      <c r="CI153" s="152">
        <v>96.05</v>
      </c>
      <c r="CJ153" s="152">
        <v>240.2</v>
      </c>
      <c r="CK153" s="151">
        <v>395</v>
      </c>
      <c r="CL153" s="151" t="s">
        <v>1718</v>
      </c>
      <c r="CM153" s="151">
        <v>202</v>
      </c>
      <c r="CN153" s="151" t="s">
        <v>1718</v>
      </c>
      <c r="CO153" s="151">
        <v>143</v>
      </c>
      <c r="CP153" s="151" t="s">
        <v>1718</v>
      </c>
      <c r="CR153" s="155">
        <f t="shared" si="54"/>
        <v>1.8000000000000002E-2</v>
      </c>
      <c r="CS153" s="156">
        <f t="shared" si="55"/>
        <v>3.95E-2</v>
      </c>
      <c r="CU153" s="151">
        <v>18</v>
      </c>
      <c r="CV153" s="152" t="s">
        <v>162</v>
      </c>
      <c r="CW153" s="152">
        <v>134.80000000000001</v>
      </c>
      <c r="CX153" s="152">
        <v>599.29999999999995</v>
      </c>
      <c r="CY153" s="151">
        <v>230</v>
      </c>
      <c r="CZ153" s="151" t="s">
        <v>1718</v>
      </c>
      <c r="DA153" s="151">
        <v>99</v>
      </c>
      <c r="DB153" s="151" t="s">
        <v>1718</v>
      </c>
      <c r="DC153" s="151">
        <v>73</v>
      </c>
      <c r="DD153" t="s">
        <v>1718</v>
      </c>
      <c r="DF153" s="155">
        <f t="shared" si="56"/>
        <v>1.8000000000000002E-2</v>
      </c>
      <c r="DG153" s="156">
        <f t="shared" si="57"/>
        <v>2.3E-2</v>
      </c>
      <c r="DI153" s="151">
        <v>18</v>
      </c>
      <c r="DJ153" s="152" t="s">
        <v>162</v>
      </c>
      <c r="DK153" s="152">
        <v>148.80000000000001</v>
      </c>
      <c r="DL153" s="152">
        <v>578.70000000000005</v>
      </c>
      <c r="DM153" s="151">
        <v>235</v>
      </c>
      <c r="DN153" s="151" t="s">
        <v>1718</v>
      </c>
      <c r="DO153" s="151">
        <v>99</v>
      </c>
      <c r="DP153" s="151" t="s">
        <v>1718</v>
      </c>
      <c r="DQ153" s="151">
        <v>73</v>
      </c>
      <c r="DR153" t="s">
        <v>1718</v>
      </c>
      <c r="DT153" s="155">
        <f t="shared" si="58"/>
        <v>1.8000000000000002E-2</v>
      </c>
      <c r="DU153" s="156">
        <f t="shared" si="59"/>
        <v>2.35E-2</v>
      </c>
    </row>
    <row r="154" spans="1:125" x14ac:dyDescent="0.2">
      <c r="A154" s="150">
        <v>20</v>
      </c>
      <c r="B154" s="151" t="s">
        <v>162</v>
      </c>
      <c r="C154" s="152">
        <v>100</v>
      </c>
      <c r="D154" s="152">
        <v>261.5</v>
      </c>
      <c r="E154" s="151">
        <v>406</v>
      </c>
      <c r="F154" s="151" t="s">
        <v>1718</v>
      </c>
      <c r="G154" s="151">
        <v>208</v>
      </c>
      <c r="H154" s="151" t="s">
        <v>1718</v>
      </c>
      <c r="I154" s="151">
        <v>147</v>
      </c>
      <c r="J154" s="151" t="s">
        <v>1718</v>
      </c>
      <c r="L154" s="155">
        <f t="shared" si="42"/>
        <v>0.02</v>
      </c>
      <c r="M154" s="156">
        <f t="shared" si="43"/>
        <v>4.0600000000000004E-2</v>
      </c>
      <c r="O154" s="150">
        <v>20</v>
      </c>
      <c r="P154" s="151" t="s">
        <v>162</v>
      </c>
      <c r="Q154" s="152">
        <v>109.3</v>
      </c>
      <c r="R154" s="152">
        <v>214</v>
      </c>
      <c r="S154" s="151">
        <v>441</v>
      </c>
      <c r="T154" s="151" t="s">
        <v>1718</v>
      </c>
      <c r="U154" s="151">
        <v>233</v>
      </c>
      <c r="V154" s="151" t="s">
        <v>1718</v>
      </c>
      <c r="W154" s="151">
        <v>166</v>
      </c>
      <c r="X154" s="151" t="s">
        <v>1718</v>
      </c>
      <c r="Z154" s="155">
        <f t="shared" si="44"/>
        <v>0.02</v>
      </c>
      <c r="AA154" s="156">
        <f t="shared" si="45"/>
        <v>4.41E-2</v>
      </c>
      <c r="AC154" s="150">
        <v>20</v>
      </c>
      <c r="AD154" s="151" t="s">
        <v>162</v>
      </c>
      <c r="AE154" s="152">
        <v>78.010000000000005</v>
      </c>
      <c r="AF154" s="152">
        <v>7.2679999999999998</v>
      </c>
      <c r="AG154" s="151">
        <v>1988</v>
      </c>
      <c r="AH154" s="151" t="s">
        <v>1718</v>
      </c>
      <c r="AI154" s="151">
        <v>887</v>
      </c>
      <c r="AJ154" s="151" t="s">
        <v>1718</v>
      </c>
      <c r="AK154" s="151">
        <v>791</v>
      </c>
      <c r="AL154" s="151" t="s">
        <v>1718</v>
      </c>
      <c r="AN154" s="155">
        <f t="shared" si="46"/>
        <v>0.02</v>
      </c>
      <c r="AO154" s="156">
        <f t="shared" si="47"/>
        <v>0.1988</v>
      </c>
      <c r="AQ154" s="150">
        <v>20</v>
      </c>
      <c r="AR154" s="151" t="s">
        <v>162</v>
      </c>
      <c r="AS154" s="152">
        <v>100.9</v>
      </c>
      <c r="AT154" s="152">
        <v>0.63939999999999997</v>
      </c>
      <c r="AU154" s="151">
        <v>2323</v>
      </c>
      <c r="AV154" s="151" t="s">
        <v>1718</v>
      </c>
      <c r="AW154" s="151">
        <v>648</v>
      </c>
      <c r="AX154" s="151" t="s">
        <v>1718</v>
      </c>
      <c r="AY154" s="151">
        <v>664</v>
      </c>
      <c r="AZ154" s="151" t="s">
        <v>1718</v>
      </c>
      <c r="BB154" s="155">
        <f t="shared" si="48"/>
        <v>0.02</v>
      </c>
      <c r="BC154" s="156">
        <f t="shared" si="49"/>
        <v>0.23230000000000001</v>
      </c>
      <c r="BE154" s="150">
        <v>20</v>
      </c>
      <c r="BF154" s="151" t="s">
        <v>162</v>
      </c>
      <c r="BG154" s="152">
        <v>136.19999999999999</v>
      </c>
      <c r="BH154" s="152">
        <v>87.96</v>
      </c>
      <c r="BI154" s="151">
        <v>655</v>
      </c>
      <c r="BJ154" s="151" t="s">
        <v>1718</v>
      </c>
      <c r="BK154" s="151">
        <v>331</v>
      </c>
      <c r="BL154" s="151" t="s">
        <v>1718</v>
      </c>
      <c r="BM154" s="151">
        <v>253</v>
      </c>
      <c r="BN154" s="151" t="s">
        <v>1718</v>
      </c>
      <c r="BP154" s="155">
        <f t="shared" si="50"/>
        <v>0.02</v>
      </c>
      <c r="BQ154" s="156">
        <f t="shared" si="51"/>
        <v>6.5500000000000003E-2</v>
      </c>
      <c r="BS154" s="150">
        <v>20</v>
      </c>
      <c r="BT154" s="151" t="s">
        <v>162</v>
      </c>
      <c r="BU154" s="152">
        <v>118.9</v>
      </c>
      <c r="BV154" s="152">
        <v>190.8</v>
      </c>
      <c r="BW154" s="151">
        <v>471</v>
      </c>
      <c r="BX154" s="151" t="s">
        <v>1718</v>
      </c>
      <c r="BY154" s="151">
        <v>240</v>
      </c>
      <c r="BZ154" s="151" t="s">
        <v>1718</v>
      </c>
      <c r="CA154" s="151">
        <v>173</v>
      </c>
      <c r="CB154" s="151" t="s">
        <v>1718</v>
      </c>
      <c r="CD154" s="155">
        <f t="shared" si="52"/>
        <v>0.02</v>
      </c>
      <c r="CE154" s="156">
        <f t="shared" si="53"/>
        <v>4.7100000000000003E-2</v>
      </c>
      <c r="CG154" s="150">
        <v>20</v>
      </c>
      <c r="CH154" s="151" t="s">
        <v>162</v>
      </c>
      <c r="CI154" s="152">
        <v>101.2</v>
      </c>
      <c r="CJ154" s="152">
        <v>236.7</v>
      </c>
      <c r="CK154" s="151">
        <v>437</v>
      </c>
      <c r="CL154" s="151" t="s">
        <v>1718</v>
      </c>
      <c r="CM154" s="151">
        <v>219</v>
      </c>
      <c r="CN154" s="151" t="s">
        <v>1718</v>
      </c>
      <c r="CO154" s="151">
        <v>156</v>
      </c>
      <c r="CP154" s="151" t="s">
        <v>1718</v>
      </c>
      <c r="CR154" s="155">
        <f t="shared" si="54"/>
        <v>0.02</v>
      </c>
      <c r="CS154" s="156">
        <f t="shared" si="55"/>
        <v>4.3700000000000003E-2</v>
      </c>
      <c r="CU154" s="151">
        <v>20</v>
      </c>
      <c r="CV154" s="152" t="s">
        <v>162</v>
      </c>
      <c r="CW154" s="152">
        <v>142</v>
      </c>
      <c r="CX154" s="152">
        <v>601.9</v>
      </c>
      <c r="CY154" s="151">
        <v>250</v>
      </c>
      <c r="CZ154" s="151" t="s">
        <v>1718</v>
      </c>
      <c r="DA154" s="151">
        <v>106</v>
      </c>
      <c r="DB154" s="151" t="s">
        <v>1718</v>
      </c>
      <c r="DC154" s="151">
        <v>78</v>
      </c>
      <c r="DD154" t="s">
        <v>1718</v>
      </c>
      <c r="DF154" s="155">
        <f t="shared" si="56"/>
        <v>0.02</v>
      </c>
      <c r="DG154" s="156">
        <f t="shared" si="57"/>
        <v>2.5000000000000001E-2</v>
      </c>
      <c r="DI154" s="151">
        <v>20</v>
      </c>
      <c r="DJ154" s="152" t="s">
        <v>162</v>
      </c>
      <c r="DK154" s="152">
        <v>156.9</v>
      </c>
      <c r="DL154" s="152">
        <v>580.70000000000005</v>
      </c>
      <c r="DM154" s="151">
        <v>256</v>
      </c>
      <c r="DN154" s="151" t="s">
        <v>1718</v>
      </c>
      <c r="DO154" s="151">
        <v>106</v>
      </c>
      <c r="DP154" s="151" t="s">
        <v>1718</v>
      </c>
      <c r="DQ154" s="151">
        <v>78</v>
      </c>
      <c r="DR154" t="s">
        <v>1718</v>
      </c>
      <c r="DT154" s="155">
        <f t="shared" si="58"/>
        <v>0.02</v>
      </c>
      <c r="DU154" s="156">
        <f t="shared" si="59"/>
        <v>2.5600000000000001E-2</v>
      </c>
    </row>
    <row r="155" spans="1:125" x14ac:dyDescent="0.2">
      <c r="A155" s="150">
        <v>22.5</v>
      </c>
      <c r="B155" s="151" t="s">
        <v>162</v>
      </c>
      <c r="C155" s="152">
        <v>106.1</v>
      </c>
      <c r="D155" s="152">
        <v>257.10000000000002</v>
      </c>
      <c r="E155" s="151">
        <v>454</v>
      </c>
      <c r="F155" s="151" t="s">
        <v>1718</v>
      </c>
      <c r="G155" s="151">
        <v>229</v>
      </c>
      <c r="H155" s="151" t="s">
        <v>1718</v>
      </c>
      <c r="I155" s="151">
        <v>162</v>
      </c>
      <c r="J155" s="151" t="s">
        <v>1718</v>
      </c>
      <c r="L155" s="155">
        <f t="shared" si="42"/>
        <v>2.2499999999999999E-2</v>
      </c>
      <c r="M155" s="156">
        <f t="shared" si="43"/>
        <v>4.5400000000000003E-2</v>
      </c>
      <c r="O155" s="150">
        <v>22.5</v>
      </c>
      <c r="P155" s="151" t="s">
        <v>162</v>
      </c>
      <c r="Q155" s="152">
        <v>116</v>
      </c>
      <c r="R155" s="152">
        <v>209.6</v>
      </c>
      <c r="S155" s="151">
        <v>494</v>
      </c>
      <c r="T155" s="151" t="s">
        <v>1718</v>
      </c>
      <c r="U155" s="151">
        <v>255</v>
      </c>
      <c r="V155" s="151" t="s">
        <v>1718</v>
      </c>
      <c r="W155" s="151">
        <v>183</v>
      </c>
      <c r="X155" s="151" t="s">
        <v>1718</v>
      </c>
      <c r="Z155" s="155">
        <f t="shared" si="44"/>
        <v>2.2499999999999999E-2</v>
      </c>
      <c r="AA155" s="156">
        <f t="shared" si="45"/>
        <v>4.9399999999999999E-2</v>
      </c>
      <c r="AC155" s="150">
        <v>22.5</v>
      </c>
      <c r="AD155" s="151" t="s">
        <v>162</v>
      </c>
      <c r="AE155" s="152">
        <v>83.92</v>
      </c>
      <c r="AF155" s="152">
        <v>6.8019999999999996</v>
      </c>
      <c r="AG155" s="151">
        <v>2205</v>
      </c>
      <c r="AH155" s="151" t="s">
        <v>1718</v>
      </c>
      <c r="AI155" s="151">
        <v>938</v>
      </c>
      <c r="AJ155" s="151" t="s">
        <v>1718</v>
      </c>
      <c r="AK155" s="151">
        <v>848</v>
      </c>
      <c r="AL155" s="151" t="s">
        <v>1718</v>
      </c>
      <c r="AN155" s="155">
        <f t="shared" si="46"/>
        <v>2.2499999999999999E-2</v>
      </c>
      <c r="AO155" s="156">
        <f t="shared" si="47"/>
        <v>0.2205</v>
      </c>
      <c r="AQ155" s="150">
        <v>22.5</v>
      </c>
      <c r="AR155" s="151" t="s">
        <v>162</v>
      </c>
      <c r="AS155" s="152">
        <v>105.7</v>
      </c>
      <c r="AT155" s="152">
        <v>0.59160000000000001</v>
      </c>
      <c r="AU155" s="151">
        <v>2540</v>
      </c>
      <c r="AV155" s="151" t="s">
        <v>1718</v>
      </c>
      <c r="AW155" s="151">
        <v>669</v>
      </c>
      <c r="AX155" s="151" t="s">
        <v>1718</v>
      </c>
      <c r="AY155" s="151">
        <v>696</v>
      </c>
      <c r="AZ155" s="151" t="s">
        <v>1718</v>
      </c>
      <c r="BB155" s="155">
        <f t="shared" si="48"/>
        <v>2.2499999999999999E-2</v>
      </c>
      <c r="BC155" s="156">
        <f t="shared" si="49"/>
        <v>0.254</v>
      </c>
      <c r="BE155" s="150">
        <v>22.5</v>
      </c>
      <c r="BF155" s="151" t="s">
        <v>162</v>
      </c>
      <c r="BG155" s="152">
        <v>144.5</v>
      </c>
      <c r="BH155" s="152">
        <v>84.71</v>
      </c>
      <c r="BI155" s="151">
        <v>733</v>
      </c>
      <c r="BJ155" s="151" t="s">
        <v>1718</v>
      </c>
      <c r="BK155" s="151">
        <v>360</v>
      </c>
      <c r="BL155" s="151" t="s">
        <v>1718</v>
      </c>
      <c r="BM155" s="151">
        <v>277</v>
      </c>
      <c r="BN155" s="151" t="s">
        <v>1718</v>
      </c>
      <c r="BP155" s="155">
        <f t="shared" si="50"/>
        <v>2.2499999999999999E-2</v>
      </c>
      <c r="BQ155" s="156">
        <f t="shared" si="51"/>
        <v>7.3300000000000004E-2</v>
      </c>
      <c r="BS155" s="150">
        <v>22.5</v>
      </c>
      <c r="BT155" s="151" t="s">
        <v>162</v>
      </c>
      <c r="BU155" s="152">
        <v>126.1</v>
      </c>
      <c r="BV155" s="152">
        <v>186.3</v>
      </c>
      <c r="BW155" s="151">
        <v>528</v>
      </c>
      <c r="BX155" s="151" t="s">
        <v>1718</v>
      </c>
      <c r="BY155" s="151">
        <v>264</v>
      </c>
      <c r="BZ155" s="151" t="s">
        <v>1718</v>
      </c>
      <c r="CA155" s="151">
        <v>190</v>
      </c>
      <c r="CB155" s="151" t="s">
        <v>1718</v>
      </c>
      <c r="CD155" s="155">
        <f t="shared" si="52"/>
        <v>2.2499999999999999E-2</v>
      </c>
      <c r="CE155" s="156">
        <f t="shared" si="53"/>
        <v>5.28E-2</v>
      </c>
      <c r="CG155" s="150">
        <v>22.5</v>
      </c>
      <c r="CH155" s="151" t="s">
        <v>162</v>
      </c>
      <c r="CI155" s="152">
        <v>107.4</v>
      </c>
      <c r="CJ155" s="152">
        <v>232.1</v>
      </c>
      <c r="CK155" s="151">
        <v>489</v>
      </c>
      <c r="CL155" s="151" t="s">
        <v>1718</v>
      </c>
      <c r="CM155" s="151">
        <v>241</v>
      </c>
      <c r="CN155" s="151" t="s">
        <v>1718</v>
      </c>
      <c r="CO155" s="151">
        <v>171</v>
      </c>
      <c r="CP155" s="151" t="s">
        <v>1718</v>
      </c>
      <c r="CR155" s="155">
        <f t="shared" si="54"/>
        <v>2.2499999999999999E-2</v>
      </c>
      <c r="CS155" s="156">
        <f t="shared" si="55"/>
        <v>4.8899999999999999E-2</v>
      </c>
      <c r="CU155" s="151">
        <v>22.5</v>
      </c>
      <c r="CV155" s="152" t="s">
        <v>162</v>
      </c>
      <c r="CW155" s="152">
        <v>150.69999999999999</v>
      </c>
      <c r="CX155" s="152">
        <v>603.4</v>
      </c>
      <c r="CY155" s="151">
        <v>275</v>
      </c>
      <c r="CZ155" s="151" t="s">
        <v>1718</v>
      </c>
      <c r="DA155" s="151">
        <v>116</v>
      </c>
      <c r="DB155" s="151" t="s">
        <v>1718</v>
      </c>
      <c r="DC155" s="151">
        <v>85</v>
      </c>
      <c r="DD155" t="s">
        <v>1718</v>
      </c>
      <c r="DF155" s="155">
        <f t="shared" si="56"/>
        <v>2.2499999999999999E-2</v>
      </c>
      <c r="DG155" s="156">
        <f t="shared" si="57"/>
        <v>2.75E-2</v>
      </c>
      <c r="DI155" s="151">
        <v>22.5</v>
      </c>
      <c r="DJ155" s="152" t="s">
        <v>162</v>
      </c>
      <c r="DK155" s="152">
        <v>166.4</v>
      </c>
      <c r="DL155" s="152">
        <v>581.70000000000005</v>
      </c>
      <c r="DM155" s="151">
        <v>282</v>
      </c>
      <c r="DN155" s="151" t="s">
        <v>1718</v>
      </c>
      <c r="DO155" s="151">
        <v>115</v>
      </c>
      <c r="DP155" s="151" t="s">
        <v>1718</v>
      </c>
      <c r="DQ155" s="151">
        <v>85</v>
      </c>
      <c r="DR155" t="s">
        <v>1718</v>
      </c>
      <c r="DT155" s="155">
        <f t="shared" si="58"/>
        <v>2.2499999999999999E-2</v>
      </c>
      <c r="DU155" s="156">
        <f t="shared" si="59"/>
        <v>2.8200000000000003E-2</v>
      </c>
    </row>
    <row r="156" spans="1:125" x14ac:dyDescent="0.2">
      <c r="A156" s="150">
        <v>25</v>
      </c>
      <c r="B156" s="151" t="s">
        <v>162</v>
      </c>
      <c r="C156" s="152">
        <v>111.9</v>
      </c>
      <c r="D156" s="152">
        <v>252.7</v>
      </c>
      <c r="E156" s="151">
        <v>503</v>
      </c>
      <c r="F156" s="151" t="s">
        <v>1718</v>
      </c>
      <c r="G156" s="151">
        <v>249</v>
      </c>
      <c r="H156" s="151" t="s">
        <v>1718</v>
      </c>
      <c r="I156" s="151">
        <v>176</v>
      </c>
      <c r="J156" s="151" t="s">
        <v>1718</v>
      </c>
      <c r="L156" s="155">
        <f t="shared" si="42"/>
        <v>2.5000000000000001E-2</v>
      </c>
      <c r="M156" s="156">
        <f t="shared" si="43"/>
        <v>5.0300000000000004E-2</v>
      </c>
      <c r="O156" s="150">
        <v>25</v>
      </c>
      <c r="P156" s="151" t="s">
        <v>162</v>
      </c>
      <c r="Q156" s="152">
        <v>122.2</v>
      </c>
      <c r="R156" s="152">
        <v>205.2</v>
      </c>
      <c r="S156" s="151">
        <v>547</v>
      </c>
      <c r="T156" s="151" t="s">
        <v>1718</v>
      </c>
      <c r="U156" s="151">
        <v>278</v>
      </c>
      <c r="V156" s="151" t="s">
        <v>1718</v>
      </c>
      <c r="W156" s="151">
        <v>199</v>
      </c>
      <c r="X156" s="151" t="s">
        <v>1718</v>
      </c>
      <c r="Z156" s="155">
        <f t="shared" si="44"/>
        <v>2.5000000000000001E-2</v>
      </c>
      <c r="AA156" s="156">
        <f t="shared" si="45"/>
        <v>5.4700000000000006E-2</v>
      </c>
      <c r="AC156" s="150">
        <v>25</v>
      </c>
      <c r="AD156" s="151" t="s">
        <v>162</v>
      </c>
      <c r="AE156" s="152">
        <v>89.68</v>
      </c>
      <c r="AF156" s="152">
        <v>6.4020000000000001</v>
      </c>
      <c r="AG156" s="151">
        <v>2414</v>
      </c>
      <c r="AH156" s="151" t="s">
        <v>1718</v>
      </c>
      <c r="AI156" s="151">
        <v>983</v>
      </c>
      <c r="AJ156" s="151" t="s">
        <v>1718</v>
      </c>
      <c r="AK156" s="151">
        <v>901</v>
      </c>
      <c r="AL156" s="151" t="s">
        <v>1718</v>
      </c>
      <c r="AN156" s="155">
        <f t="shared" si="46"/>
        <v>2.5000000000000001E-2</v>
      </c>
      <c r="AO156" s="156">
        <f t="shared" si="47"/>
        <v>0.2414</v>
      </c>
      <c r="AQ156" s="150">
        <v>25</v>
      </c>
      <c r="AR156" s="151" t="s">
        <v>162</v>
      </c>
      <c r="AS156" s="152">
        <v>109.8</v>
      </c>
      <c r="AT156" s="152">
        <v>0.55130000000000001</v>
      </c>
      <c r="AU156" s="151">
        <v>2751</v>
      </c>
      <c r="AV156" s="151" t="s">
        <v>1718</v>
      </c>
      <c r="AW156" s="151">
        <v>688</v>
      </c>
      <c r="AX156" s="151" t="s">
        <v>1718</v>
      </c>
      <c r="AY156" s="151">
        <v>726</v>
      </c>
      <c r="AZ156" s="151" t="s">
        <v>1718</v>
      </c>
      <c r="BB156" s="155">
        <f t="shared" si="48"/>
        <v>2.5000000000000001E-2</v>
      </c>
      <c r="BC156" s="156">
        <f t="shared" si="49"/>
        <v>0.27510000000000001</v>
      </c>
      <c r="BE156" s="150">
        <v>25</v>
      </c>
      <c r="BF156" s="151" t="s">
        <v>162</v>
      </c>
      <c r="BG156" s="152">
        <v>155.69999999999999</v>
      </c>
      <c r="BH156" s="152">
        <v>81.72</v>
      </c>
      <c r="BI156" s="151">
        <v>809</v>
      </c>
      <c r="BJ156" s="151" t="s">
        <v>1718</v>
      </c>
      <c r="BK156" s="151">
        <v>387</v>
      </c>
      <c r="BL156" s="151" t="s">
        <v>1718</v>
      </c>
      <c r="BM156" s="151">
        <v>300</v>
      </c>
      <c r="BN156" s="151" t="s">
        <v>1718</v>
      </c>
      <c r="BP156" s="155">
        <f t="shared" si="50"/>
        <v>2.5000000000000001E-2</v>
      </c>
      <c r="BQ156" s="156">
        <f t="shared" si="51"/>
        <v>8.09E-2</v>
      </c>
      <c r="BS156" s="150">
        <v>25</v>
      </c>
      <c r="BT156" s="151" t="s">
        <v>162</v>
      </c>
      <c r="BU156" s="152">
        <v>132.9</v>
      </c>
      <c r="BV156" s="152">
        <v>182</v>
      </c>
      <c r="BW156" s="151">
        <v>584</v>
      </c>
      <c r="BX156" s="151" t="s">
        <v>1718</v>
      </c>
      <c r="BY156" s="151">
        <v>286</v>
      </c>
      <c r="BZ156" s="151" t="s">
        <v>1718</v>
      </c>
      <c r="CA156" s="151">
        <v>207</v>
      </c>
      <c r="CB156" s="151" t="s">
        <v>1718</v>
      </c>
      <c r="CD156" s="155">
        <f t="shared" si="52"/>
        <v>2.5000000000000001E-2</v>
      </c>
      <c r="CE156" s="156">
        <f t="shared" si="53"/>
        <v>5.8400000000000001E-2</v>
      </c>
      <c r="CG156" s="150">
        <v>25</v>
      </c>
      <c r="CH156" s="151" t="s">
        <v>162</v>
      </c>
      <c r="CI156" s="152">
        <v>113.2</v>
      </c>
      <c r="CJ156" s="152">
        <v>227.6</v>
      </c>
      <c r="CK156" s="151">
        <v>541</v>
      </c>
      <c r="CL156" s="151" t="s">
        <v>1718</v>
      </c>
      <c r="CM156" s="151">
        <v>263</v>
      </c>
      <c r="CN156" s="151" t="s">
        <v>1718</v>
      </c>
      <c r="CO156" s="151">
        <v>187</v>
      </c>
      <c r="CP156" s="151" t="s">
        <v>1718</v>
      </c>
      <c r="CR156" s="155">
        <f t="shared" si="54"/>
        <v>2.5000000000000001E-2</v>
      </c>
      <c r="CS156" s="156">
        <f t="shared" si="55"/>
        <v>5.4100000000000002E-2</v>
      </c>
      <c r="CU156" s="151">
        <v>25</v>
      </c>
      <c r="CV156" s="152" t="s">
        <v>162</v>
      </c>
      <c r="CW156" s="152">
        <v>158.80000000000001</v>
      </c>
      <c r="CX156" s="152">
        <v>603.70000000000005</v>
      </c>
      <c r="CY156" s="151">
        <v>301</v>
      </c>
      <c r="CZ156" s="151" t="s">
        <v>1718</v>
      </c>
      <c r="DA156" s="151">
        <v>125</v>
      </c>
      <c r="DB156" s="151" t="s">
        <v>1718</v>
      </c>
      <c r="DC156" s="151">
        <v>92</v>
      </c>
      <c r="DD156" t="s">
        <v>1718</v>
      </c>
      <c r="DF156" s="155">
        <f t="shared" si="56"/>
        <v>2.5000000000000001E-2</v>
      </c>
      <c r="DG156" s="156">
        <f t="shared" si="57"/>
        <v>3.0100000000000002E-2</v>
      </c>
      <c r="DI156" s="151">
        <v>25</v>
      </c>
      <c r="DJ156" s="152" t="s">
        <v>162</v>
      </c>
      <c r="DK156" s="152">
        <v>175.4</v>
      </c>
      <c r="DL156" s="152">
        <v>581.4</v>
      </c>
      <c r="DM156" s="151">
        <v>307</v>
      </c>
      <c r="DN156" s="151" t="s">
        <v>1718</v>
      </c>
      <c r="DO156" s="151">
        <v>124</v>
      </c>
      <c r="DP156" s="151" t="s">
        <v>1718</v>
      </c>
      <c r="DQ156" s="151">
        <v>92</v>
      </c>
      <c r="DR156" t="s">
        <v>1718</v>
      </c>
      <c r="DT156" s="155">
        <f t="shared" si="58"/>
        <v>2.5000000000000001E-2</v>
      </c>
      <c r="DU156" s="156">
        <f t="shared" si="59"/>
        <v>3.0700000000000002E-2</v>
      </c>
    </row>
    <row r="157" spans="1:125" x14ac:dyDescent="0.2">
      <c r="A157" s="150">
        <v>27.5</v>
      </c>
      <c r="B157" s="151" t="s">
        <v>162</v>
      </c>
      <c r="C157" s="152">
        <v>117.3</v>
      </c>
      <c r="D157" s="152">
        <v>248.3</v>
      </c>
      <c r="E157" s="151">
        <v>551</v>
      </c>
      <c r="F157" s="151" t="s">
        <v>1718</v>
      </c>
      <c r="G157" s="151">
        <v>269</v>
      </c>
      <c r="H157" s="151" t="s">
        <v>1718</v>
      </c>
      <c r="I157" s="151">
        <v>191</v>
      </c>
      <c r="J157" s="151" t="s">
        <v>1718</v>
      </c>
      <c r="L157" s="155">
        <f t="shared" si="42"/>
        <v>2.75E-2</v>
      </c>
      <c r="M157" s="156">
        <f t="shared" si="43"/>
        <v>5.5100000000000003E-2</v>
      </c>
      <c r="O157" s="150">
        <v>27.5</v>
      </c>
      <c r="P157" s="151" t="s">
        <v>162</v>
      </c>
      <c r="Q157" s="152">
        <v>128.19999999999999</v>
      </c>
      <c r="R157" s="152">
        <v>200.9</v>
      </c>
      <c r="S157" s="151">
        <v>600</v>
      </c>
      <c r="T157" s="151" t="s">
        <v>1718</v>
      </c>
      <c r="U157" s="151">
        <v>300</v>
      </c>
      <c r="V157" s="151" t="s">
        <v>1718</v>
      </c>
      <c r="W157" s="151">
        <v>216</v>
      </c>
      <c r="X157" s="151" t="s">
        <v>1718</v>
      </c>
      <c r="Z157" s="155">
        <f t="shared" si="44"/>
        <v>2.75E-2</v>
      </c>
      <c r="AA157" s="156">
        <f t="shared" si="45"/>
        <v>6.0000000000000005E-2</v>
      </c>
      <c r="AC157" s="150">
        <v>27.5</v>
      </c>
      <c r="AD157" s="151" t="s">
        <v>162</v>
      </c>
      <c r="AE157" s="152">
        <v>95.27</v>
      </c>
      <c r="AF157" s="152">
        <v>6.0519999999999996</v>
      </c>
      <c r="AG157" s="151">
        <v>2616</v>
      </c>
      <c r="AH157" s="151" t="s">
        <v>1718</v>
      </c>
      <c r="AI157" s="151">
        <v>1024</v>
      </c>
      <c r="AJ157" s="151" t="s">
        <v>1718</v>
      </c>
      <c r="AK157" s="151">
        <v>949</v>
      </c>
      <c r="AL157" s="151" t="s">
        <v>1718</v>
      </c>
      <c r="AN157" s="155">
        <f t="shared" si="46"/>
        <v>2.75E-2</v>
      </c>
      <c r="AO157" s="156">
        <f t="shared" si="47"/>
        <v>0.2616</v>
      </c>
      <c r="AQ157" s="150">
        <v>27.5</v>
      </c>
      <c r="AR157" s="151" t="s">
        <v>162</v>
      </c>
      <c r="AS157" s="152">
        <v>113.2</v>
      </c>
      <c r="AT157" s="152">
        <v>0.51670000000000005</v>
      </c>
      <c r="AU157" s="151">
        <v>2956</v>
      </c>
      <c r="AV157" s="151" t="s">
        <v>1718</v>
      </c>
      <c r="AW157" s="151">
        <v>704</v>
      </c>
      <c r="AX157" s="151" t="s">
        <v>1718</v>
      </c>
      <c r="AY157" s="151">
        <v>752</v>
      </c>
      <c r="AZ157" s="151" t="s">
        <v>1718</v>
      </c>
      <c r="BB157" s="155">
        <f t="shared" si="48"/>
        <v>2.75E-2</v>
      </c>
      <c r="BC157" s="156">
        <f t="shared" si="49"/>
        <v>0.29560000000000003</v>
      </c>
      <c r="BE157" s="150">
        <v>27.5</v>
      </c>
      <c r="BF157" s="151" t="s">
        <v>162</v>
      </c>
      <c r="BG157" s="152">
        <v>170</v>
      </c>
      <c r="BH157" s="152">
        <v>78.95</v>
      </c>
      <c r="BI157" s="151">
        <v>884</v>
      </c>
      <c r="BJ157" s="151" t="s">
        <v>1718</v>
      </c>
      <c r="BK157" s="151">
        <v>411</v>
      </c>
      <c r="BL157" s="151" t="s">
        <v>1718</v>
      </c>
      <c r="BM157" s="151">
        <v>323</v>
      </c>
      <c r="BN157" s="151" t="s">
        <v>1718</v>
      </c>
      <c r="BP157" s="155">
        <f t="shared" si="50"/>
        <v>2.75E-2</v>
      </c>
      <c r="BQ157" s="156">
        <f t="shared" si="51"/>
        <v>8.8400000000000006E-2</v>
      </c>
      <c r="BS157" s="150">
        <v>27.5</v>
      </c>
      <c r="BT157" s="151" t="s">
        <v>162</v>
      </c>
      <c r="BU157" s="152">
        <v>139.4</v>
      </c>
      <c r="BV157" s="152">
        <v>177.8</v>
      </c>
      <c r="BW157" s="151">
        <v>641</v>
      </c>
      <c r="BX157" s="151" t="s">
        <v>1718</v>
      </c>
      <c r="BY157" s="151">
        <v>308</v>
      </c>
      <c r="BZ157" s="151" t="s">
        <v>1718</v>
      </c>
      <c r="CA157" s="151">
        <v>224</v>
      </c>
      <c r="CB157" s="151" t="s">
        <v>1718</v>
      </c>
      <c r="CD157" s="155">
        <f t="shared" si="52"/>
        <v>2.75E-2</v>
      </c>
      <c r="CE157" s="156">
        <f t="shared" si="53"/>
        <v>6.4100000000000004E-2</v>
      </c>
      <c r="CG157" s="150">
        <v>27.5</v>
      </c>
      <c r="CH157" s="151" t="s">
        <v>162</v>
      </c>
      <c r="CI157" s="152">
        <v>118.7</v>
      </c>
      <c r="CJ157" s="152">
        <v>223.1</v>
      </c>
      <c r="CK157" s="151">
        <v>594</v>
      </c>
      <c r="CL157" s="151" t="s">
        <v>1718</v>
      </c>
      <c r="CM157" s="151">
        <v>284</v>
      </c>
      <c r="CN157" s="151" t="s">
        <v>1718</v>
      </c>
      <c r="CO157" s="151">
        <v>202</v>
      </c>
      <c r="CP157" s="151" t="s">
        <v>1718</v>
      </c>
      <c r="CR157" s="155">
        <f t="shared" si="54"/>
        <v>2.75E-2</v>
      </c>
      <c r="CS157" s="156">
        <f t="shared" si="55"/>
        <v>5.9400000000000001E-2</v>
      </c>
      <c r="CU157" s="151">
        <v>27.5</v>
      </c>
      <c r="CV157" s="152" t="s">
        <v>162</v>
      </c>
      <c r="CW157" s="152">
        <v>166.6</v>
      </c>
      <c r="CX157" s="152">
        <v>602.9</v>
      </c>
      <c r="CY157" s="151">
        <v>326</v>
      </c>
      <c r="CZ157" s="151" t="s">
        <v>1718</v>
      </c>
      <c r="DA157" s="151">
        <v>134</v>
      </c>
      <c r="DB157" s="151" t="s">
        <v>1718</v>
      </c>
      <c r="DC157" s="151">
        <v>98</v>
      </c>
      <c r="DD157" t="s">
        <v>1718</v>
      </c>
      <c r="DF157" s="155">
        <f t="shared" si="56"/>
        <v>2.75E-2</v>
      </c>
      <c r="DG157" s="156">
        <f t="shared" si="57"/>
        <v>3.2600000000000004E-2</v>
      </c>
      <c r="DI157" s="151">
        <v>27.5</v>
      </c>
      <c r="DJ157" s="152" t="s">
        <v>162</v>
      </c>
      <c r="DK157" s="152">
        <v>183.9</v>
      </c>
      <c r="DL157" s="152">
        <v>580.29999999999995</v>
      </c>
      <c r="DM157" s="151">
        <v>333</v>
      </c>
      <c r="DN157" s="151" t="s">
        <v>1718</v>
      </c>
      <c r="DO157" s="151">
        <v>133</v>
      </c>
      <c r="DP157" s="151" t="s">
        <v>1718</v>
      </c>
      <c r="DQ157" s="151">
        <v>98</v>
      </c>
      <c r="DR157" t="s">
        <v>1718</v>
      </c>
      <c r="DT157" s="155">
        <f t="shared" si="58"/>
        <v>2.75E-2</v>
      </c>
      <c r="DU157" s="156">
        <f t="shared" si="59"/>
        <v>3.3300000000000003E-2</v>
      </c>
    </row>
    <row r="158" spans="1:125" x14ac:dyDescent="0.2">
      <c r="A158" s="150">
        <v>30</v>
      </c>
      <c r="B158" s="151" t="s">
        <v>162</v>
      </c>
      <c r="C158" s="152">
        <v>122.5</v>
      </c>
      <c r="D158" s="152">
        <v>243.9</v>
      </c>
      <c r="E158" s="151">
        <v>600</v>
      </c>
      <c r="F158" s="151" t="s">
        <v>1718</v>
      </c>
      <c r="G158" s="151">
        <v>289</v>
      </c>
      <c r="H158" s="151" t="s">
        <v>1718</v>
      </c>
      <c r="I158" s="151">
        <v>205</v>
      </c>
      <c r="J158" s="151" t="s">
        <v>1718</v>
      </c>
      <c r="L158" s="155">
        <f t="shared" si="42"/>
        <v>0.03</v>
      </c>
      <c r="M158" s="156">
        <f t="shared" si="43"/>
        <v>6.0000000000000005E-2</v>
      </c>
      <c r="O158" s="150">
        <v>30</v>
      </c>
      <c r="P158" s="151" t="s">
        <v>162</v>
      </c>
      <c r="Q158" s="152">
        <v>133.9</v>
      </c>
      <c r="R158" s="152">
        <v>196.8</v>
      </c>
      <c r="S158" s="151">
        <v>654</v>
      </c>
      <c r="T158" s="151" t="s">
        <v>1718</v>
      </c>
      <c r="U158" s="151">
        <v>322</v>
      </c>
      <c r="V158" s="151" t="s">
        <v>1718</v>
      </c>
      <c r="W158" s="151">
        <v>232</v>
      </c>
      <c r="X158" s="151" t="s">
        <v>1718</v>
      </c>
      <c r="Z158" s="155">
        <f t="shared" si="44"/>
        <v>0.03</v>
      </c>
      <c r="AA158" s="156">
        <f t="shared" si="45"/>
        <v>6.54E-2</v>
      </c>
      <c r="AC158" s="150">
        <v>30</v>
      </c>
      <c r="AD158" s="151" t="s">
        <v>162</v>
      </c>
      <c r="AE158" s="152">
        <v>100.7</v>
      </c>
      <c r="AF158" s="152">
        <v>5.7439999999999998</v>
      </c>
      <c r="AG158" s="151">
        <v>2811</v>
      </c>
      <c r="AH158" s="151" t="s">
        <v>1718</v>
      </c>
      <c r="AI158" s="151">
        <v>1060</v>
      </c>
      <c r="AJ158" s="151" t="s">
        <v>1718</v>
      </c>
      <c r="AK158" s="151">
        <v>993</v>
      </c>
      <c r="AL158" s="151" t="s">
        <v>1718</v>
      </c>
      <c r="AN158" s="155">
        <f t="shared" si="46"/>
        <v>0.03</v>
      </c>
      <c r="AO158" s="156">
        <f t="shared" si="47"/>
        <v>0.28110000000000002</v>
      </c>
      <c r="AQ158" s="150">
        <v>30</v>
      </c>
      <c r="AR158" s="151" t="s">
        <v>162</v>
      </c>
      <c r="AS158" s="152">
        <v>116</v>
      </c>
      <c r="AT158" s="152">
        <v>0.48670000000000002</v>
      </c>
      <c r="AU158" s="151">
        <v>3157</v>
      </c>
      <c r="AV158" s="151" t="s">
        <v>1718</v>
      </c>
      <c r="AW158" s="151">
        <v>720</v>
      </c>
      <c r="AX158" s="151" t="s">
        <v>1718</v>
      </c>
      <c r="AY158" s="151">
        <v>778</v>
      </c>
      <c r="AZ158" s="151" t="s">
        <v>1718</v>
      </c>
      <c r="BB158" s="155">
        <f t="shared" si="48"/>
        <v>0.03</v>
      </c>
      <c r="BC158" s="156">
        <f t="shared" si="49"/>
        <v>0.31570000000000004</v>
      </c>
      <c r="BE158" s="150">
        <v>30</v>
      </c>
      <c r="BF158" s="151" t="s">
        <v>162</v>
      </c>
      <c r="BG158" s="152">
        <v>182</v>
      </c>
      <c r="BH158" s="152">
        <v>76.400000000000006</v>
      </c>
      <c r="BI158" s="151">
        <v>956</v>
      </c>
      <c r="BJ158" s="151" t="s">
        <v>1718</v>
      </c>
      <c r="BK158" s="151">
        <v>434</v>
      </c>
      <c r="BL158" s="151" t="s">
        <v>1718</v>
      </c>
      <c r="BM158" s="151">
        <v>345</v>
      </c>
      <c r="BN158" s="151" t="s">
        <v>1718</v>
      </c>
      <c r="BP158" s="155">
        <f t="shared" si="50"/>
        <v>0.03</v>
      </c>
      <c r="BQ158" s="156">
        <f t="shared" si="51"/>
        <v>9.5600000000000004E-2</v>
      </c>
      <c r="BS158" s="150">
        <v>30</v>
      </c>
      <c r="BT158" s="151" t="s">
        <v>162</v>
      </c>
      <c r="BU158" s="152">
        <v>145.6</v>
      </c>
      <c r="BV158" s="152">
        <v>173.8</v>
      </c>
      <c r="BW158" s="151">
        <v>697</v>
      </c>
      <c r="BX158" s="151" t="s">
        <v>1718</v>
      </c>
      <c r="BY158" s="151">
        <v>330</v>
      </c>
      <c r="BZ158" s="151" t="s">
        <v>1718</v>
      </c>
      <c r="CA158" s="151">
        <v>241</v>
      </c>
      <c r="CB158" s="151" t="s">
        <v>1718</v>
      </c>
      <c r="CD158" s="155">
        <f t="shared" si="52"/>
        <v>0.03</v>
      </c>
      <c r="CE158" s="156">
        <f t="shared" si="53"/>
        <v>6.9699999999999998E-2</v>
      </c>
      <c r="CG158" s="150">
        <v>30</v>
      </c>
      <c r="CH158" s="151" t="s">
        <v>162</v>
      </c>
      <c r="CI158" s="152">
        <v>124</v>
      </c>
      <c r="CJ158" s="152">
        <v>218.8</v>
      </c>
      <c r="CK158" s="151">
        <v>647</v>
      </c>
      <c r="CL158" s="151" t="s">
        <v>1718</v>
      </c>
      <c r="CM158" s="151">
        <v>305</v>
      </c>
      <c r="CN158" s="151" t="s">
        <v>1718</v>
      </c>
      <c r="CO158" s="151">
        <v>217</v>
      </c>
      <c r="CP158" s="151" t="s">
        <v>1718</v>
      </c>
      <c r="CR158" s="155">
        <f t="shared" si="54"/>
        <v>0.03</v>
      </c>
      <c r="CS158" s="156">
        <f t="shared" si="55"/>
        <v>6.4700000000000008E-2</v>
      </c>
      <c r="CU158" s="151">
        <v>30</v>
      </c>
      <c r="CV158" s="152" t="s">
        <v>162</v>
      </c>
      <c r="CW158" s="152">
        <v>174</v>
      </c>
      <c r="CX158" s="152">
        <v>601.4</v>
      </c>
      <c r="CY158" s="151">
        <v>351</v>
      </c>
      <c r="CZ158" s="151" t="s">
        <v>1718</v>
      </c>
      <c r="DA158" s="151">
        <v>142</v>
      </c>
      <c r="DB158" s="151" t="s">
        <v>1718</v>
      </c>
      <c r="DC158" s="151">
        <v>104</v>
      </c>
      <c r="DD158" t="s">
        <v>1718</v>
      </c>
      <c r="DF158" s="155">
        <f t="shared" si="56"/>
        <v>0.03</v>
      </c>
      <c r="DG158" s="156">
        <f t="shared" si="57"/>
        <v>3.5099999999999999E-2</v>
      </c>
      <c r="DI158" s="151">
        <v>30</v>
      </c>
      <c r="DJ158" s="152" t="s">
        <v>162</v>
      </c>
      <c r="DK158" s="152">
        <v>192.1</v>
      </c>
      <c r="DL158" s="152">
        <v>578.5</v>
      </c>
      <c r="DM158" s="151">
        <v>358</v>
      </c>
      <c r="DN158" s="151" t="s">
        <v>1718</v>
      </c>
      <c r="DO158" s="151">
        <v>142</v>
      </c>
      <c r="DP158" s="151" t="s">
        <v>1718</v>
      </c>
      <c r="DQ158" s="151">
        <v>104</v>
      </c>
      <c r="DR158" t="s">
        <v>1718</v>
      </c>
      <c r="DT158" s="155">
        <f t="shared" si="58"/>
        <v>0.03</v>
      </c>
      <c r="DU158" s="156">
        <f t="shared" si="59"/>
        <v>3.5799999999999998E-2</v>
      </c>
    </row>
    <row r="159" spans="1:125" x14ac:dyDescent="0.2">
      <c r="A159" s="150">
        <v>32.5</v>
      </c>
      <c r="B159" s="151" t="s">
        <v>162</v>
      </c>
      <c r="C159" s="152">
        <v>127.5</v>
      </c>
      <c r="D159" s="152">
        <v>239.6</v>
      </c>
      <c r="E159" s="151">
        <v>649</v>
      </c>
      <c r="F159" s="151" t="s">
        <v>1718</v>
      </c>
      <c r="G159" s="151">
        <v>309</v>
      </c>
      <c r="H159" s="151" t="s">
        <v>1718</v>
      </c>
      <c r="I159" s="151">
        <v>219</v>
      </c>
      <c r="J159" s="151" t="s">
        <v>1718</v>
      </c>
      <c r="L159" s="155">
        <f t="shared" si="42"/>
        <v>3.2500000000000001E-2</v>
      </c>
      <c r="M159" s="156">
        <f t="shared" si="43"/>
        <v>6.4899999999999999E-2</v>
      </c>
      <c r="O159" s="150">
        <v>32.5</v>
      </c>
      <c r="P159" s="151" t="s">
        <v>162</v>
      </c>
      <c r="Q159" s="152">
        <v>139.4</v>
      </c>
      <c r="R159" s="152">
        <v>192.8</v>
      </c>
      <c r="S159" s="151">
        <v>708</v>
      </c>
      <c r="T159" s="151" t="s">
        <v>1718</v>
      </c>
      <c r="U159" s="151">
        <v>343</v>
      </c>
      <c r="V159" s="151" t="s">
        <v>1718</v>
      </c>
      <c r="W159" s="151">
        <v>248</v>
      </c>
      <c r="X159" s="151" t="s">
        <v>1718</v>
      </c>
      <c r="Z159" s="155">
        <f t="shared" si="44"/>
        <v>3.2500000000000001E-2</v>
      </c>
      <c r="AA159" s="156">
        <f t="shared" si="45"/>
        <v>7.0800000000000002E-2</v>
      </c>
      <c r="AC159" s="150">
        <v>32.5</v>
      </c>
      <c r="AD159" s="151" t="s">
        <v>162</v>
      </c>
      <c r="AE159" s="152">
        <v>105.9</v>
      </c>
      <c r="AF159" s="152">
        <v>5.47</v>
      </c>
      <c r="AG159" s="151">
        <v>3000</v>
      </c>
      <c r="AH159" s="151" t="s">
        <v>1718</v>
      </c>
      <c r="AI159" s="151">
        <v>1093</v>
      </c>
      <c r="AJ159" s="151" t="s">
        <v>1718</v>
      </c>
      <c r="AK159" s="151">
        <v>1034</v>
      </c>
      <c r="AL159" s="151" t="s">
        <v>1718</v>
      </c>
      <c r="AN159" s="155">
        <f t="shared" si="46"/>
        <v>3.2500000000000001E-2</v>
      </c>
      <c r="AO159" s="156">
        <f t="shared" si="47"/>
        <v>0.3</v>
      </c>
      <c r="AQ159" s="150">
        <v>32.5</v>
      </c>
      <c r="AR159" s="151" t="s">
        <v>162</v>
      </c>
      <c r="AS159" s="152">
        <v>118.3</v>
      </c>
      <c r="AT159" s="152">
        <v>0.46039999999999998</v>
      </c>
      <c r="AU159" s="151">
        <v>3355</v>
      </c>
      <c r="AV159" s="151" t="s">
        <v>1718</v>
      </c>
      <c r="AW159" s="151">
        <v>734</v>
      </c>
      <c r="AX159" s="151" t="s">
        <v>1718</v>
      </c>
      <c r="AY159" s="151">
        <v>801</v>
      </c>
      <c r="AZ159" s="151" t="s">
        <v>1718</v>
      </c>
      <c r="BB159" s="155">
        <f t="shared" si="48"/>
        <v>3.2500000000000001E-2</v>
      </c>
      <c r="BC159" s="156">
        <f t="shared" si="49"/>
        <v>0.33550000000000002</v>
      </c>
      <c r="BE159" s="150">
        <v>32.5</v>
      </c>
      <c r="BF159" s="151" t="s">
        <v>162</v>
      </c>
      <c r="BG159" s="152">
        <v>191.9</v>
      </c>
      <c r="BH159" s="152">
        <v>74.03</v>
      </c>
      <c r="BI159" s="151">
        <v>1027</v>
      </c>
      <c r="BJ159" s="151" t="s">
        <v>1718</v>
      </c>
      <c r="BK159" s="151">
        <v>456</v>
      </c>
      <c r="BL159" s="151" t="s">
        <v>1718</v>
      </c>
      <c r="BM159" s="151">
        <v>365</v>
      </c>
      <c r="BN159" s="151" t="s">
        <v>1718</v>
      </c>
      <c r="BP159" s="155">
        <f t="shared" si="50"/>
        <v>3.2500000000000001E-2</v>
      </c>
      <c r="BQ159" s="156">
        <f t="shared" si="51"/>
        <v>0.1027</v>
      </c>
      <c r="BS159" s="150">
        <v>32.5</v>
      </c>
      <c r="BT159" s="151" t="s">
        <v>162</v>
      </c>
      <c r="BU159" s="152">
        <v>151.5</v>
      </c>
      <c r="BV159" s="152">
        <v>170</v>
      </c>
      <c r="BW159" s="151">
        <v>754</v>
      </c>
      <c r="BX159" s="151" t="s">
        <v>1718</v>
      </c>
      <c r="BY159" s="151">
        <v>351</v>
      </c>
      <c r="BZ159" s="151" t="s">
        <v>1718</v>
      </c>
      <c r="CA159" s="151">
        <v>257</v>
      </c>
      <c r="CB159" s="151" t="s">
        <v>1718</v>
      </c>
      <c r="CD159" s="155">
        <f t="shared" si="52"/>
        <v>3.2500000000000001E-2</v>
      </c>
      <c r="CE159" s="156">
        <f t="shared" si="53"/>
        <v>7.5400000000000009E-2</v>
      </c>
      <c r="CG159" s="150">
        <v>32.5</v>
      </c>
      <c r="CH159" s="151" t="s">
        <v>162</v>
      </c>
      <c r="CI159" s="152">
        <v>129.1</v>
      </c>
      <c r="CJ159" s="152">
        <v>214.6</v>
      </c>
      <c r="CK159" s="151">
        <v>700</v>
      </c>
      <c r="CL159" s="151" t="s">
        <v>1718</v>
      </c>
      <c r="CM159" s="151">
        <v>325</v>
      </c>
      <c r="CN159" s="151" t="s">
        <v>1718</v>
      </c>
      <c r="CO159" s="151">
        <v>232</v>
      </c>
      <c r="CP159" s="151" t="s">
        <v>1718</v>
      </c>
      <c r="CR159" s="155">
        <f t="shared" si="54"/>
        <v>3.2500000000000001E-2</v>
      </c>
      <c r="CS159" s="156">
        <f t="shared" si="55"/>
        <v>7.0000000000000007E-2</v>
      </c>
      <c r="CU159" s="151">
        <v>32.5</v>
      </c>
      <c r="CV159" s="152" t="s">
        <v>162</v>
      </c>
      <c r="CW159" s="152">
        <v>181.1</v>
      </c>
      <c r="CX159" s="152">
        <v>599.4</v>
      </c>
      <c r="CY159" s="151">
        <v>376</v>
      </c>
      <c r="CZ159" s="151" t="s">
        <v>1718</v>
      </c>
      <c r="DA159" s="151">
        <v>151</v>
      </c>
      <c r="DB159" s="151" t="s">
        <v>1718</v>
      </c>
      <c r="DC159" s="151">
        <v>110</v>
      </c>
      <c r="DD159" t="s">
        <v>1718</v>
      </c>
      <c r="DF159" s="155">
        <f t="shared" si="56"/>
        <v>3.2500000000000001E-2</v>
      </c>
      <c r="DG159" s="156">
        <f t="shared" si="57"/>
        <v>3.7600000000000001E-2</v>
      </c>
      <c r="DI159" s="151">
        <v>32.5</v>
      </c>
      <c r="DJ159" s="152" t="s">
        <v>162</v>
      </c>
      <c r="DK159" s="152">
        <v>200</v>
      </c>
      <c r="DL159" s="152">
        <v>576.1</v>
      </c>
      <c r="DM159" s="151">
        <v>384</v>
      </c>
      <c r="DN159" s="151" t="s">
        <v>1718</v>
      </c>
      <c r="DO159" s="151">
        <v>150</v>
      </c>
      <c r="DP159" s="151" t="s">
        <v>1718</v>
      </c>
      <c r="DQ159" s="151">
        <v>110</v>
      </c>
      <c r="DR159" t="s">
        <v>1718</v>
      </c>
      <c r="DT159" s="155">
        <f t="shared" si="58"/>
        <v>3.2500000000000001E-2</v>
      </c>
      <c r="DU159" s="156">
        <f t="shared" si="59"/>
        <v>3.8400000000000004E-2</v>
      </c>
    </row>
    <row r="160" spans="1:125" x14ac:dyDescent="0.2">
      <c r="A160" s="150">
        <v>35</v>
      </c>
      <c r="B160" s="151" t="s">
        <v>162</v>
      </c>
      <c r="C160" s="152">
        <v>132.30000000000001</v>
      </c>
      <c r="D160" s="152">
        <v>235.4</v>
      </c>
      <c r="E160" s="151">
        <v>699</v>
      </c>
      <c r="F160" s="151" t="s">
        <v>1718</v>
      </c>
      <c r="G160" s="151">
        <v>328</v>
      </c>
      <c r="H160" s="151" t="s">
        <v>1718</v>
      </c>
      <c r="I160" s="151">
        <v>233</v>
      </c>
      <c r="J160" s="151" t="s">
        <v>1718</v>
      </c>
      <c r="L160" s="155">
        <f t="shared" si="42"/>
        <v>3.5000000000000003E-2</v>
      </c>
      <c r="M160" s="156">
        <f t="shared" si="43"/>
        <v>6.9900000000000004E-2</v>
      </c>
      <c r="O160" s="150">
        <v>35</v>
      </c>
      <c r="P160" s="151" t="s">
        <v>162</v>
      </c>
      <c r="Q160" s="152">
        <v>144.6</v>
      </c>
      <c r="R160" s="152">
        <v>189</v>
      </c>
      <c r="S160" s="151">
        <v>762</v>
      </c>
      <c r="T160" s="151" t="s">
        <v>1718</v>
      </c>
      <c r="U160" s="151">
        <v>364</v>
      </c>
      <c r="V160" s="151" t="s">
        <v>1718</v>
      </c>
      <c r="W160" s="151">
        <v>264</v>
      </c>
      <c r="X160" s="151" t="s">
        <v>1718</v>
      </c>
      <c r="Z160" s="155">
        <f t="shared" si="44"/>
        <v>3.5000000000000003E-2</v>
      </c>
      <c r="AA160" s="156">
        <f t="shared" si="45"/>
        <v>7.6200000000000004E-2</v>
      </c>
      <c r="AC160" s="150">
        <v>35</v>
      </c>
      <c r="AD160" s="151" t="s">
        <v>162</v>
      </c>
      <c r="AE160" s="152">
        <v>111</v>
      </c>
      <c r="AF160" s="152">
        <v>5.2249999999999996</v>
      </c>
      <c r="AG160" s="151">
        <v>3182</v>
      </c>
      <c r="AH160" s="151" t="s">
        <v>1718</v>
      </c>
      <c r="AI160" s="151">
        <v>1123</v>
      </c>
      <c r="AJ160" s="151" t="s">
        <v>1718</v>
      </c>
      <c r="AK160" s="151">
        <v>1073</v>
      </c>
      <c r="AL160" s="151" t="s">
        <v>1718</v>
      </c>
      <c r="AN160" s="155">
        <f t="shared" si="46"/>
        <v>3.5000000000000003E-2</v>
      </c>
      <c r="AO160" s="156">
        <f t="shared" si="47"/>
        <v>0.31820000000000004</v>
      </c>
      <c r="AQ160" s="150">
        <v>35</v>
      </c>
      <c r="AR160" s="151" t="s">
        <v>162</v>
      </c>
      <c r="AS160" s="152">
        <v>120.2</v>
      </c>
      <c r="AT160" s="152">
        <v>0.43719999999999998</v>
      </c>
      <c r="AU160" s="151">
        <v>3550</v>
      </c>
      <c r="AV160" s="151" t="s">
        <v>1718</v>
      </c>
      <c r="AW160" s="151">
        <v>747</v>
      </c>
      <c r="AX160" s="151" t="s">
        <v>1718</v>
      </c>
      <c r="AY160" s="151">
        <v>824</v>
      </c>
      <c r="AZ160" s="151" t="s">
        <v>1718</v>
      </c>
      <c r="BB160" s="155">
        <f t="shared" si="48"/>
        <v>3.5000000000000003E-2</v>
      </c>
      <c r="BC160" s="156">
        <f t="shared" si="49"/>
        <v>0.35500000000000004</v>
      </c>
      <c r="BE160" s="150">
        <v>35</v>
      </c>
      <c r="BF160" s="151" t="s">
        <v>162</v>
      </c>
      <c r="BG160" s="152">
        <v>200.3</v>
      </c>
      <c r="BH160" s="152">
        <v>71.819999999999993</v>
      </c>
      <c r="BI160" s="151">
        <v>1097</v>
      </c>
      <c r="BJ160" s="151" t="s">
        <v>1718</v>
      </c>
      <c r="BK160" s="151">
        <v>476</v>
      </c>
      <c r="BL160" s="151" t="s">
        <v>1718</v>
      </c>
      <c r="BM160" s="151">
        <v>385</v>
      </c>
      <c r="BN160" s="151" t="s">
        <v>1718</v>
      </c>
      <c r="BP160" s="155">
        <f t="shared" si="50"/>
        <v>3.5000000000000003E-2</v>
      </c>
      <c r="BQ160" s="156">
        <f t="shared" si="51"/>
        <v>0.10970000000000001</v>
      </c>
      <c r="BS160" s="150">
        <v>35</v>
      </c>
      <c r="BT160" s="151" t="s">
        <v>162</v>
      </c>
      <c r="BU160" s="152">
        <v>157.30000000000001</v>
      </c>
      <c r="BV160" s="152">
        <v>166.3</v>
      </c>
      <c r="BW160" s="151">
        <v>811</v>
      </c>
      <c r="BX160" s="151" t="s">
        <v>1718</v>
      </c>
      <c r="BY160" s="151">
        <v>372</v>
      </c>
      <c r="BZ160" s="151" t="s">
        <v>1718</v>
      </c>
      <c r="CA160" s="151">
        <v>273</v>
      </c>
      <c r="CB160" s="151" t="s">
        <v>1718</v>
      </c>
      <c r="CD160" s="155">
        <f t="shared" si="52"/>
        <v>3.5000000000000003E-2</v>
      </c>
      <c r="CE160" s="156">
        <f t="shared" si="53"/>
        <v>8.1100000000000005E-2</v>
      </c>
      <c r="CG160" s="150">
        <v>35</v>
      </c>
      <c r="CH160" s="151" t="s">
        <v>162</v>
      </c>
      <c r="CI160" s="152">
        <v>133.9</v>
      </c>
      <c r="CJ160" s="152">
        <v>210.5</v>
      </c>
      <c r="CK160" s="151">
        <v>754</v>
      </c>
      <c r="CL160" s="151" t="s">
        <v>1718</v>
      </c>
      <c r="CM160" s="151">
        <v>345</v>
      </c>
      <c r="CN160" s="151" t="s">
        <v>1718</v>
      </c>
      <c r="CO160" s="151">
        <v>247</v>
      </c>
      <c r="CP160" s="151" t="s">
        <v>1718</v>
      </c>
      <c r="CR160" s="155">
        <f t="shared" si="54"/>
        <v>3.5000000000000003E-2</v>
      </c>
      <c r="CS160" s="156">
        <f t="shared" si="55"/>
        <v>7.5400000000000009E-2</v>
      </c>
      <c r="CU160" s="151">
        <v>35</v>
      </c>
      <c r="CV160" s="152" t="s">
        <v>162</v>
      </c>
      <c r="CW160" s="152">
        <v>187.9</v>
      </c>
      <c r="CX160" s="152">
        <v>596.79999999999995</v>
      </c>
      <c r="CY160" s="151">
        <v>401</v>
      </c>
      <c r="CZ160" s="151" t="s">
        <v>1718</v>
      </c>
      <c r="DA160" s="151">
        <v>160</v>
      </c>
      <c r="DB160" s="151" t="s">
        <v>1718</v>
      </c>
      <c r="DC160" s="151">
        <v>117</v>
      </c>
      <c r="DD160" t="s">
        <v>1718</v>
      </c>
      <c r="DF160" s="155">
        <f t="shared" si="56"/>
        <v>3.5000000000000003E-2</v>
      </c>
      <c r="DG160" s="156">
        <f t="shared" si="57"/>
        <v>4.0100000000000004E-2</v>
      </c>
      <c r="DI160" s="151">
        <v>35</v>
      </c>
      <c r="DJ160" s="152" t="s">
        <v>162</v>
      </c>
      <c r="DK160" s="152">
        <v>207.5</v>
      </c>
      <c r="DL160" s="152">
        <v>573.29999999999995</v>
      </c>
      <c r="DM160" s="151">
        <v>409</v>
      </c>
      <c r="DN160" s="151" t="s">
        <v>1718</v>
      </c>
      <c r="DO160" s="151">
        <v>159</v>
      </c>
      <c r="DP160" s="151" t="s">
        <v>1718</v>
      </c>
      <c r="DQ160" s="151">
        <v>117</v>
      </c>
      <c r="DR160" t="s">
        <v>1718</v>
      </c>
      <c r="DT160" s="155">
        <f t="shared" si="58"/>
        <v>3.5000000000000003E-2</v>
      </c>
      <c r="DU160" s="156">
        <f t="shared" si="59"/>
        <v>4.0899999999999999E-2</v>
      </c>
    </row>
    <row r="161" spans="1:125" x14ac:dyDescent="0.2">
      <c r="A161" s="150">
        <v>37.5</v>
      </c>
      <c r="B161" s="151" t="s">
        <v>162</v>
      </c>
      <c r="C161" s="152">
        <v>137</v>
      </c>
      <c r="D161" s="152">
        <v>231.4</v>
      </c>
      <c r="E161" s="151">
        <v>749</v>
      </c>
      <c r="F161" s="151" t="s">
        <v>1718</v>
      </c>
      <c r="G161" s="151">
        <v>347</v>
      </c>
      <c r="H161" s="151" t="s">
        <v>1718</v>
      </c>
      <c r="I161" s="151">
        <v>247</v>
      </c>
      <c r="J161" s="151" t="s">
        <v>1718</v>
      </c>
      <c r="L161" s="155">
        <f t="shared" si="42"/>
        <v>3.7499999999999999E-2</v>
      </c>
      <c r="M161" s="156">
        <f t="shared" si="43"/>
        <v>7.4900000000000008E-2</v>
      </c>
      <c r="O161" s="150">
        <v>37.5</v>
      </c>
      <c r="P161" s="151" t="s">
        <v>162</v>
      </c>
      <c r="Q161" s="152">
        <v>157.5</v>
      </c>
      <c r="R161" s="152">
        <v>185.3</v>
      </c>
      <c r="S161" s="151">
        <v>815</v>
      </c>
      <c r="T161" s="151" t="s">
        <v>1718</v>
      </c>
      <c r="U161" s="151">
        <v>384</v>
      </c>
      <c r="V161" s="151" t="s">
        <v>1718</v>
      </c>
      <c r="W161" s="151">
        <v>280</v>
      </c>
      <c r="X161" s="151" t="s">
        <v>1718</v>
      </c>
      <c r="Z161" s="155">
        <f t="shared" si="44"/>
        <v>3.7499999999999999E-2</v>
      </c>
      <c r="AA161" s="156">
        <f t="shared" si="45"/>
        <v>8.1500000000000003E-2</v>
      </c>
      <c r="AC161" s="150">
        <v>37.5</v>
      </c>
      <c r="AD161" s="151" t="s">
        <v>162</v>
      </c>
      <c r="AE161" s="152">
        <v>116</v>
      </c>
      <c r="AF161" s="152">
        <v>5.0030000000000001</v>
      </c>
      <c r="AG161" s="151">
        <v>3360</v>
      </c>
      <c r="AH161" s="151" t="s">
        <v>1718</v>
      </c>
      <c r="AI161" s="151">
        <v>1150</v>
      </c>
      <c r="AJ161" s="151" t="s">
        <v>1718</v>
      </c>
      <c r="AK161" s="151">
        <v>1109</v>
      </c>
      <c r="AL161" s="151" t="s">
        <v>1718</v>
      </c>
      <c r="AN161" s="155">
        <f t="shared" si="46"/>
        <v>3.7499999999999999E-2</v>
      </c>
      <c r="AO161" s="156">
        <f t="shared" si="47"/>
        <v>0.33600000000000002</v>
      </c>
      <c r="AQ161" s="150">
        <v>37.5</v>
      </c>
      <c r="AR161" s="151" t="s">
        <v>162</v>
      </c>
      <c r="AS161" s="152">
        <v>121.6</v>
      </c>
      <c r="AT161" s="152">
        <v>0.41639999999999999</v>
      </c>
      <c r="AU161" s="151">
        <v>3744</v>
      </c>
      <c r="AV161" s="151" t="s">
        <v>1718</v>
      </c>
      <c r="AW161" s="151">
        <v>759</v>
      </c>
      <c r="AX161" s="151" t="s">
        <v>1718</v>
      </c>
      <c r="AY161" s="151">
        <v>845</v>
      </c>
      <c r="AZ161" s="151" t="s">
        <v>1718</v>
      </c>
      <c r="BB161" s="155">
        <f t="shared" si="48"/>
        <v>3.7499999999999999E-2</v>
      </c>
      <c r="BC161" s="156">
        <f t="shared" si="49"/>
        <v>0.37440000000000001</v>
      </c>
      <c r="BE161" s="150">
        <v>37.5</v>
      </c>
      <c r="BF161" s="151" t="s">
        <v>162</v>
      </c>
      <c r="BG161" s="152">
        <v>207.5</v>
      </c>
      <c r="BH161" s="152">
        <v>69.77</v>
      </c>
      <c r="BI161" s="151">
        <v>1167</v>
      </c>
      <c r="BJ161" s="151" t="s">
        <v>1718</v>
      </c>
      <c r="BK161" s="151">
        <v>496</v>
      </c>
      <c r="BL161" s="151" t="s">
        <v>1718</v>
      </c>
      <c r="BM161" s="151">
        <v>404</v>
      </c>
      <c r="BN161" s="151" t="s">
        <v>1718</v>
      </c>
      <c r="BP161" s="155">
        <f t="shared" si="50"/>
        <v>3.7499999999999999E-2</v>
      </c>
      <c r="BQ161" s="156">
        <f t="shared" si="51"/>
        <v>0.11670000000000001</v>
      </c>
      <c r="BS161" s="150">
        <v>37.5</v>
      </c>
      <c r="BT161" s="151" t="s">
        <v>162</v>
      </c>
      <c r="BU161" s="152">
        <v>173.2</v>
      </c>
      <c r="BV161" s="152">
        <v>162.80000000000001</v>
      </c>
      <c r="BW161" s="151">
        <v>867</v>
      </c>
      <c r="BX161" s="151" t="s">
        <v>1718</v>
      </c>
      <c r="BY161" s="151">
        <v>391</v>
      </c>
      <c r="BZ161" s="151" t="s">
        <v>1718</v>
      </c>
      <c r="CA161" s="151">
        <v>290</v>
      </c>
      <c r="CB161" s="151" t="s">
        <v>1718</v>
      </c>
      <c r="CD161" s="155">
        <f t="shared" si="52"/>
        <v>3.7499999999999999E-2</v>
      </c>
      <c r="CE161" s="156">
        <f t="shared" si="53"/>
        <v>8.6699999999999999E-2</v>
      </c>
      <c r="CG161" s="150">
        <v>37.5</v>
      </c>
      <c r="CH161" s="151" t="s">
        <v>162</v>
      </c>
      <c r="CI161" s="152">
        <v>138.6</v>
      </c>
      <c r="CJ161" s="152">
        <v>206.6</v>
      </c>
      <c r="CK161" s="151">
        <v>807</v>
      </c>
      <c r="CL161" s="151" t="s">
        <v>1718</v>
      </c>
      <c r="CM161" s="151">
        <v>365</v>
      </c>
      <c r="CN161" s="151" t="s">
        <v>1718</v>
      </c>
      <c r="CO161" s="151">
        <v>262</v>
      </c>
      <c r="CP161" s="151" t="s">
        <v>1718</v>
      </c>
      <c r="CR161" s="155">
        <f t="shared" si="54"/>
        <v>3.7499999999999999E-2</v>
      </c>
      <c r="CS161" s="156">
        <f t="shared" si="55"/>
        <v>8.0700000000000008E-2</v>
      </c>
      <c r="CU161" s="151">
        <v>37.5</v>
      </c>
      <c r="CV161" s="152" t="s">
        <v>162</v>
      </c>
      <c r="CW161" s="152">
        <v>194.5</v>
      </c>
      <c r="CX161" s="152">
        <v>594</v>
      </c>
      <c r="CY161" s="151">
        <v>426</v>
      </c>
      <c r="CZ161" s="151" t="s">
        <v>1718</v>
      </c>
      <c r="DA161" s="151">
        <v>168</v>
      </c>
      <c r="DB161" s="151" t="s">
        <v>1718</v>
      </c>
      <c r="DC161" s="151">
        <v>123</v>
      </c>
      <c r="DD161" t="s">
        <v>1718</v>
      </c>
      <c r="DF161" s="155">
        <f t="shared" si="56"/>
        <v>3.7499999999999999E-2</v>
      </c>
      <c r="DG161" s="156">
        <f t="shared" si="57"/>
        <v>4.2599999999999999E-2</v>
      </c>
      <c r="DI161" s="151">
        <v>37.5</v>
      </c>
      <c r="DJ161" s="152" t="s">
        <v>162</v>
      </c>
      <c r="DK161" s="152">
        <v>214.8</v>
      </c>
      <c r="DL161" s="152">
        <v>570.20000000000005</v>
      </c>
      <c r="DM161" s="151">
        <v>434</v>
      </c>
      <c r="DN161" s="151" t="s">
        <v>1718</v>
      </c>
      <c r="DO161" s="151">
        <v>167</v>
      </c>
      <c r="DP161" s="151" t="s">
        <v>1718</v>
      </c>
      <c r="DQ161" s="151">
        <v>123</v>
      </c>
      <c r="DR161" t="s">
        <v>1718</v>
      </c>
      <c r="DT161" s="155">
        <f t="shared" si="58"/>
        <v>3.7499999999999999E-2</v>
      </c>
      <c r="DU161" s="156">
        <f t="shared" si="59"/>
        <v>4.3400000000000001E-2</v>
      </c>
    </row>
    <row r="162" spans="1:125" x14ac:dyDescent="0.2">
      <c r="A162" s="150">
        <v>40</v>
      </c>
      <c r="B162" s="151" t="s">
        <v>162</v>
      </c>
      <c r="C162" s="152">
        <v>141.5</v>
      </c>
      <c r="D162" s="152">
        <v>227.5</v>
      </c>
      <c r="E162" s="151">
        <v>799</v>
      </c>
      <c r="F162" s="151" t="s">
        <v>1718</v>
      </c>
      <c r="G162" s="151">
        <v>366</v>
      </c>
      <c r="H162" s="151" t="s">
        <v>1718</v>
      </c>
      <c r="I162" s="151">
        <v>261</v>
      </c>
      <c r="J162" s="151" t="s">
        <v>1718</v>
      </c>
      <c r="L162" s="155">
        <f t="shared" si="42"/>
        <v>0.04</v>
      </c>
      <c r="M162" s="156">
        <f t="shared" si="43"/>
        <v>7.9899999999999999E-2</v>
      </c>
      <c r="O162" s="150">
        <v>40</v>
      </c>
      <c r="P162" s="151" t="s">
        <v>162</v>
      </c>
      <c r="Q162" s="152">
        <v>173.8</v>
      </c>
      <c r="R162" s="152">
        <v>181.8</v>
      </c>
      <c r="S162" s="151">
        <v>867</v>
      </c>
      <c r="T162" s="151" t="s">
        <v>1718</v>
      </c>
      <c r="U162" s="151">
        <v>402</v>
      </c>
      <c r="V162" s="151" t="s">
        <v>1718</v>
      </c>
      <c r="W162" s="151">
        <v>296</v>
      </c>
      <c r="X162" s="151" t="s">
        <v>1718</v>
      </c>
      <c r="Z162" s="155">
        <f t="shared" si="44"/>
        <v>0.04</v>
      </c>
      <c r="AA162" s="156">
        <f t="shared" si="45"/>
        <v>8.6699999999999999E-2</v>
      </c>
      <c r="AC162" s="150">
        <v>40</v>
      </c>
      <c r="AD162" s="151" t="s">
        <v>162</v>
      </c>
      <c r="AE162" s="152">
        <v>120.8</v>
      </c>
      <c r="AF162" s="152">
        <v>4.8029999999999999</v>
      </c>
      <c r="AG162" s="151">
        <v>3532</v>
      </c>
      <c r="AH162" s="151" t="s">
        <v>1718</v>
      </c>
      <c r="AI162" s="151">
        <v>1175</v>
      </c>
      <c r="AJ162" s="151" t="s">
        <v>1718</v>
      </c>
      <c r="AK162" s="151">
        <v>1142</v>
      </c>
      <c r="AL162" s="151" t="s">
        <v>1718</v>
      </c>
      <c r="AN162" s="155">
        <f t="shared" si="46"/>
        <v>0.04</v>
      </c>
      <c r="AO162" s="156">
        <f t="shared" si="47"/>
        <v>0.35320000000000001</v>
      </c>
      <c r="AQ162" s="150">
        <v>40</v>
      </c>
      <c r="AR162" s="151" t="s">
        <v>162</v>
      </c>
      <c r="AS162" s="152">
        <v>122.8</v>
      </c>
      <c r="AT162" s="152">
        <v>0.3977</v>
      </c>
      <c r="AU162" s="151">
        <v>3937</v>
      </c>
      <c r="AV162" s="151" t="s">
        <v>1718</v>
      </c>
      <c r="AW162" s="151">
        <v>771</v>
      </c>
      <c r="AX162" s="151" t="s">
        <v>1718</v>
      </c>
      <c r="AY162" s="151">
        <v>866</v>
      </c>
      <c r="AZ162" s="151" t="s">
        <v>1718</v>
      </c>
      <c r="BB162" s="155">
        <f t="shared" si="48"/>
        <v>0.04</v>
      </c>
      <c r="BC162" s="156">
        <f t="shared" si="49"/>
        <v>0.39369999999999999</v>
      </c>
      <c r="BE162" s="150">
        <v>40</v>
      </c>
      <c r="BF162" s="151" t="s">
        <v>162</v>
      </c>
      <c r="BG162" s="152">
        <v>213.8</v>
      </c>
      <c r="BH162" s="152">
        <v>67.84</v>
      </c>
      <c r="BI162" s="151">
        <v>1236</v>
      </c>
      <c r="BJ162" s="151" t="s">
        <v>1718</v>
      </c>
      <c r="BK162" s="151">
        <v>514</v>
      </c>
      <c r="BL162" s="151" t="s">
        <v>1718</v>
      </c>
      <c r="BM162" s="151">
        <v>422</v>
      </c>
      <c r="BN162" s="151" t="s">
        <v>1718</v>
      </c>
      <c r="BP162" s="155">
        <f t="shared" si="50"/>
        <v>0.04</v>
      </c>
      <c r="BQ162" s="156">
        <f t="shared" si="51"/>
        <v>0.1236</v>
      </c>
      <c r="BS162" s="150">
        <v>40</v>
      </c>
      <c r="BT162" s="151" t="s">
        <v>162</v>
      </c>
      <c r="BU162" s="152">
        <v>192</v>
      </c>
      <c r="BV162" s="152">
        <v>159.5</v>
      </c>
      <c r="BW162" s="151">
        <v>921</v>
      </c>
      <c r="BX162" s="151" t="s">
        <v>1718</v>
      </c>
      <c r="BY162" s="151">
        <v>409</v>
      </c>
      <c r="BZ162" s="151" t="s">
        <v>1718</v>
      </c>
      <c r="CA162" s="151">
        <v>306</v>
      </c>
      <c r="CB162" s="151" t="s">
        <v>1718</v>
      </c>
      <c r="CD162" s="155">
        <f t="shared" si="52"/>
        <v>0.04</v>
      </c>
      <c r="CE162" s="156">
        <f t="shared" si="53"/>
        <v>9.2100000000000001E-2</v>
      </c>
      <c r="CG162" s="150">
        <v>40</v>
      </c>
      <c r="CH162" s="151" t="s">
        <v>162</v>
      </c>
      <c r="CI162" s="152">
        <v>143.19999999999999</v>
      </c>
      <c r="CJ162" s="152">
        <v>202.8</v>
      </c>
      <c r="CK162" s="151">
        <v>861</v>
      </c>
      <c r="CL162" s="151" t="s">
        <v>1718</v>
      </c>
      <c r="CM162" s="151">
        <v>385</v>
      </c>
      <c r="CN162" s="151" t="s">
        <v>1718</v>
      </c>
      <c r="CO162" s="151">
        <v>277</v>
      </c>
      <c r="CP162" s="151" t="s">
        <v>1718</v>
      </c>
      <c r="CR162" s="155">
        <f t="shared" si="54"/>
        <v>0.04</v>
      </c>
      <c r="CS162" s="156">
        <f t="shared" si="55"/>
        <v>8.610000000000001E-2</v>
      </c>
      <c r="CU162" s="151">
        <v>40</v>
      </c>
      <c r="CV162" s="152" t="s">
        <v>162</v>
      </c>
      <c r="CW162" s="152">
        <v>200.9</v>
      </c>
      <c r="CX162" s="152">
        <v>590.79999999999995</v>
      </c>
      <c r="CY162" s="151">
        <v>450</v>
      </c>
      <c r="CZ162" s="151" t="s">
        <v>1718</v>
      </c>
      <c r="DA162" s="151">
        <v>177</v>
      </c>
      <c r="DB162" s="151" t="s">
        <v>1718</v>
      </c>
      <c r="DC162" s="151">
        <v>129</v>
      </c>
      <c r="DD162" t="s">
        <v>1718</v>
      </c>
      <c r="DF162" s="155">
        <f t="shared" si="56"/>
        <v>0.04</v>
      </c>
      <c r="DG162" s="156">
        <f t="shared" si="57"/>
        <v>4.5000000000000005E-2</v>
      </c>
      <c r="DI162" s="151">
        <v>40</v>
      </c>
      <c r="DJ162" s="152" t="s">
        <v>162</v>
      </c>
      <c r="DK162" s="152">
        <v>221.9</v>
      </c>
      <c r="DL162" s="152">
        <v>566.9</v>
      </c>
      <c r="DM162" s="151">
        <v>460</v>
      </c>
      <c r="DN162" s="151" t="s">
        <v>1718</v>
      </c>
      <c r="DO162" s="151">
        <v>175</v>
      </c>
      <c r="DP162" s="151" t="s">
        <v>1718</v>
      </c>
      <c r="DQ162" s="151">
        <v>129</v>
      </c>
      <c r="DR162" t="s">
        <v>1718</v>
      </c>
      <c r="DT162" s="155">
        <f t="shared" si="58"/>
        <v>0.04</v>
      </c>
      <c r="DU162" s="156">
        <f t="shared" si="59"/>
        <v>4.5999999999999999E-2</v>
      </c>
    </row>
    <row r="163" spans="1:125" x14ac:dyDescent="0.2">
      <c r="A163" s="150">
        <v>45</v>
      </c>
      <c r="B163" s="151" t="s">
        <v>162</v>
      </c>
      <c r="C163" s="152">
        <v>156.80000000000001</v>
      </c>
      <c r="D163" s="152">
        <v>220</v>
      </c>
      <c r="E163" s="151">
        <v>898</v>
      </c>
      <c r="F163" s="151" t="s">
        <v>1718</v>
      </c>
      <c r="G163" s="151">
        <v>402</v>
      </c>
      <c r="H163" s="151" t="s">
        <v>1718</v>
      </c>
      <c r="I163" s="151">
        <v>290</v>
      </c>
      <c r="J163" s="151" t="s">
        <v>1718</v>
      </c>
      <c r="L163" s="155">
        <f t="shared" si="42"/>
        <v>4.4999999999999998E-2</v>
      </c>
      <c r="M163" s="156">
        <f t="shared" si="43"/>
        <v>8.9800000000000005E-2</v>
      </c>
      <c r="O163" s="150">
        <v>45</v>
      </c>
      <c r="P163" s="151" t="s">
        <v>162</v>
      </c>
      <c r="Q163" s="152">
        <v>200</v>
      </c>
      <c r="R163" s="152">
        <v>175.1</v>
      </c>
      <c r="S163" s="151">
        <v>968</v>
      </c>
      <c r="T163" s="151" t="s">
        <v>1718</v>
      </c>
      <c r="U163" s="151">
        <v>436</v>
      </c>
      <c r="V163" s="151" t="s">
        <v>1718</v>
      </c>
      <c r="W163" s="151">
        <v>327</v>
      </c>
      <c r="X163" s="151" t="s">
        <v>1718</v>
      </c>
      <c r="Z163" s="155">
        <f t="shared" si="44"/>
        <v>4.4999999999999998E-2</v>
      </c>
      <c r="AA163" s="156">
        <f t="shared" si="45"/>
        <v>9.6800000000000011E-2</v>
      </c>
      <c r="AC163" s="150">
        <v>45</v>
      </c>
      <c r="AD163" s="151" t="s">
        <v>162</v>
      </c>
      <c r="AE163" s="152">
        <v>130</v>
      </c>
      <c r="AF163" s="152">
        <v>4.452</v>
      </c>
      <c r="AG163" s="151">
        <v>3863</v>
      </c>
      <c r="AH163" s="151" t="s">
        <v>1718</v>
      </c>
      <c r="AI163" s="151">
        <v>1220</v>
      </c>
      <c r="AJ163" s="151" t="s">
        <v>1718</v>
      </c>
      <c r="AK163" s="151">
        <v>1203</v>
      </c>
      <c r="AL163" s="151" t="s">
        <v>1718</v>
      </c>
      <c r="AN163" s="155">
        <f t="shared" si="46"/>
        <v>4.4999999999999998E-2</v>
      </c>
      <c r="AO163" s="156">
        <f t="shared" si="47"/>
        <v>0.38630000000000003</v>
      </c>
      <c r="AQ163" s="150">
        <v>45</v>
      </c>
      <c r="AR163" s="151" t="s">
        <v>162</v>
      </c>
      <c r="AS163" s="152">
        <v>124.2</v>
      </c>
      <c r="AT163" s="152">
        <v>0.36549999999999999</v>
      </c>
      <c r="AU163" s="151">
        <v>4320</v>
      </c>
      <c r="AV163" s="151" t="s">
        <v>1718</v>
      </c>
      <c r="AW163" s="151">
        <v>793</v>
      </c>
      <c r="AX163" s="151" t="s">
        <v>1718</v>
      </c>
      <c r="AY163" s="151">
        <v>905</v>
      </c>
      <c r="AZ163" s="151" t="s">
        <v>1718</v>
      </c>
      <c r="BB163" s="155">
        <f t="shared" si="48"/>
        <v>4.4999999999999998E-2</v>
      </c>
      <c r="BC163" s="156">
        <f t="shared" si="49"/>
        <v>0.432</v>
      </c>
      <c r="BE163" s="150">
        <v>45</v>
      </c>
      <c r="BF163" s="151" t="s">
        <v>162</v>
      </c>
      <c r="BG163" s="152">
        <v>224.7</v>
      </c>
      <c r="BH163" s="152">
        <v>64.349999999999994</v>
      </c>
      <c r="BI163" s="151">
        <v>1373</v>
      </c>
      <c r="BJ163" s="151" t="s">
        <v>1718</v>
      </c>
      <c r="BK163" s="151">
        <v>550</v>
      </c>
      <c r="BL163" s="151" t="s">
        <v>1718</v>
      </c>
      <c r="BM163" s="151">
        <v>458</v>
      </c>
      <c r="BN163" s="151" t="s">
        <v>1718</v>
      </c>
      <c r="BP163" s="155">
        <f t="shared" si="50"/>
        <v>4.4999999999999998E-2</v>
      </c>
      <c r="BQ163" s="156">
        <f t="shared" si="51"/>
        <v>0.13730000000000001</v>
      </c>
      <c r="BS163" s="150">
        <v>45</v>
      </c>
      <c r="BT163" s="151" t="s">
        <v>162</v>
      </c>
      <c r="BU163" s="152">
        <v>217.6</v>
      </c>
      <c r="BV163" s="152">
        <v>153.19999999999999</v>
      </c>
      <c r="BW163" s="151">
        <v>1025</v>
      </c>
      <c r="BX163" s="151" t="s">
        <v>1718</v>
      </c>
      <c r="BY163" s="151">
        <v>442</v>
      </c>
      <c r="BZ163" s="151" t="s">
        <v>1718</v>
      </c>
      <c r="CA163" s="151">
        <v>337</v>
      </c>
      <c r="CB163" s="151" t="s">
        <v>1718</v>
      </c>
      <c r="CD163" s="155">
        <f t="shared" si="52"/>
        <v>4.4999999999999998E-2</v>
      </c>
      <c r="CE163" s="156">
        <f t="shared" si="53"/>
        <v>0.10250000000000001</v>
      </c>
      <c r="CG163" s="150">
        <v>45</v>
      </c>
      <c r="CH163" s="151" t="s">
        <v>162</v>
      </c>
      <c r="CI163" s="152">
        <v>165</v>
      </c>
      <c r="CJ163" s="152">
        <v>195.7</v>
      </c>
      <c r="CK163" s="151">
        <v>968</v>
      </c>
      <c r="CL163" s="151" t="s">
        <v>1718</v>
      </c>
      <c r="CM163" s="151">
        <v>422</v>
      </c>
      <c r="CN163" s="151" t="s">
        <v>1718</v>
      </c>
      <c r="CO163" s="151">
        <v>307</v>
      </c>
      <c r="CP163" s="151" t="s">
        <v>1718</v>
      </c>
      <c r="CR163" s="155">
        <f t="shared" si="54"/>
        <v>4.4999999999999998E-2</v>
      </c>
      <c r="CS163" s="156">
        <f t="shared" si="55"/>
        <v>9.6800000000000011E-2</v>
      </c>
      <c r="CU163" s="151">
        <v>45</v>
      </c>
      <c r="CV163" s="152" t="s">
        <v>162</v>
      </c>
      <c r="CW163" s="152">
        <v>213.1</v>
      </c>
      <c r="CX163" s="152">
        <v>583.9</v>
      </c>
      <c r="CY163" s="151">
        <v>500</v>
      </c>
      <c r="CZ163" s="151" t="s">
        <v>1718</v>
      </c>
      <c r="DA163" s="151">
        <v>193</v>
      </c>
      <c r="DB163" s="151" t="s">
        <v>1718</v>
      </c>
      <c r="DC163" s="151">
        <v>141</v>
      </c>
      <c r="DD163" t="s">
        <v>1718</v>
      </c>
      <c r="DF163" s="155">
        <f t="shared" si="56"/>
        <v>4.4999999999999998E-2</v>
      </c>
      <c r="DG163" s="156">
        <f t="shared" si="57"/>
        <v>0.05</v>
      </c>
      <c r="DI163" s="151">
        <v>45</v>
      </c>
      <c r="DJ163" s="152" t="s">
        <v>162</v>
      </c>
      <c r="DK163" s="152">
        <v>235.3</v>
      </c>
      <c r="DL163" s="152">
        <v>559.70000000000005</v>
      </c>
      <c r="DM163" s="151">
        <v>510</v>
      </c>
      <c r="DN163" s="151" t="s">
        <v>1718</v>
      </c>
      <c r="DO163" s="151">
        <v>191</v>
      </c>
      <c r="DP163" s="151" t="s">
        <v>1718</v>
      </c>
      <c r="DQ163" s="151">
        <v>140</v>
      </c>
      <c r="DR163" t="s">
        <v>1718</v>
      </c>
      <c r="DT163" s="155">
        <f t="shared" si="58"/>
        <v>4.4999999999999998E-2</v>
      </c>
      <c r="DU163" s="156">
        <f t="shared" si="59"/>
        <v>5.1000000000000004E-2</v>
      </c>
    </row>
    <row r="164" spans="1:125" x14ac:dyDescent="0.2">
      <c r="A164" s="150">
        <v>50</v>
      </c>
      <c r="B164" s="151" t="s">
        <v>162</v>
      </c>
      <c r="C164" s="152">
        <v>172.6</v>
      </c>
      <c r="D164" s="152">
        <v>213</v>
      </c>
      <c r="E164" s="151">
        <v>997</v>
      </c>
      <c r="F164" s="151" t="s">
        <v>1718</v>
      </c>
      <c r="G164" s="151">
        <v>436</v>
      </c>
      <c r="H164" s="151" t="s">
        <v>1718</v>
      </c>
      <c r="I164" s="151">
        <v>317</v>
      </c>
      <c r="J164" s="151" t="s">
        <v>1718</v>
      </c>
      <c r="L164" s="155">
        <f t="shared" si="42"/>
        <v>0.05</v>
      </c>
      <c r="M164" s="156">
        <f t="shared" si="43"/>
        <v>9.9700000000000011E-2</v>
      </c>
      <c r="O164" s="150">
        <v>50</v>
      </c>
      <c r="P164" s="151" t="s">
        <v>162</v>
      </c>
      <c r="Q164" s="152">
        <v>219.3</v>
      </c>
      <c r="R164" s="152">
        <v>169</v>
      </c>
      <c r="S164" s="151">
        <v>1065</v>
      </c>
      <c r="T164" s="151" t="s">
        <v>1718</v>
      </c>
      <c r="U164" s="151">
        <v>467</v>
      </c>
      <c r="V164" s="151" t="s">
        <v>1718</v>
      </c>
      <c r="W164" s="151">
        <v>356</v>
      </c>
      <c r="X164" s="151" t="s">
        <v>1718</v>
      </c>
      <c r="Z164" s="155">
        <f t="shared" si="44"/>
        <v>0.05</v>
      </c>
      <c r="AA164" s="156">
        <f t="shared" si="45"/>
        <v>0.10650000000000001</v>
      </c>
      <c r="AC164" s="150">
        <v>50</v>
      </c>
      <c r="AD164" s="151" t="s">
        <v>162</v>
      </c>
      <c r="AE164" s="152">
        <v>138.69999999999999</v>
      </c>
      <c r="AF164" s="152">
        <v>4.1550000000000002</v>
      </c>
      <c r="AG164" s="151">
        <v>4179</v>
      </c>
      <c r="AH164" s="151" t="s">
        <v>1718</v>
      </c>
      <c r="AI164" s="151">
        <v>1259</v>
      </c>
      <c r="AJ164" s="151" t="s">
        <v>1718</v>
      </c>
      <c r="AK164" s="151">
        <v>1258</v>
      </c>
      <c r="AL164" s="151" t="s">
        <v>1718</v>
      </c>
      <c r="AN164" s="155">
        <f t="shared" si="46"/>
        <v>0.05</v>
      </c>
      <c r="AO164" s="156">
        <f t="shared" si="47"/>
        <v>0.41789999999999999</v>
      </c>
      <c r="AQ164" s="150">
        <v>50</v>
      </c>
      <c r="AR164" s="151" t="s">
        <v>162</v>
      </c>
      <c r="AS164" s="152">
        <v>124.9</v>
      </c>
      <c r="AT164" s="152">
        <v>0.33860000000000001</v>
      </c>
      <c r="AU164" s="151">
        <v>4701</v>
      </c>
      <c r="AV164" s="151" t="s">
        <v>1718</v>
      </c>
      <c r="AW164" s="151">
        <v>814</v>
      </c>
      <c r="AX164" s="151" t="s">
        <v>1718</v>
      </c>
      <c r="AY164" s="151">
        <v>942</v>
      </c>
      <c r="AZ164" s="151" t="s">
        <v>1718</v>
      </c>
      <c r="BB164" s="155">
        <f t="shared" si="48"/>
        <v>0.05</v>
      </c>
      <c r="BC164" s="156">
        <f t="shared" si="49"/>
        <v>0.47010000000000002</v>
      </c>
      <c r="BE164" s="150">
        <v>50</v>
      </c>
      <c r="BF164" s="151" t="s">
        <v>162</v>
      </c>
      <c r="BG164" s="152">
        <v>234</v>
      </c>
      <c r="BH164" s="152">
        <v>61.26</v>
      </c>
      <c r="BI164" s="151">
        <v>1509</v>
      </c>
      <c r="BJ164" s="151" t="s">
        <v>1718</v>
      </c>
      <c r="BK164" s="151">
        <v>584</v>
      </c>
      <c r="BL164" s="151" t="s">
        <v>1718</v>
      </c>
      <c r="BM164" s="151">
        <v>491</v>
      </c>
      <c r="BN164" s="151" t="s">
        <v>1718</v>
      </c>
      <c r="BP164" s="155">
        <f t="shared" si="50"/>
        <v>0.05</v>
      </c>
      <c r="BQ164" s="156">
        <f t="shared" si="51"/>
        <v>0.15090000000000001</v>
      </c>
      <c r="BS164" s="150">
        <v>50</v>
      </c>
      <c r="BT164" s="151" t="s">
        <v>162</v>
      </c>
      <c r="BU164" s="152">
        <v>232.5</v>
      </c>
      <c r="BV164" s="152">
        <v>147.5</v>
      </c>
      <c r="BW164" s="151">
        <v>1126</v>
      </c>
      <c r="BX164" s="151" t="s">
        <v>1718</v>
      </c>
      <c r="BY164" s="151">
        <v>472</v>
      </c>
      <c r="BZ164" s="151" t="s">
        <v>1718</v>
      </c>
      <c r="CA164" s="151">
        <v>366</v>
      </c>
      <c r="CB164" s="151" t="s">
        <v>1718</v>
      </c>
      <c r="CD164" s="155">
        <f t="shared" si="52"/>
        <v>0.05</v>
      </c>
      <c r="CE164" s="156">
        <f t="shared" si="53"/>
        <v>0.11260000000000001</v>
      </c>
      <c r="CG164" s="150">
        <v>50</v>
      </c>
      <c r="CH164" s="151" t="s">
        <v>162</v>
      </c>
      <c r="CI164" s="152">
        <v>189.9</v>
      </c>
      <c r="CJ164" s="152">
        <v>189</v>
      </c>
      <c r="CK164" s="151">
        <v>1070</v>
      </c>
      <c r="CL164" s="151" t="s">
        <v>1718</v>
      </c>
      <c r="CM164" s="151">
        <v>455</v>
      </c>
      <c r="CN164" s="151" t="s">
        <v>1718</v>
      </c>
      <c r="CO164" s="151">
        <v>336</v>
      </c>
      <c r="CP164" s="151" t="s">
        <v>1718</v>
      </c>
      <c r="CR164" s="155">
        <f t="shared" si="54"/>
        <v>0.05</v>
      </c>
      <c r="CS164" s="156">
        <f t="shared" si="55"/>
        <v>0.10700000000000001</v>
      </c>
      <c r="CU164" s="151">
        <v>50</v>
      </c>
      <c r="CV164" s="152" t="s">
        <v>162</v>
      </c>
      <c r="CW164" s="152">
        <v>224.6</v>
      </c>
      <c r="CX164" s="152">
        <v>576.5</v>
      </c>
      <c r="CY164" s="151">
        <v>550</v>
      </c>
      <c r="CZ164" s="151" t="s">
        <v>1718</v>
      </c>
      <c r="DA164" s="151">
        <v>209</v>
      </c>
      <c r="DB164" s="151" t="s">
        <v>1718</v>
      </c>
      <c r="DC164" s="151">
        <v>152</v>
      </c>
      <c r="DD164" t="s">
        <v>1718</v>
      </c>
      <c r="DF164" s="155">
        <f t="shared" si="56"/>
        <v>0.05</v>
      </c>
      <c r="DG164" s="156">
        <f t="shared" si="57"/>
        <v>5.5E-2</v>
      </c>
      <c r="DI164" s="151">
        <v>50</v>
      </c>
      <c r="DJ164" s="152" t="s">
        <v>162</v>
      </c>
      <c r="DK164" s="152">
        <v>248</v>
      </c>
      <c r="DL164" s="152">
        <v>552.1</v>
      </c>
      <c r="DM164" s="151">
        <v>561</v>
      </c>
      <c r="DN164" s="151" t="s">
        <v>1718</v>
      </c>
      <c r="DO164" s="151">
        <v>207</v>
      </c>
      <c r="DP164" s="151" t="s">
        <v>1718</v>
      </c>
      <c r="DQ164" s="151">
        <v>152</v>
      </c>
      <c r="DR164" t="s">
        <v>1718</v>
      </c>
      <c r="DT164" s="155">
        <f t="shared" si="58"/>
        <v>0.05</v>
      </c>
      <c r="DU164" s="156">
        <f t="shared" si="59"/>
        <v>5.6100000000000004E-2</v>
      </c>
    </row>
    <row r="165" spans="1:125" x14ac:dyDescent="0.2">
      <c r="A165" s="150">
        <v>55</v>
      </c>
      <c r="B165" s="151" t="s">
        <v>162</v>
      </c>
      <c r="C165" s="152">
        <v>184.7</v>
      </c>
      <c r="D165" s="152">
        <v>206.5</v>
      </c>
      <c r="E165" s="151">
        <v>1094</v>
      </c>
      <c r="F165" s="151" t="s">
        <v>1718</v>
      </c>
      <c r="G165" s="151">
        <v>469</v>
      </c>
      <c r="H165" s="151" t="s">
        <v>1718</v>
      </c>
      <c r="I165" s="151">
        <v>345</v>
      </c>
      <c r="J165" s="151" t="s">
        <v>1718</v>
      </c>
      <c r="L165" s="155">
        <f t="shared" si="42"/>
        <v>5.5E-2</v>
      </c>
      <c r="M165" s="156">
        <f t="shared" si="43"/>
        <v>0.10940000000000001</v>
      </c>
      <c r="O165" s="150">
        <v>55</v>
      </c>
      <c r="P165" s="151" t="s">
        <v>162</v>
      </c>
      <c r="Q165" s="152">
        <v>233.7</v>
      </c>
      <c r="R165" s="152">
        <v>163.30000000000001</v>
      </c>
      <c r="S165" s="151">
        <v>1161</v>
      </c>
      <c r="T165" s="151" t="s">
        <v>1718</v>
      </c>
      <c r="U165" s="151">
        <v>497</v>
      </c>
      <c r="V165" s="151" t="s">
        <v>1718</v>
      </c>
      <c r="W165" s="151">
        <v>384</v>
      </c>
      <c r="X165" s="151" t="s">
        <v>1718</v>
      </c>
      <c r="Z165" s="155">
        <f t="shared" si="44"/>
        <v>5.5E-2</v>
      </c>
      <c r="AA165" s="156">
        <f t="shared" si="45"/>
        <v>0.11610000000000001</v>
      </c>
      <c r="AC165" s="150">
        <v>55</v>
      </c>
      <c r="AD165" s="151" t="s">
        <v>162</v>
      </c>
      <c r="AE165" s="152">
        <v>147.1</v>
      </c>
      <c r="AF165" s="152">
        <v>3.9</v>
      </c>
      <c r="AG165" s="151">
        <v>4480</v>
      </c>
      <c r="AH165" s="151" t="s">
        <v>1718</v>
      </c>
      <c r="AI165" s="151">
        <v>1293</v>
      </c>
      <c r="AJ165" s="151" t="s">
        <v>1718</v>
      </c>
      <c r="AK165" s="151">
        <v>1307</v>
      </c>
      <c r="AL165" s="151" t="s">
        <v>1718</v>
      </c>
      <c r="AN165" s="155">
        <f t="shared" si="46"/>
        <v>5.5E-2</v>
      </c>
      <c r="AO165" s="156">
        <f t="shared" si="47"/>
        <v>0.44800000000000001</v>
      </c>
      <c r="AQ165" s="150">
        <v>55</v>
      </c>
      <c r="AR165" s="151" t="s">
        <v>162</v>
      </c>
      <c r="AS165" s="152">
        <v>124.9</v>
      </c>
      <c r="AT165" s="152">
        <v>0.31580000000000003</v>
      </c>
      <c r="AU165" s="151">
        <v>5084</v>
      </c>
      <c r="AV165" s="151" t="s">
        <v>1718</v>
      </c>
      <c r="AW165" s="151">
        <v>833</v>
      </c>
      <c r="AX165" s="151" t="s">
        <v>1718</v>
      </c>
      <c r="AY165" s="151">
        <v>977</v>
      </c>
      <c r="AZ165" s="151" t="s">
        <v>1718</v>
      </c>
      <c r="BB165" s="155">
        <f t="shared" si="48"/>
        <v>5.5E-2</v>
      </c>
      <c r="BC165" s="156">
        <f t="shared" si="49"/>
        <v>0.50840000000000007</v>
      </c>
      <c r="BE165" s="150">
        <v>55</v>
      </c>
      <c r="BF165" s="151" t="s">
        <v>162</v>
      </c>
      <c r="BG165" s="152">
        <v>242.4</v>
      </c>
      <c r="BH165" s="152">
        <v>58.5</v>
      </c>
      <c r="BI165" s="151">
        <v>1644</v>
      </c>
      <c r="BJ165" s="151" t="s">
        <v>1718</v>
      </c>
      <c r="BK165" s="151">
        <v>615</v>
      </c>
      <c r="BL165" s="151" t="s">
        <v>1718</v>
      </c>
      <c r="BM165" s="151">
        <v>523</v>
      </c>
      <c r="BN165" s="151" t="s">
        <v>1718</v>
      </c>
      <c r="BP165" s="155">
        <f t="shared" si="50"/>
        <v>5.5E-2</v>
      </c>
      <c r="BQ165" s="156">
        <f t="shared" si="51"/>
        <v>0.16440000000000002</v>
      </c>
      <c r="BS165" s="150">
        <v>55</v>
      </c>
      <c r="BT165" s="151" t="s">
        <v>162</v>
      </c>
      <c r="BU165" s="152">
        <v>241.2</v>
      </c>
      <c r="BV165" s="152">
        <v>142.19999999999999</v>
      </c>
      <c r="BW165" s="151">
        <v>1228</v>
      </c>
      <c r="BX165" s="151" t="s">
        <v>1718</v>
      </c>
      <c r="BY165" s="151">
        <v>502</v>
      </c>
      <c r="BZ165" s="151" t="s">
        <v>1718</v>
      </c>
      <c r="CA165" s="151">
        <v>393</v>
      </c>
      <c r="CB165" s="151" t="s">
        <v>1718</v>
      </c>
      <c r="CD165" s="155">
        <f t="shared" si="52"/>
        <v>5.5E-2</v>
      </c>
      <c r="CE165" s="156">
        <f t="shared" si="53"/>
        <v>0.12280000000000001</v>
      </c>
      <c r="CG165" s="150">
        <v>55</v>
      </c>
      <c r="CH165" s="151" t="s">
        <v>162</v>
      </c>
      <c r="CI165" s="152">
        <v>209.1</v>
      </c>
      <c r="CJ165" s="152">
        <v>182.9</v>
      </c>
      <c r="CK165" s="151">
        <v>1169</v>
      </c>
      <c r="CL165" s="151" t="s">
        <v>1718</v>
      </c>
      <c r="CM165" s="151">
        <v>485</v>
      </c>
      <c r="CN165" s="151" t="s">
        <v>1718</v>
      </c>
      <c r="CO165" s="151">
        <v>365</v>
      </c>
      <c r="CP165" s="151" t="s">
        <v>1718</v>
      </c>
      <c r="CR165" s="155">
        <f t="shared" si="54"/>
        <v>5.5E-2</v>
      </c>
      <c r="CS165" s="156">
        <f t="shared" si="55"/>
        <v>0.1169</v>
      </c>
      <c r="CU165" s="151">
        <v>55</v>
      </c>
      <c r="CV165" s="152" t="s">
        <v>162</v>
      </c>
      <c r="CW165" s="152">
        <v>235.6</v>
      </c>
      <c r="CX165" s="152">
        <v>568.9</v>
      </c>
      <c r="CY165" s="151">
        <v>600</v>
      </c>
      <c r="CZ165" s="151" t="s">
        <v>1718</v>
      </c>
      <c r="DA165" s="151">
        <v>225</v>
      </c>
      <c r="DB165" s="151" t="s">
        <v>1718</v>
      </c>
      <c r="DC165" s="151">
        <v>164</v>
      </c>
      <c r="DD165" t="s">
        <v>1718</v>
      </c>
      <c r="DF165" s="155">
        <f t="shared" si="56"/>
        <v>5.5E-2</v>
      </c>
      <c r="DG165" s="156">
        <f t="shared" si="57"/>
        <v>6.0000000000000005E-2</v>
      </c>
      <c r="DI165" s="151">
        <v>55</v>
      </c>
      <c r="DJ165" s="152" t="s">
        <v>162</v>
      </c>
      <c r="DK165" s="152">
        <v>260.10000000000002</v>
      </c>
      <c r="DL165" s="152">
        <v>544.29999999999995</v>
      </c>
      <c r="DM165" s="151">
        <v>611</v>
      </c>
      <c r="DN165" s="151" t="s">
        <v>1718</v>
      </c>
      <c r="DO165" s="151">
        <v>223</v>
      </c>
      <c r="DP165" s="151" t="s">
        <v>1718</v>
      </c>
      <c r="DQ165" s="151">
        <v>163</v>
      </c>
      <c r="DR165" t="s">
        <v>1718</v>
      </c>
      <c r="DT165" s="155">
        <f t="shared" si="58"/>
        <v>5.5E-2</v>
      </c>
      <c r="DU165" s="156">
        <f t="shared" si="59"/>
        <v>6.1100000000000002E-2</v>
      </c>
    </row>
    <row r="166" spans="1:125" x14ac:dyDescent="0.2">
      <c r="A166" s="150">
        <v>60</v>
      </c>
      <c r="B166" s="151" t="s">
        <v>162</v>
      </c>
      <c r="C166" s="152">
        <v>194.1</v>
      </c>
      <c r="D166" s="152">
        <v>200.4</v>
      </c>
      <c r="E166" s="151">
        <v>1191</v>
      </c>
      <c r="F166" s="151" t="s">
        <v>1718</v>
      </c>
      <c r="G166" s="151">
        <v>500</v>
      </c>
      <c r="H166" s="151" t="s">
        <v>1718</v>
      </c>
      <c r="I166" s="151">
        <v>372</v>
      </c>
      <c r="J166" s="151" t="s">
        <v>1718</v>
      </c>
      <c r="L166" s="155">
        <f t="shared" si="42"/>
        <v>0.06</v>
      </c>
      <c r="M166" s="156">
        <f t="shared" si="43"/>
        <v>0.11910000000000001</v>
      </c>
      <c r="O166" s="150">
        <v>60</v>
      </c>
      <c r="P166" s="151" t="s">
        <v>162</v>
      </c>
      <c r="Q166" s="152">
        <v>244.6</v>
      </c>
      <c r="R166" s="152">
        <v>158</v>
      </c>
      <c r="S166" s="151">
        <v>1257</v>
      </c>
      <c r="T166" s="151" t="s">
        <v>1718</v>
      </c>
      <c r="U166" s="151">
        <v>526</v>
      </c>
      <c r="V166" s="151" t="s">
        <v>1718</v>
      </c>
      <c r="W166" s="151">
        <v>411</v>
      </c>
      <c r="X166" s="151" t="s">
        <v>1718</v>
      </c>
      <c r="Z166" s="155">
        <f t="shared" si="44"/>
        <v>0.06</v>
      </c>
      <c r="AA166" s="156">
        <f t="shared" si="45"/>
        <v>0.12570000000000001</v>
      </c>
      <c r="AC166" s="150">
        <v>60</v>
      </c>
      <c r="AD166" s="151" t="s">
        <v>162</v>
      </c>
      <c r="AE166" s="152">
        <v>155</v>
      </c>
      <c r="AF166" s="152">
        <v>3.6779999999999999</v>
      </c>
      <c r="AG166" s="151">
        <v>4769</v>
      </c>
      <c r="AH166" s="151" t="s">
        <v>1718</v>
      </c>
      <c r="AI166" s="151">
        <v>1323</v>
      </c>
      <c r="AJ166" s="151" t="s">
        <v>1718</v>
      </c>
      <c r="AK166" s="151">
        <v>1352</v>
      </c>
      <c r="AL166" s="151" t="s">
        <v>1718</v>
      </c>
      <c r="AN166" s="155">
        <f t="shared" si="46"/>
        <v>0.06</v>
      </c>
      <c r="AO166" s="156">
        <f t="shared" si="47"/>
        <v>0.47690000000000005</v>
      </c>
      <c r="AQ166" s="150">
        <v>60</v>
      </c>
      <c r="AR166" s="151" t="s">
        <v>162</v>
      </c>
      <c r="AS166" s="152">
        <v>124.5</v>
      </c>
      <c r="AT166" s="152">
        <v>0.29609999999999997</v>
      </c>
      <c r="AU166" s="151">
        <v>5468</v>
      </c>
      <c r="AV166" s="151" t="s">
        <v>1718</v>
      </c>
      <c r="AW166" s="151">
        <v>852</v>
      </c>
      <c r="AX166" s="151" t="s">
        <v>1718</v>
      </c>
      <c r="AY166" s="151">
        <v>1011</v>
      </c>
      <c r="AZ166" s="151" t="s">
        <v>1718</v>
      </c>
      <c r="BB166" s="155">
        <f t="shared" si="48"/>
        <v>0.06</v>
      </c>
      <c r="BC166" s="156">
        <f t="shared" si="49"/>
        <v>0.54680000000000006</v>
      </c>
      <c r="BE166" s="150">
        <v>60</v>
      </c>
      <c r="BF166" s="151" t="s">
        <v>162</v>
      </c>
      <c r="BG166" s="152">
        <v>250.1</v>
      </c>
      <c r="BH166" s="152">
        <v>56.01</v>
      </c>
      <c r="BI166" s="151">
        <v>1778</v>
      </c>
      <c r="BJ166" s="151" t="s">
        <v>1718</v>
      </c>
      <c r="BK166" s="151">
        <v>646</v>
      </c>
      <c r="BL166" s="151" t="s">
        <v>1718</v>
      </c>
      <c r="BM166" s="151">
        <v>554</v>
      </c>
      <c r="BN166" s="151" t="s">
        <v>1718</v>
      </c>
      <c r="BP166" s="155">
        <f t="shared" si="50"/>
        <v>0.06</v>
      </c>
      <c r="BQ166" s="156">
        <f t="shared" si="51"/>
        <v>0.17780000000000001</v>
      </c>
      <c r="BS166" s="150">
        <v>60</v>
      </c>
      <c r="BT166" s="151" t="s">
        <v>162</v>
      </c>
      <c r="BU166" s="152">
        <v>246.5</v>
      </c>
      <c r="BV166" s="152">
        <v>137.4</v>
      </c>
      <c r="BW166" s="151">
        <v>1330</v>
      </c>
      <c r="BX166" s="151" t="s">
        <v>1718</v>
      </c>
      <c r="BY166" s="151">
        <v>530</v>
      </c>
      <c r="BZ166" s="151" t="s">
        <v>1718</v>
      </c>
      <c r="CA166" s="151">
        <v>420</v>
      </c>
      <c r="CB166" s="151" t="s">
        <v>1718</v>
      </c>
      <c r="CD166" s="155">
        <f t="shared" si="52"/>
        <v>0.06</v>
      </c>
      <c r="CE166" s="156">
        <f t="shared" si="53"/>
        <v>0.13300000000000001</v>
      </c>
      <c r="CG166" s="150">
        <v>60</v>
      </c>
      <c r="CH166" s="151" t="s">
        <v>162</v>
      </c>
      <c r="CI166" s="152">
        <v>224</v>
      </c>
      <c r="CJ166" s="152">
        <v>177.2</v>
      </c>
      <c r="CK166" s="151">
        <v>1267</v>
      </c>
      <c r="CL166" s="151" t="s">
        <v>1718</v>
      </c>
      <c r="CM166" s="151">
        <v>514</v>
      </c>
      <c r="CN166" s="151" t="s">
        <v>1718</v>
      </c>
      <c r="CO166" s="151">
        <v>392</v>
      </c>
      <c r="CP166" s="151" t="s">
        <v>1718</v>
      </c>
      <c r="CR166" s="155">
        <f t="shared" si="54"/>
        <v>0.06</v>
      </c>
      <c r="CS166" s="156">
        <f t="shared" si="55"/>
        <v>0.12670000000000001</v>
      </c>
      <c r="CU166" s="151">
        <v>60</v>
      </c>
      <c r="CV166" s="152" t="s">
        <v>162</v>
      </c>
      <c r="CW166" s="152">
        <v>246</v>
      </c>
      <c r="CX166" s="152">
        <v>561.1</v>
      </c>
      <c r="CY166" s="151">
        <v>650</v>
      </c>
      <c r="CZ166" s="151" t="s">
        <v>1718</v>
      </c>
      <c r="DA166" s="151">
        <v>241</v>
      </c>
      <c r="DB166" s="151" t="s">
        <v>1718</v>
      </c>
      <c r="DC166" s="151">
        <v>175</v>
      </c>
      <c r="DD166" t="s">
        <v>1718</v>
      </c>
      <c r="DF166" s="155">
        <f t="shared" si="56"/>
        <v>0.06</v>
      </c>
      <c r="DG166" s="156">
        <f t="shared" si="57"/>
        <v>6.5000000000000002E-2</v>
      </c>
      <c r="DI166" s="151">
        <v>60</v>
      </c>
      <c r="DJ166" s="152" t="s">
        <v>162</v>
      </c>
      <c r="DK166" s="152">
        <v>271.7</v>
      </c>
      <c r="DL166" s="152">
        <v>536.4</v>
      </c>
      <c r="DM166" s="151">
        <v>662</v>
      </c>
      <c r="DN166" s="151" t="s">
        <v>1718</v>
      </c>
      <c r="DO166" s="151">
        <v>238</v>
      </c>
      <c r="DP166" s="151" t="s">
        <v>1718</v>
      </c>
      <c r="DQ166" s="151">
        <v>175</v>
      </c>
      <c r="DR166" t="s">
        <v>1718</v>
      </c>
      <c r="DT166" s="155">
        <f t="shared" si="58"/>
        <v>0.06</v>
      </c>
      <c r="DU166" s="156">
        <f t="shared" si="59"/>
        <v>6.6200000000000009E-2</v>
      </c>
    </row>
    <row r="167" spans="1:125" x14ac:dyDescent="0.2">
      <c r="A167" s="150">
        <v>65</v>
      </c>
      <c r="B167" s="151" t="s">
        <v>162</v>
      </c>
      <c r="C167" s="152">
        <v>201.6</v>
      </c>
      <c r="D167" s="152">
        <v>194.8</v>
      </c>
      <c r="E167" s="151">
        <v>1289</v>
      </c>
      <c r="F167" s="151" t="s">
        <v>1718</v>
      </c>
      <c r="G167" s="151">
        <v>531</v>
      </c>
      <c r="H167" s="151" t="s">
        <v>1718</v>
      </c>
      <c r="I167" s="151">
        <v>398</v>
      </c>
      <c r="J167" s="151" t="s">
        <v>1718</v>
      </c>
      <c r="L167" s="155">
        <f t="shared" si="42"/>
        <v>6.5000000000000002E-2</v>
      </c>
      <c r="M167" s="156">
        <f t="shared" si="43"/>
        <v>0.12890000000000001</v>
      </c>
      <c r="O167" s="150">
        <v>65</v>
      </c>
      <c r="P167" s="151" t="s">
        <v>162</v>
      </c>
      <c r="Q167" s="152">
        <v>253.2</v>
      </c>
      <c r="R167" s="152">
        <v>153.19999999999999</v>
      </c>
      <c r="S167" s="151">
        <v>1352</v>
      </c>
      <c r="T167" s="151" t="s">
        <v>1718</v>
      </c>
      <c r="U167" s="151">
        <v>554</v>
      </c>
      <c r="V167" s="151" t="s">
        <v>1718</v>
      </c>
      <c r="W167" s="151">
        <v>436</v>
      </c>
      <c r="X167" s="151" t="s">
        <v>1718</v>
      </c>
      <c r="Z167" s="155">
        <f t="shared" si="44"/>
        <v>6.5000000000000002E-2</v>
      </c>
      <c r="AA167" s="156">
        <f t="shared" si="45"/>
        <v>0.13520000000000001</v>
      </c>
      <c r="AC167" s="150">
        <v>65</v>
      </c>
      <c r="AD167" s="151" t="s">
        <v>162</v>
      </c>
      <c r="AE167" s="152">
        <v>162.5</v>
      </c>
      <c r="AF167" s="152">
        <v>3.4830000000000001</v>
      </c>
      <c r="AG167" s="151">
        <v>5047</v>
      </c>
      <c r="AH167" s="151" t="s">
        <v>1718</v>
      </c>
      <c r="AI167" s="151">
        <v>1350</v>
      </c>
      <c r="AJ167" s="151" t="s">
        <v>1718</v>
      </c>
      <c r="AK167" s="151">
        <v>1393</v>
      </c>
      <c r="AL167" s="151" t="s">
        <v>1718</v>
      </c>
      <c r="AN167" s="155">
        <f t="shared" si="46"/>
        <v>6.5000000000000002E-2</v>
      </c>
      <c r="AO167" s="156">
        <f t="shared" si="47"/>
        <v>0.50470000000000004</v>
      </c>
      <c r="AQ167" s="150">
        <v>65</v>
      </c>
      <c r="AR167" s="151" t="s">
        <v>162</v>
      </c>
      <c r="AS167" s="152">
        <v>123.8</v>
      </c>
      <c r="AT167" s="152">
        <v>0.27900000000000003</v>
      </c>
      <c r="AU167" s="151">
        <v>5855</v>
      </c>
      <c r="AV167" s="151" t="s">
        <v>1718</v>
      </c>
      <c r="AW167" s="151">
        <v>869</v>
      </c>
      <c r="AX167" s="151" t="s">
        <v>1718</v>
      </c>
      <c r="AY167" s="151">
        <v>1044</v>
      </c>
      <c r="AZ167" s="151" t="s">
        <v>1718</v>
      </c>
      <c r="BB167" s="155">
        <f t="shared" si="48"/>
        <v>6.5000000000000002E-2</v>
      </c>
      <c r="BC167" s="156">
        <f t="shared" si="49"/>
        <v>0.58550000000000002</v>
      </c>
      <c r="BE167" s="150">
        <v>65</v>
      </c>
      <c r="BF167" s="151" t="s">
        <v>162</v>
      </c>
      <c r="BG167" s="152">
        <v>257.3</v>
      </c>
      <c r="BH167" s="152">
        <v>53.76</v>
      </c>
      <c r="BI167" s="151">
        <v>1912</v>
      </c>
      <c r="BJ167" s="151" t="s">
        <v>1718</v>
      </c>
      <c r="BK167" s="151">
        <v>674</v>
      </c>
      <c r="BL167" s="151" t="s">
        <v>1718</v>
      </c>
      <c r="BM167" s="151">
        <v>583</v>
      </c>
      <c r="BN167" s="151" t="s">
        <v>1718</v>
      </c>
      <c r="BP167" s="155">
        <f t="shared" si="50"/>
        <v>6.5000000000000002E-2</v>
      </c>
      <c r="BQ167" s="156">
        <f t="shared" si="51"/>
        <v>0.19120000000000001</v>
      </c>
      <c r="BS167" s="150">
        <v>65</v>
      </c>
      <c r="BT167" s="151" t="s">
        <v>162</v>
      </c>
      <c r="BU167" s="152">
        <v>250.2</v>
      </c>
      <c r="BV167" s="152">
        <v>132.9</v>
      </c>
      <c r="BW167" s="151">
        <v>1433</v>
      </c>
      <c r="BX167" s="151" t="s">
        <v>1718</v>
      </c>
      <c r="BY167" s="151">
        <v>559</v>
      </c>
      <c r="BZ167" s="151" t="s">
        <v>1718</v>
      </c>
      <c r="CA167" s="151">
        <v>445</v>
      </c>
      <c r="CB167" s="151" t="s">
        <v>1718</v>
      </c>
      <c r="CD167" s="155">
        <f t="shared" si="52"/>
        <v>6.5000000000000002E-2</v>
      </c>
      <c r="CE167" s="156">
        <f t="shared" si="53"/>
        <v>0.14330000000000001</v>
      </c>
      <c r="CG167" s="150">
        <v>65</v>
      </c>
      <c r="CH167" s="151" t="s">
        <v>162</v>
      </c>
      <c r="CI167" s="152">
        <v>235.5</v>
      </c>
      <c r="CJ167" s="152">
        <v>171.9</v>
      </c>
      <c r="CK167" s="151">
        <v>1363</v>
      </c>
      <c r="CL167" s="151" t="s">
        <v>1718</v>
      </c>
      <c r="CM167" s="151">
        <v>542</v>
      </c>
      <c r="CN167" s="151" t="s">
        <v>1718</v>
      </c>
      <c r="CO167" s="151">
        <v>418</v>
      </c>
      <c r="CP167" s="151" t="s">
        <v>1718</v>
      </c>
      <c r="CR167" s="155">
        <f t="shared" si="54"/>
        <v>6.5000000000000002E-2</v>
      </c>
      <c r="CS167" s="156">
        <f t="shared" si="55"/>
        <v>0.1363</v>
      </c>
      <c r="CU167" s="151">
        <v>65</v>
      </c>
      <c r="CV167" s="152" t="s">
        <v>162</v>
      </c>
      <c r="CW167" s="152">
        <v>256.10000000000002</v>
      </c>
      <c r="CX167" s="152">
        <v>553.29999999999995</v>
      </c>
      <c r="CY167" s="151">
        <v>700</v>
      </c>
      <c r="CZ167" s="151" t="s">
        <v>1718</v>
      </c>
      <c r="DA167" s="151">
        <v>257</v>
      </c>
      <c r="DB167" s="151" t="s">
        <v>1718</v>
      </c>
      <c r="DC167" s="151">
        <v>187</v>
      </c>
      <c r="DD167" t="s">
        <v>1718</v>
      </c>
      <c r="DF167" s="155">
        <f t="shared" si="56"/>
        <v>6.5000000000000002E-2</v>
      </c>
      <c r="DG167" s="156">
        <f t="shared" si="57"/>
        <v>7.0000000000000007E-2</v>
      </c>
      <c r="DI167" s="151">
        <v>65</v>
      </c>
      <c r="DJ167" s="152" t="s">
        <v>162</v>
      </c>
      <c r="DK167" s="152">
        <v>282.8</v>
      </c>
      <c r="DL167" s="152">
        <v>528.5</v>
      </c>
      <c r="DM167" s="151">
        <v>712</v>
      </c>
      <c r="DN167" s="151" t="s">
        <v>1718</v>
      </c>
      <c r="DO167" s="151">
        <v>253</v>
      </c>
      <c r="DP167" s="151" t="s">
        <v>1718</v>
      </c>
      <c r="DQ167" s="151">
        <v>186</v>
      </c>
      <c r="DR167" t="s">
        <v>1718</v>
      </c>
      <c r="DT167" s="155">
        <f t="shared" si="58"/>
        <v>6.5000000000000002E-2</v>
      </c>
      <c r="DU167" s="156">
        <f t="shared" si="59"/>
        <v>7.1199999999999999E-2</v>
      </c>
    </row>
    <row r="168" spans="1:125" x14ac:dyDescent="0.2">
      <c r="A168" s="150">
        <v>70</v>
      </c>
      <c r="B168" s="151" t="s">
        <v>162</v>
      </c>
      <c r="C168" s="152">
        <v>208</v>
      </c>
      <c r="D168" s="152">
        <v>189.4</v>
      </c>
      <c r="E168" s="151">
        <v>1387</v>
      </c>
      <c r="F168" s="151" t="s">
        <v>1718</v>
      </c>
      <c r="G168" s="151">
        <v>561</v>
      </c>
      <c r="H168" s="151" t="s">
        <v>1718</v>
      </c>
      <c r="I168" s="151">
        <v>423</v>
      </c>
      <c r="J168" s="151" t="s">
        <v>1718</v>
      </c>
      <c r="L168" s="155">
        <f t="shared" si="42"/>
        <v>7.0000000000000007E-2</v>
      </c>
      <c r="M168" s="156">
        <f t="shared" si="43"/>
        <v>0.13870000000000002</v>
      </c>
      <c r="O168" s="150">
        <v>70</v>
      </c>
      <c r="P168" s="151" t="s">
        <v>162</v>
      </c>
      <c r="Q168" s="152">
        <v>260.3</v>
      </c>
      <c r="R168" s="152">
        <v>148.6</v>
      </c>
      <c r="S168" s="151">
        <v>1448</v>
      </c>
      <c r="T168" s="151" t="s">
        <v>1718</v>
      </c>
      <c r="U168" s="151">
        <v>581</v>
      </c>
      <c r="V168" s="151" t="s">
        <v>1718</v>
      </c>
      <c r="W168" s="151">
        <v>461</v>
      </c>
      <c r="X168" s="151" t="s">
        <v>1718</v>
      </c>
      <c r="Z168" s="155">
        <f t="shared" si="44"/>
        <v>7.0000000000000007E-2</v>
      </c>
      <c r="AA168" s="156">
        <f t="shared" si="45"/>
        <v>0.14480000000000001</v>
      </c>
      <c r="AC168" s="150">
        <v>70</v>
      </c>
      <c r="AD168" s="151" t="s">
        <v>162</v>
      </c>
      <c r="AE168" s="152">
        <v>169.8</v>
      </c>
      <c r="AF168" s="152">
        <v>3.31</v>
      </c>
      <c r="AG168" s="151">
        <v>5315</v>
      </c>
      <c r="AH168" s="151" t="s">
        <v>1718</v>
      </c>
      <c r="AI168" s="151">
        <v>1374</v>
      </c>
      <c r="AJ168" s="151" t="s">
        <v>1718</v>
      </c>
      <c r="AK168" s="151">
        <v>1430</v>
      </c>
      <c r="AL168" s="151" t="s">
        <v>1718</v>
      </c>
      <c r="AN168" s="155">
        <f t="shared" si="46"/>
        <v>7.0000000000000007E-2</v>
      </c>
      <c r="AO168" s="156">
        <f t="shared" si="47"/>
        <v>0.53149999999999997</v>
      </c>
      <c r="AQ168" s="150">
        <v>70</v>
      </c>
      <c r="AR168" s="151" t="s">
        <v>162</v>
      </c>
      <c r="AS168" s="152">
        <v>122.9</v>
      </c>
      <c r="AT168" s="152">
        <v>0.26400000000000001</v>
      </c>
      <c r="AU168" s="151">
        <v>6246</v>
      </c>
      <c r="AV168" s="151" t="s">
        <v>1718</v>
      </c>
      <c r="AW168" s="151">
        <v>886</v>
      </c>
      <c r="AX168" s="151" t="s">
        <v>1718</v>
      </c>
      <c r="AY168" s="151">
        <v>1077</v>
      </c>
      <c r="AZ168" s="151" t="s">
        <v>1718</v>
      </c>
      <c r="BB168" s="155">
        <f t="shared" si="48"/>
        <v>7.0000000000000007E-2</v>
      </c>
      <c r="BC168" s="156">
        <f t="shared" si="49"/>
        <v>0.62460000000000004</v>
      </c>
      <c r="BE168" s="150">
        <v>70</v>
      </c>
      <c r="BF168" s="151" t="s">
        <v>162</v>
      </c>
      <c r="BG168" s="152">
        <v>264</v>
      </c>
      <c r="BH168" s="152">
        <v>51.72</v>
      </c>
      <c r="BI168" s="151">
        <v>2045</v>
      </c>
      <c r="BJ168" s="151" t="s">
        <v>1718</v>
      </c>
      <c r="BK168" s="151">
        <v>701</v>
      </c>
      <c r="BL168" s="151" t="s">
        <v>1718</v>
      </c>
      <c r="BM168" s="151">
        <v>612</v>
      </c>
      <c r="BN168" s="151" t="s">
        <v>1718</v>
      </c>
      <c r="BP168" s="155">
        <f t="shared" si="50"/>
        <v>7.0000000000000007E-2</v>
      </c>
      <c r="BQ168" s="156">
        <f t="shared" si="51"/>
        <v>0.20450000000000002</v>
      </c>
      <c r="BS168" s="150">
        <v>70</v>
      </c>
      <c r="BT168" s="151" t="s">
        <v>162</v>
      </c>
      <c r="BU168" s="152">
        <v>253.3</v>
      </c>
      <c r="BV168" s="152">
        <v>128.80000000000001</v>
      </c>
      <c r="BW168" s="151">
        <v>1537</v>
      </c>
      <c r="BX168" s="151" t="s">
        <v>1718</v>
      </c>
      <c r="BY168" s="151">
        <v>587</v>
      </c>
      <c r="BZ168" s="151" t="s">
        <v>1718</v>
      </c>
      <c r="CA168" s="151">
        <v>470</v>
      </c>
      <c r="CB168" s="151" t="s">
        <v>1718</v>
      </c>
      <c r="CD168" s="155">
        <f t="shared" si="52"/>
        <v>7.0000000000000007E-2</v>
      </c>
      <c r="CE168" s="156">
        <f t="shared" si="53"/>
        <v>0.1537</v>
      </c>
      <c r="CG168" s="150">
        <v>70</v>
      </c>
      <c r="CH168" s="151" t="s">
        <v>162</v>
      </c>
      <c r="CI168" s="152">
        <v>244.7</v>
      </c>
      <c r="CJ168" s="152">
        <v>166.9</v>
      </c>
      <c r="CK168" s="151">
        <v>1460</v>
      </c>
      <c r="CL168" s="151" t="s">
        <v>1718</v>
      </c>
      <c r="CM168" s="151">
        <v>569</v>
      </c>
      <c r="CN168" s="151" t="s">
        <v>1718</v>
      </c>
      <c r="CO168" s="151">
        <v>443</v>
      </c>
      <c r="CP168" s="151" t="s">
        <v>1718</v>
      </c>
      <c r="CR168" s="155">
        <f t="shared" si="54"/>
        <v>7.0000000000000007E-2</v>
      </c>
      <c r="CS168" s="156">
        <f t="shared" si="55"/>
        <v>0.14600000000000002</v>
      </c>
      <c r="CU168" s="151">
        <v>70</v>
      </c>
      <c r="CV168" s="152" t="s">
        <v>162</v>
      </c>
      <c r="CW168" s="152">
        <v>265.7</v>
      </c>
      <c r="CX168" s="152">
        <v>545.5</v>
      </c>
      <c r="CY168" s="151">
        <v>750</v>
      </c>
      <c r="CZ168" s="151" t="s">
        <v>1718</v>
      </c>
      <c r="DA168" s="151">
        <v>272</v>
      </c>
      <c r="DB168" s="151" t="s">
        <v>1718</v>
      </c>
      <c r="DC168" s="151">
        <v>198</v>
      </c>
      <c r="DD168" t="s">
        <v>1718</v>
      </c>
      <c r="DF168" s="155">
        <f t="shared" si="56"/>
        <v>7.0000000000000007E-2</v>
      </c>
      <c r="DG168" s="156">
        <f t="shared" si="57"/>
        <v>7.4999999999999997E-2</v>
      </c>
      <c r="DI168" s="151">
        <v>70</v>
      </c>
      <c r="DJ168" s="152" t="s">
        <v>162</v>
      </c>
      <c r="DK168" s="152">
        <v>293.5</v>
      </c>
      <c r="DL168" s="152">
        <v>520.79999999999995</v>
      </c>
      <c r="DM168" s="151">
        <v>763</v>
      </c>
      <c r="DN168" s="151" t="s">
        <v>1718</v>
      </c>
      <c r="DO168" s="151">
        <v>268</v>
      </c>
      <c r="DP168" s="151" t="s">
        <v>1718</v>
      </c>
      <c r="DQ168" s="151">
        <v>197</v>
      </c>
      <c r="DR168" t="s">
        <v>1718</v>
      </c>
      <c r="DT168" s="155">
        <f t="shared" si="58"/>
        <v>7.0000000000000007E-2</v>
      </c>
      <c r="DU168" s="156">
        <f t="shared" si="59"/>
        <v>7.6300000000000007E-2</v>
      </c>
    </row>
    <row r="169" spans="1:125" x14ac:dyDescent="0.2">
      <c r="A169" s="150">
        <v>80</v>
      </c>
      <c r="B169" s="151" t="s">
        <v>162</v>
      </c>
      <c r="C169" s="152">
        <v>218.8</v>
      </c>
      <c r="D169" s="152">
        <v>179.7</v>
      </c>
      <c r="E169" s="151">
        <v>1584</v>
      </c>
      <c r="F169" s="151" t="s">
        <v>1718</v>
      </c>
      <c r="G169" s="151">
        <v>621</v>
      </c>
      <c r="H169" s="151" t="s">
        <v>1718</v>
      </c>
      <c r="I169" s="151">
        <v>474</v>
      </c>
      <c r="J169" s="151" t="s">
        <v>1718</v>
      </c>
      <c r="L169" s="155">
        <f t="shared" si="42"/>
        <v>0.08</v>
      </c>
      <c r="M169" s="156">
        <f t="shared" si="43"/>
        <v>0.15840000000000001</v>
      </c>
      <c r="O169" s="150">
        <v>80</v>
      </c>
      <c r="P169" s="151" t="s">
        <v>162</v>
      </c>
      <c r="Q169" s="152">
        <v>271.60000000000002</v>
      </c>
      <c r="R169" s="152">
        <v>140.4</v>
      </c>
      <c r="S169" s="151">
        <v>1641</v>
      </c>
      <c r="T169" s="151" t="s">
        <v>1718</v>
      </c>
      <c r="U169" s="151">
        <v>634</v>
      </c>
      <c r="V169" s="151" t="s">
        <v>1718</v>
      </c>
      <c r="W169" s="151">
        <v>509</v>
      </c>
      <c r="X169" s="151" t="s">
        <v>1718</v>
      </c>
      <c r="Z169" s="155">
        <f t="shared" si="44"/>
        <v>0.08</v>
      </c>
      <c r="AA169" s="156">
        <f t="shared" si="45"/>
        <v>0.1641</v>
      </c>
      <c r="AC169" s="150">
        <v>80</v>
      </c>
      <c r="AD169" s="151" t="s">
        <v>162</v>
      </c>
      <c r="AE169" s="152">
        <v>183.3</v>
      </c>
      <c r="AF169" s="152">
        <v>3.016</v>
      </c>
      <c r="AG169" s="151">
        <v>5826</v>
      </c>
      <c r="AH169" s="151" t="s">
        <v>1718</v>
      </c>
      <c r="AI169" s="151">
        <v>1416</v>
      </c>
      <c r="AJ169" s="151" t="s">
        <v>1718</v>
      </c>
      <c r="AK169" s="151">
        <v>1497</v>
      </c>
      <c r="AL169" s="151" t="s">
        <v>1718</v>
      </c>
      <c r="AN169" s="155">
        <f t="shared" si="46"/>
        <v>0.08</v>
      </c>
      <c r="AO169" s="156">
        <f t="shared" si="47"/>
        <v>0.58260000000000001</v>
      </c>
      <c r="AQ169" s="150">
        <v>80</v>
      </c>
      <c r="AR169" s="151" t="s">
        <v>162</v>
      </c>
      <c r="AS169" s="152">
        <v>120.5</v>
      </c>
      <c r="AT169" s="152">
        <v>0.2387</v>
      </c>
      <c r="AU169" s="151">
        <v>7041</v>
      </c>
      <c r="AV169" s="151" t="s">
        <v>1718</v>
      </c>
      <c r="AW169" s="151">
        <v>922</v>
      </c>
      <c r="AX169" s="151" t="s">
        <v>1718</v>
      </c>
      <c r="AY169" s="151">
        <v>1140</v>
      </c>
      <c r="AZ169" s="151" t="s">
        <v>1718</v>
      </c>
      <c r="BB169" s="155">
        <f t="shared" si="48"/>
        <v>0.08</v>
      </c>
      <c r="BC169" s="156">
        <f t="shared" si="49"/>
        <v>0.70410000000000006</v>
      </c>
      <c r="BE169" s="150">
        <v>80</v>
      </c>
      <c r="BF169" s="151" t="s">
        <v>162</v>
      </c>
      <c r="BG169" s="152">
        <v>276.7</v>
      </c>
      <c r="BH169" s="152">
        <v>48.13</v>
      </c>
      <c r="BI169" s="151">
        <v>2308</v>
      </c>
      <c r="BJ169" s="151" t="s">
        <v>1718</v>
      </c>
      <c r="BK169" s="151">
        <v>752</v>
      </c>
      <c r="BL169" s="151" t="s">
        <v>1718</v>
      </c>
      <c r="BM169" s="151">
        <v>667</v>
      </c>
      <c r="BN169" s="151" t="s">
        <v>1718</v>
      </c>
      <c r="BP169" s="155">
        <f t="shared" si="50"/>
        <v>0.08</v>
      </c>
      <c r="BQ169" s="156">
        <f t="shared" si="51"/>
        <v>0.23080000000000001</v>
      </c>
      <c r="BS169" s="150">
        <v>80</v>
      </c>
      <c r="BT169" s="151" t="s">
        <v>162</v>
      </c>
      <c r="BU169" s="152">
        <v>259.7</v>
      </c>
      <c r="BV169" s="152">
        <v>121.3</v>
      </c>
      <c r="BW169" s="151">
        <v>1750</v>
      </c>
      <c r="BX169" s="151" t="s">
        <v>1718</v>
      </c>
      <c r="BY169" s="151">
        <v>642</v>
      </c>
      <c r="BZ169" s="151" t="s">
        <v>1718</v>
      </c>
      <c r="CA169" s="151">
        <v>519</v>
      </c>
      <c r="CB169" s="151" t="s">
        <v>1718</v>
      </c>
      <c r="CD169" s="155">
        <f t="shared" si="52"/>
        <v>0.08</v>
      </c>
      <c r="CE169" s="156">
        <f t="shared" si="53"/>
        <v>0.17500000000000002</v>
      </c>
      <c r="CG169" s="150">
        <v>80</v>
      </c>
      <c r="CH169" s="151" t="s">
        <v>162</v>
      </c>
      <c r="CI169" s="152">
        <v>258.39999999999998</v>
      </c>
      <c r="CJ169" s="152">
        <v>158</v>
      </c>
      <c r="CK169" s="151">
        <v>1653</v>
      </c>
      <c r="CL169" s="151" t="s">
        <v>1718</v>
      </c>
      <c r="CM169" s="151">
        <v>621</v>
      </c>
      <c r="CN169" s="151" t="s">
        <v>1718</v>
      </c>
      <c r="CO169" s="151">
        <v>491</v>
      </c>
      <c r="CP169" s="151" t="s">
        <v>1718</v>
      </c>
      <c r="CR169" s="155">
        <f t="shared" si="54"/>
        <v>0.08</v>
      </c>
      <c r="CS169" s="156">
        <f t="shared" si="55"/>
        <v>0.1653</v>
      </c>
      <c r="CU169" s="151">
        <v>80</v>
      </c>
      <c r="CV169" s="152" t="s">
        <v>162</v>
      </c>
      <c r="CW169" s="152">
        <v>289.2</v>
      </c>
      <c r="CX169" s="152">
        <v>530.29999999999995</v>
      </c>
      <c r="CY169" s="151">
        <v>851</v>
      </c>
      <c r="CZ169" s="151" t="s">
        <v>1718</v>
      </c>
      <c r="DA169" s="151">
        <v>302</v>
      </c>
      <c r="DB169" s="151" t="s">
        <v>1718</v>
      </c>
      <c r="DC169" s="151">
        <v>220</v>
      </c>
      <c r="DD169" t="s">
        <v>1718</v>
      </c>
      <c r="DF169" s="155">
        <f t="shared" si="56"/>
        <v>0.08</v>
      </c>
      <c r="DG169" s="156">
        <f t="shared" si="57"/>
        <v>8.5100000000000009E-2</v>
      </c>
      <c r="DI169" s="151">
        <v>80</v>
      </c>
      <c r="DJ169" s="152" t="s">
        <v>162</v>
      </c>
      <c r="DK169" s="152">
        <v>313.89999999999998</v>
      </c>
      <c r="DL169" s="152">
        <v>505.6</v>
      </c>
      <c r="DM169" s="151">
        <v>865</v>
      </c>
      <c r="DN169" s="151" t="s">
        <v>1718</v>
      </c>
      <c r="DO169" s="151">
        <v>297</v>
      </c>
      <c r="DP169" s="151" t="s">
        <v>1718</v>
      </c>
      <c r="DQ169" s="151">
        <v>218</v>
      </c>
      <c r="DR169" t="s">
        <v>1718</v>
      </c>
      <c r="DT169" s="155">
        <f t="shared" si="58"/>
        <v>0.08</v>
      </c>
      <c r="DU169" s="156">
        <f t="shared" si="59"/>
        <v>8.6500000000000007E-2</v>
      </c>
    </row>
    <row r="170" spans="1:125" x14ac:dyDescent="0.2">
      <c r="A170" s="150">
        <v>90</v>
      </c>
      <c r="B170" s="151" t="s">
        <v>162</v>
      </c>
      <c r="C170" s="152">
        <v>228.5</v>
      </c>
      <c r="D170" s="152">
        <v>171.1</v>
      </c>
      <c r="E170" s="151">
        <v>1784</v>
      </c>
      <c r="F170" s="151" t="s">
        <v>1718</v>
      </c>
      <c r="G170" s="151">
        <v>678</v>
      </c>
      <c r="H170" s="151" t="s">
        <v>1718</v>
      </c>
      <c r="I170" s="151">
        <v>523</v>
      </c>
      <c r="J170" s="151" t="s">
        <v>1718</v>
      </c>
      <c r="L170" s="155">
        <f t="shared" si="42"/>
        <v>0.09</v>
      </c>
      <c r="M170" s="156">
        <f t="shared" si="43"/>
        <v>0.1784</v>
      </c>
      <c r="O170" s="150">
        <v>90</v>
      </c>
      <c r="P170" s="151" t="s">
        <v>162</v>
      </c>
      <c r="Q170" s="152">
        <v>281</v>
      </c>
      <c r="R170" s="152">
        <v>133.19999999999999</v>
      </c>
      <c r="S170" s="151">
        <v>1836</v>
      </c>
      <c r="T170" s="151" t="s">
        <v>1718</v>
      </c>
      <c r="U170" s="151">
        <v>685</v>
      </c>
      <c r="V170" s="151" t="s">
        <v>1718</v>
      </c>
      <c r="W170" s="151">
        <v>555</v>
      </c>
      <c r="X170" s="151" t="s">
        <v>1718</v>
      </c>
      <c r="Z170" s="155">
        <f t="shared" si="44"/>
        <v>0.09</v>
      </c>
      <c r="AA170" s="156">
        <f t="shared" si="45"/>
        <v>0.18360000000000001</v>
      </c>
      <c r="AC170" s="150">
        <v>90</v>
      </c>
      <c r="AD170" s="151" t="s">
        <v>162</v>
      </c>
      <c r="AE170" s="152">
        <v>195.8</v>
      </c>
      <c r="AF170" s="152">
        <v>2.7759999999999998</v>
      </c>
      <c r="AG170" s="151">
        <v>6308</v>
      </c>
      <c r="AH170" s="151" t="s">
        <v>1718</v>
      </c>
      <c r="AI170" s="151">
        <v>1451</v>
      </c>
      <c r="AJ170" s="151" t="s">
        <v>1718</v>
      </c>
      <c r="AK170" s="151">
        <v>1555</v>
      </c>
      <c r="AL170" s="151" t="s">
        <v>1718</v>
      </c>
      <c r="AN170" s="155">
        <f t="shared" si="46"/>
        <v>0.09</v>
      </c>
      <c r="AO170" s="156">
        <f t="shared" si="47"/>
        <v>0.63080000000000003</v>
      </c>
      <c r="AQ170" s="150">
        <v>90</v>
      </c>
      <c r="AR170" s="151" t="s">
        <v>162</v>
      </c>
      <c r="AS170" s="152">
        <v>117.8</v>
      </c>
      <c r="AT170" s="152">
        <v>0.21820000000000001</v>
      </c>
      <c r="AU170" s="151">
        <v>7856</v>
      </c>
      <c r="AV170" s="151" t="s">
        <v>1718</v>
      </c>
      <c r="AW170" s="151">
        <v>957</v>
      </c>
      <c r="AX170" s="151" t="s">
        <v>1718</v>
      </c>
      <c r="AY170" s="151">
        <v>1203</v>
      </c>
      <c r="AZ170" s="151" t="s">
        <v>1718</v>
      </c>
      <c r="BB170" s="155">
        <f t="shared" si="48"/>
        <v>0.09</v>
      </c>
      <c r="BC170" s="156">
        <f t="shared" si="49"/>
        <v>0.78560000000000008</v>
      </c>
      <c r="BE170" s="150">
        <v>90</v>
      </c>
      <c r="BF170" s="151" t="s">
        <v>162</v>
      </c>
      <c r="BG170" s="152">
        <v>288.5</v>
      </c>
      <c r="BH170" s="152">
        <v>45.08</v>
      </c>
      <c r="BI170" s="151">
        <v>2568</v>
      </c>
      <c r="BJ170" s="151" t="s">
        <v>1718</v>
      </c>
      <c r="BK170" s="151">
        <v>799</v>
      </c>
      <c r="BL170" s="151" t="s">
        <v>1718</v>
      </c>
      <c r="BM170" s="151">
        <v>719</v>
      </c>
      <c r="BN170" s="151" t="s">
        <v>1718</v>
      </c>
      <c r="BP170" s="155">
        <f t="shared" si="50"/>
        <v>0.09</v>
      </c>
      <c r="BQ170" s="156">
        <f t="shared" si="51"/>
        <v>0.25680000000000003</v>
      </c>
      <c r="BS170" s="150">
        <v>90</v>
      </c>
      <c r="BT170" s="151" t="s">
        <v>162</v>
      </c>
      <c r="BU170" s="152">
        <v>267.5</v>
      </c>
      <c r="BV170" s="152">
        <v>114.8</v>
      </c>
      <c r="BW170" s="151">
        <v>1965</v>
      </c>
      <c r="BX170" s="151" t="s">
        <v>1718</v>
      </c>
      <c r="BY170" s="151">
        <v>696</v>
      </c>
      <c r="BZ170" s="151" t="s">
        <v>1718</v>
      </c>
      <c r="CA170" s="151">
        <v>567</v>
      </c>
      <c r="CB170" s="151" t="s">
        <v>1718</v>
      </c>
      <c r="CD170" s="155">
        <f t="shared" si="52"/>
        <v>0.09</v>
      </c>
      <c r="CE170" s="156">
        <f t="shared" si="53"/>
        <v>0.19650000000000001</v>
      </c>
      <c r="CG170" s="150">
        <v>90</v>
      </c>
      <c r="CH170" s="151" t="s">
        <v>162</v>
      </c>
      <c r="CI170" s="152">
        <v>268.7</v>
      </c>
      <c r="CJ170" s="152">
        <v>150.1</v>
      </c>
      <c r="CK170" s="151">
        <v>1847</v>
      </c>
      <c r="CL170" s="151" t="s">
        <v>1718</v>
      </c>
      <c r="CM170" s="151">
        <v>671</v>
      </c>
      <c r="CN170" s="151" t="s">
        <v>1718</v>
      </c>
      <c r="CO170" s="151">
        <v>537</v>
      </c>
      <c r="CP170" s="151" t="s">
        <v>1718</v>
      </c>
      <c r="CR170" s="155">
        <f t="shared" si="54"/>
        <v>0.09</v>
      </c>
      <c r="CS170" s="156">
        <f t="shared" si="55"/>
        <v>0.1847</v>
      </c>
      <c r="CU170" s="151">
        <v>90</v>
      </c>
      <c r="CV170" s="152" t="s">
        <v>162</v>
      </c>
      <c r="CW170" s="152">
        <v>325.60000000000002</v>
      </c>
      <c r="CX170" s="152">
        <v>515.70000000000005</v>
      </c>
      <c r="CY170" s="151">
        <v>950</v>
      </c>
      <c r="CZ170" s="151" t="s">
        <v>1718</v>
      </c>
      <c r="DA170" s="151">
        <v>330</v>
      </c>
      <c r="DB170" s="151" t="s">
        <v>1718</v>
      </c>
      <c r="DC170" s="151">
        <v>242</v>
      </c>
      <c r="DD170" t="s">
        <v>1718</v>
      </c>
      <c r="DF170" s="155">
        <f t="shared" si="56"/>
        <v>0.09</v>
      </c>
      <c r="DG170" s="156">
        <f t="shared" si="57"/>
        <v>9.5000000000000001E-2</v>
      </c>
      <c r="DI170" s="151">
        <v>90</v>
      </c>
      <c r="DJ170" s="152" t="s">
        <v>162</v>
      </c>
      <c r="DK170" s="152">
        <v>349.7</v>
      </c>
      <c r="DL170" s="152">
        <v>491.2</v>
      </c>
      <c r="DM170" s="151">
        <v>965</v>
      </c>
      <c r="DN170" s="151" t="s">
        <v>1718</v>
      </c>
      <c r="DO170" s="151">
        <v>324</v>
      </c>
      <c r="DP170" s="151" t="s">
        <v>1718</v>
      </c>
      <c r="DQ170" s="151">
        <v>240</v>
      </c>
      <c r="DR170" t="s">
        <v>1718</v>
      </c>
      <c r="DT170" s="155">
        <f t="shared" si="58"/>
        <v>0.09</v>
      </c>
      <c r="DU170" s="156">
        <f t="shared" si="59"/>
        <v>9.6500000000000002E-2</v>
      </c>
    </row>
    <row r="171" spans="1:125" x14ac:dyDescent="0.2">
      <c r="A171" s="150">
        <v>100</v>
      </c>
      <c r="B171" s="151" t="s">
        <v>162</v>
      </c>
      <c r="C171" s="152">
        <v>237.8</v>
      </c>
      <c r="D171" s="152">
        <v>163.4</v>
      </c>
      <c r="E171" s="151">
        <v>1985</v>
      </c>
      <c r="F171" s="151" t="s">
        <v>1718</v>
      </c>
      <c r="G171" s="151">
        <v>733</v>
      </c>
      <c r="H171" s="151" t="s">
        <v>1718</v>
      </c>
      <c r="I171" s="151">
        <v>571</v>
      </c>
      <c r="J171" s="151" t="s">
        <v>1718</v>
      </c>
      <c r="L171" s="155">
        <f t="shared" si="42"/>
        <v>0.1</v>
      </c>
      <c r="M171" s="156">
        <f t="shared" si="43"/>
        <v>0.19850000000000001</v>
      </c>
      <c r="O171" s="150">
        <v>100</v>
      </c>
      <c r="P171" s="151" t="s">
        <v>162</v>
      </c>
      <c r="Q171" s="152">
        <v>289.5</v>
      </c>
      <c r="R171" s="152">
        <v>126.9</v>
      </c>
      <c r="S171" s="151">
        <v>2032</v>
      </c>
      <c r="T171" s="151" t="s">
        <v>1718</v>
      </c>
      <c r="U171" s="151">
        <v>734</v>
      </c>
      <c r="V171" s="151" t="s">
        <v>1718</v>
      </c>
      <c r="W171" s="151">
        <v>600</v>
      </c>
      <c r="X171" s="151" t="s">
        <v>1718</v>
      </c>
      <c r="Z171" s="155">
        <f t="shared" si="44"/>
        <v>0.1</v>
      </c>
      <c r="AA171" s="156">
        <f t="shared" si="45"/>
        <v>0.20320000000000002</v>
      </c>
      <c r="AC171" s="150">
        <v>100</v>
      </c>
      <c r="AD171" s="151" t="s">
        <v>162</v>
      </c>
      <c r="AE171" s="152">
        <v>207.3</v>
      </c>
      <c r="AF171" s="152">
        <v>2.5750000000000002</v>
      </c>
      <c r="AG171" s="151">
        <v>6767</v>
      </c>
      <c r="AH171" s="151" t="s">
        <v>1718</v>
      </c>
      <c r="AI171" s="151">
        <v>1481</v>
      </c>
      <c r="AJ171" s="151" t="s">
        <v>1718</v>
      </c>
      <c r="AK171" s="151">
        <v>1607</v>
      </c>
      <c r="AL171" s="151" t="s">
        <v>1718</v>
      </c>
      <c r="AN171" s="155">
        <f t="shared" si="46"/>
        <v>0.1</v>
      </c>
      <c r="AO171" s="156">
        <f t="shared" si="47"/>
        <v>0.67670000000000008</v>
      </c>
      <c r="AQ171" s="150">
        <v>100</v>
      </c>
      <c r="AR171" s="151" t="s">
        <v>162</v>
      </c>
      <c r="AS171" s="152">
        <v>115.1</v>
      </c>
      <c r="AT171" s="152">
        <v>0.20130000000000001</v>
      </c>
      <c r="AU171" s="151">
        <v>8692</v>
      </c>
      <c r="AV171" s="151" t="s">
        <v>1718</v>
      </c>
      <c r="AW171" s="151">
        <v>991</v>
      </c>
      <c r="AX171" s="151" t="s">
        <v>1718</v>
      </c>
      <c r="AY171" s="151">
        <v>1265</v>
      </c>
      <c r="AZ171" s="151" t="s">
        <v>1718</v>
      </c>
      <c r="BB171" s="155">
        <f t="shared" si="48"/>
        <v>0.1</v>
      </c>
      <c r="BC171" s="156">
        <f t="shared" si="49"/>
        <v>0.86920000000000008</v>
      </c>
      <c r="BE171" s="150">
        <v>100</v>
      </c>
      <c r="BF171" s="151" t="s">
        <v>162</v>
      </c>
      <c r="BG171" s="152">
        <v>300</v>
      </c>
      <c r="BH171" s="152">
        <v>42.44</v>
      </c>
      <c r="BI171" s="151">
        <v>2824</v>
      </c>
      <c r="BJ171" s="151" t="s">
        <v>1718</v>
      </c>
      <c r="BK171" s="151">
        <v>843</v>
      </c>
      <c r="BL171" s="151" t="s">
        <v>1718</v>
      </c>
      <c r="BM171" s="151">
        <v>768</v>
      </c>
      <c r="BN171" s="151" t="s">
        <v>1718</v>
      </c>
      <c r="BP171" s="155">
        <f t="shared" si="50"/>
        <v>0.1</v>
      </c>
      <c r="BQ171" s="156">
        <f t="shared" si="51"/>
        <v>0.28240000000000004</v>
      </c>
      <c r="BS171" s="150">
        <v>100</v>
      </c>
      <c r="BT171" s="151" t="s">
        <v>162</v>
      </c>
      <c r="BU171" s="152">
        <v>276.89999999999998</v>
      </c>
      <c r="BV171" s="152">
        <v>109.1</v>
      </c>
      <c r="BW171" s="151">
        <v>2181</v>
      </c>
      <c r="BX171" s="151" t="s">
        <v>1718</v>
      </c>
      <c r="BY171" s="151">
        <v>746</v>
      </c>
      <c r="BZ171" s="151" t="s">
        <v>1718</v>
      </c>
      <c r="CA171" s="151">
        <v>614</v>
      </c>
      <c r="CB171" s="151" t="s">
        <v>1718</v>
      </c>
      <c r="CD171" s="155">
        <f t="shared" si="52"/>
        <v>0.1</v>
      </c>
      <c r="CE171" s="156">
        <f t="shared" si="53"/>
        <v>0.21810000000000002</v>
      </c>
      <c r="CG171" s="150">
        <v>100</v>
      </c>
      <c r="CH171" s="151" t="s">
        <v>162</v>
      </c>
      <c r="CI171" s="152">
        <v>277.2</v>
      </c>
      <c r="CJ171" s="152">
        <v>143.1</v>
      </c>
      <c r="CK171" s="151">
        <v>2042</v>
      </c>
      <c r="CL171" s="151" t="s">
        <v>1718</v>
      </c>
      <c r="CM171" s="151">
        <v>719</v>
      </c>
      <c r="CN171" s="151" t="s">
        <v>1718</v>
      </c>
      <c r="CO171" s="151">
        <v>582</v>
      </c>
      <c r="CP171" s="151" t="s">
        <v>1718</v>
      </c>
      <c r="CR171" s="155">
        <f t="shared" si="54"/>
        <v>0.1</v>
      </c>
      <c r="CS171" s="156">
        <f t="shared" si="55"/>
        <v>0.20420000000000002</v>
      </c>
      <c r="CU171" s="151">
        <v>100</v>
      </c>
      <c r="CV171" s="152" t="s">
        <v>162</v>
      </c>
      <c r="CW171" s="152">
        <v>353.9</v>
      </c>
      <c r="CX171" s="152">
        <v>501.8</v>
      </c>
      <c r="CY171" s="151">
        <v>1048</v>
      </c>
      <c r="CZ171" s="151" t="s">
        <v>1718</v>
      </c>
      <c r="DA171" s="151">
        <v>357</v>
      </c>
      <c r="DB171" s="151" t="s">
        <v>1718</v>
      </c>
      <c r="DC171" s="151">
        <v>263</v>
      </c>
      <c r="DD171" t="s">
        <v>1718</v>
      </c>
      <c r="DF171" s="155">
        <f t="shared" si="56"/>
        <v>0.1</v>
      </c>
      <c r="DG171" s="156">
        <f t="shared" si="57"/>
        <v>0.1048</v>
      </c>
      <c r="DI171" s="151">
        <v>100</v>
      </c>
      <c r="DJ171" s="152" t="s">
        <v>162</v>
      </c>
      <c r="DK171" s="152">
        <v>378.7</v>
      </c>
      <c r="DL171" s="152">
        <v>477.5</v>
      </c>
      <c r="DM171" s="151">
        <v>1064</v>
      </c>
      <c r="DN171" s="151" t="s">
        <v>1718</v>
      </c>
      <c r="DO171" s="151">
        <v>350</v>
      </c>
      <c r="DP171" s="151" t="s">
        <v>1718</v>
      </c>
      <c r="DQ171" s="151">
        <v>261</v>
      </c>
      <c r="DR171" t="s">
        <v>1718</v>
      </c>
      <c r="DT171" s="155">
        <f t="shared" si="58"/>
        <v>0.1</v>
      </c>
      <c r="DU171" s="156">
        <f t="shared" si="59"/>
        <v>0.10640000000000001</v>
      </c>
    </row>
    <row r="172" spans="1:125" x14ac:dyDescent="0.2">
      <c r="A172" s="150">
        <v>110</v>
      </c>
      <c r="B172" s="151" t="s">
        <v>162</v>
      </c>
      <c r="C172" s="152">
        <v>247</v>
      </c>
      <c r="D172" s="152">
        <v>156.5</v>
      </c>
      <c r="E172" s="151">
        <v>2187</v>
      </c>
      <c r="F172" s="151" t="s">
        <v>1718</v>
      </c>
      <c r="G172" s="151">
        <v>787</v>
      </c>
      <c r="H172" s="151" t="s">
        <v>1718</v>
      </c>
      <c r="I172" s="151">
        <v>619</v>
      </c>
      <c r="J172" s="151" t="s">
        <v>1718</v>
      </c>
      <c r="L172" s="155">
        <f t="shared" si="42"/>
        <v>0.11</v>
      </c>
      <c r="M172" s="156">
        <f t="shared" si="43"/>
        <v>0.21870000000000001</v>
      </c>
      <c r="O172" s="150">
        <v>110</v>
      </c>
      <c r="P172" s="151" t="s">
        <v>162</v>
      </c>
      <c r="Q172" s="152">
        <v>297.7</v>
      </c>
      <c r="R172" s="152">
        <v>121.2</v>
      </c>
      <c r="S172" s="151">
        <v>2230</v>
      </c>
      <c r="T172" s="151" t="s">
        <v>1718</v>
      </c>
      <c r="U172" s="151">
        <v>781</v>
      </c>
      <c r="V172" s="151" t="s">
        <v>1718</v>
      </c>
      <c r="W172" s="151">
        <v>644</v>
      </c>
      <c r="X172" s="151" t="s">
        <v>1718</v>
      </c>
      <c r="Z172" s="155">
        <f t="shared" si="44"/>
        <v>0.11</v>
      </c>
      <c r="AA172" s="156">
        <f t="shared" si="45"/>
        <v>0.223</v>
      </c>
      <c r="AC172" s="150">
        <v>110</v>
      </c>
      <c r="AD172" s="151" t="s">
        <v>162</v>
      </c>
      <c r="AE172" s="152">
        <v>217.9</v>
      </c>
      <c r="AF172" s="152">
        <v>2.4039999999999999</v>
      </c>
      <c r="AG172" s="151">
        <v>7205</v>
      </c>
      <c r="AH172" s="151" t="s">
        <v>1718</v>
      </c>
      <c r="AI172" s="151">
        <v>1507</v>
      </c>
      <c r="AJ172" s="151" t="s">
        <v>1718</v>
      </c>
      <c r="AK172" s="151">
        <v>1652</v>
      </c>
      <c r="AL172" s="151" t="s">
        <v>1718</v>
      </c>
      <c r="AN172" s="155">
        <f t="shared" si="46"/>
        <v>0.11</v>
      </c>
      <c r="AO172" s="156">
        <f t="shared" si="47"/>
        <v>0.72050000000000003</v>
      </c>
      <c r="AQ172" s="150">
        <v>110</v>
      </c>
      <c r="AR172" s="151" t="s">
        <v>162</v>
      </c>
      <c r="AS172" s="152">
        <v>112.3</v>
      </c>
      <c r="AT172" s="152">
        <v>0.187</v>
      </c>
      <c r="AU172" s="151">
        <v>9550</v>
      </c>
      <c r="AV172" s="151" t="s">
        <v>1718</v>
      </c>
      <c r="AW172" s="151">
        <v>1024</v>
      </c>
      <c r="AX172" s="151" t="s">
        <v>1718</v>
      </c>
      <c r="AY172" s="151">
        <v>1326</v>
      </c>
      <c r="AZ172" s="151" t="s">
        <v>1718</v>
      </c>
      <c r="BB172" s="155">
        <f t="shared" si="48"/>
        <v>0.11</v>
      </c>
      <c r="BC172" s="156">
        <f t="shared" si="49"/>
        <v>0.95500000000000007</v>
      </c>
      <c r="BE172" s="150">
        <v>110</v>
      </c>
      <c r="BF172" s="151" t="s">
        <v>162</v>
      </c>
      <c r="BG172" s="152">
        <v>311.2</v>
      </c>
      <c r="BH172" s="152">
        <v>40.15</v>
      </c>
      <c r="BI172" s="151">
        <v>3075</v>
      </c>
      <c r="BJ172" s="151" t="s">
        <v>1718</v>
      </c>
      <c r="BK172" s="151">
        <v>883</v>
      </c>
      <c r="BL172" s="151" t="s">
        <v>1718</v>
      </c>
      <c r="BM172" s="151">
        <v>815</v>
      </c>
      <c r="BN172" s="151" t="s">
        <v>1718</v>
      </c>
      <c r="BP172" s="155">
        <f t="shared" si="50"/>
        <v>0.11</v>
      </c>
      <c r="BQ172" s="156">
        <f t="shared" si="51"/>
        <v>0.3075</v>
      </c>
      <c r="BS172" s="150">
        <v>110</v>
      </c>
      <c r="BT172" s="151" t="s">
        <v>162</v>
      </c>
      <c r="BU172" s="152">
        <v>287.60000000000002</v>
      </c>
      <c r="BV172" s="152">
        <v>104</v>
      </c>
      <c r="BW172" s="151">
        <v>2396</v>
      </c>
      <c r="BX172" s="151" t="s">
        <v>1718</v>
      </c>
      <c r="BY172" s="151">
        <v>795</v>
      </c>
      <c r="BZ172" s="151" t="s">
        <v>1718</v>
      </c>
      <c r="CA172" s="151">
        <v>660</v>
      </c>
      <c r="CB172" s="151" t="s">
        <v>1718</v>
      </c>
      <c r="CD172" s="155">
        <f t="shared" si="52"/>
        <v>0.11</v>
      </c>
      <c r="CE172" s="156">
        <f t="shared" si="53"/>
        <v>0.23960000000000001</v>
      </c>
      <c r="CG172" s="150">
        <v>110</v>
      </c>
      <c r="CH172" s="151" t="s">
        <v>162</v>
      </c>
      <c r="CI172" s="152">
        <v>284.8</v>
      </c>
      <c r="CJ172" s="152">
        <v>136.80000000000001</v>
      </c>
      <c r="CK172" s="151">
        <v>2240</v>
      </c>
      <c r="CL172" s="151" t="s">
        <v>1718</v>
      </c>
      <c r="CM172" s="151">
        <v>766</v>
      </c>
      <c r="CN172" s="151" t="s">
        <v>1718</v>
      </c>
      <c r="CO172" s="151">
        <v>625</v>
      </c>
      <c r="CP172" s="151" t="s">
        <v>1718</v>
      </c>
      <c r="CR172" s="155">
        <f t="shared" si="54"/>
        <v>0.11</v>
      </c>
      <c r="CS172" s="156">
        <f t="shared" si="55"/>
        <v>0.224</v>
      </c>
      <c r="CU172" s="151">
        <v>110</v>
      </c>
      <c r="CV172" s="152" t="s">
        <v>162</v>
      </c>
      <c r="CW172" s="152">
        <v>376.1</v>
      </c>
      <c r="CX172" s="152">
        <v>488.6</v>
      </c>
      <c r="CY172" s="151">
        <v>1145</v>
      </c>
      <c r="CZ172" s="151" t="s">
        <v>1718</v>
      </c>
      <c r="DA172" s="151">
        <v>382</v>
      </c>
      <c r="DB172" s="151" t="s">
        <v>1718</v>
      </c>
      <c r="DC172" s="151">
        <v>285</v>
      </c>
      <c r="DD172" t="s">
        <v>1718</v>
      </c>
      <c r="DF172" s="155">
        <f t="shared" si="56"/>
        <v>0.11</v>
      </c>
      <c r="DG172" s="156">
        <f t="shared" si="57"/>
        <v>0.1145</v>
      </c>
      <c r="DI172" s="151">
        <v>110</v>
      </c>
      <c r="DJ172" s="152" t="s">
        <v>162</v>
      </c>
      <c r="DK172" s="152">
        <v>402</v>
      </c>
      <c r="DL172" s="152">
        <v>464.5</v>
      </c>
      <c r="DM172" s="151">
        <v>1162</v>
      </c>
      <c r="DN172" s="151" t="s">
        <v>1718</v>
      </c>
      <c r="DO172" s="151">
        <v>375</v>
      </c>
      <c r="DP172" s="151" t="s">
        <v>1718</v>
      </c>
      <c r="DQ172" s="151">
        <v>281</v>
      </c>
      <c r="DR172" t="s">
        <v>1718</v>
      </c>
      <c r="DT172" s="155">
        <f t="shared" si="58"/>
        <v>0.11</v>
      </c>
      <c r="DU172" s="156">
        <f t="shared" si="59"/>
        <v>0.11620000000000001</v>
      </c>
    </row>
    <row r="173" spans="1:125" x14ac:dyDescent="0.2">
      <c r="A173" s="150">
        <v>120</v>
      </c>
      <c r="B173" s="151" t="s">
        <v>162</v>
      </c>
      <c r="C173" s="152">
        <v>256.10000000000002</v>
      </c>
      <c r="D173" s="152">
        <v>150.19999999999999</v>
      </c>
      <c r="E173" s="151">
        <v>2390</v>
      </c>
      <c r="F173" s="151" t="s">
        <v>1718</v>
      </c>
      <c r="G173" s="151">
        <v>838</v>
      </c>
      <c r="H173" s="151" t="s">
        <v>1718</v>
      </c>
      <c r="I173" s="151">
        <v>665</v>
      </c>
      <c r="J173" s="151" t="s">
        <v>1718</v>
      </c>
      <c r="L173" s="155">
        <f t="shared" si="42"/>
        <v>0.12</v>
      </c>
      <c r="M173" s="156">
        <f t="shared" si="43"/>
        <v>0.23900000000000002</v>
      </c>
      <c r="O173" s="150">
        <v>120</v>
      </c>
      <c r="P173" s="151" t="s">
        <v>162</v>
      </c>
      <c r="Q173" s="152">
        <v>305.8</v>
      </c>
      <c r="R173" s="152">
        <v>116</v>
      </c>
      <c r="S173" s="151">
        <v>2428</v>
      </c>
      <c r="T173" s="151" t="s">
        <v>1718</v>
      </c>
      <c r="U173" s="151">
        <v>826</v>
      </c>
      <c r="V173" s="151" t="s">
        <v>1718</v>
      </c>
      <c r="W173" s="151">
        <v>686</v>
      </c>
      <c r="X173" s="151" t="s">
        <v>1718</v>
      </c>
      <c r="Z173" s="155">
        <f t="shared" si="44"/>
        <v>0.12</v>
      </c>
      <c r="AA173" s="156">
        <f t="shared" si="45"/>
        <v>0.24280000000000002</v>
      </c>
      <c r="AC173" s="150">
        <v>120</v>
      </c>
      <c r="AD173" s="151" t="s">
        <v>162</v>
      </c>
      <c r="AE173" s="152">
        <v>227.8</v>
      </c>
      <c r="AF173" s="152">
        <v>2.2559999999999998</v>
      </c>
      <c r="AG173" s="151">
        <v>7626</v>
      </c>
      <c r="AH173" s="151" t="s">
        <v>1718</v>
      </c>
      <c r="AI173" s="151">
        <v>1530</v>
      </c>
      <c r="AJ173" s="151" t="s">
        <v>1718</v>
      </c>
      <c r="AK173" s="151">
        <v>1694</v>
      </c>
      <c r="AL173" s="151" t="s">
        <v>1718</v>
      </c>
      <c r="AN173" s="155">
        <f t="shared" si="46"/>
        <v>0.12</v>
      </c>
      <c r="AO173" s="156">
        <f t="shared" si="47"/>
        <v>0.76260000000000006</v>
      </c>
      <c r="AQ173" s="150">
        <v>120</v>
      </c>
      <c r="AR173" s="151" t="s">
        <v>162</v>
      </c>
      <c r="AS173" s="152">
        <v>109.5</v>
      </c>
      <c r="AT173" s="152">
        <v>0.17480000000000001</v>
      </c>
      <c r="AU173" s="151">
        <v>1.04</v>
      </c>
      <c r="AV173" s="151" t="s">
        <v>1675</v>
      </c>
      <c r="AW173" s="151">
        <v>1058</v>
      </c>
      <c r="AX173" s="151" t="s">
        <v>1718</v>
      </c>
      <c r="AY173" s="151">
        <v>1388</v>
      </c>
      <c r="AZ173" s="151" t="s">
        <v>1718</v>
      </c>
      <c r="BB173" s="155">
        <f t="shared" si="48"/>
        <v>0.12</v>
      </c>
      <c r="BC173" s="156">
        <f t="shared" si="49"/>
        <v>1.04</v>
      </c>
      <c r="BE173" s="150">
        <v>120</v>
      </c>
      <c r="BF173" s="151" t="s">
        <v>162</v>
      </c>
      <c r="BG173" s="152">
        <v>322.3</v>
      </c>
      <c r="BH173" s="152">
        <v>38.119999999999997</v>
      </c>
      <c r="BI173" s="151">
        <v>3323</v>
      </c>
      <c r="BJ173" s="151" t="s">
        <v>1718</v>
      </c>
      <c r="BK173" s="151">
        <v>920</v>
      </c>
      <c r="BL173" s="151" t="s">
        <v>1718</v>
      </c>
      <c r="BM173" s="151">
        <v>859</v>
      </c>
      <c r="BN173" s="151" t="s">
        <v>1718</v>
      </c>
      <c r="BP173" s="155">
        <f t="shared" si="50"/>
        <v>0.12</v>
      </c>
      <c r="BQ173" s="156">
        <f t="shared" si="51"/>
        <v>0.33230000000000004</v>
      </c>
      <c r="BS173" s="150">
        <v>120</v>
      </c>
      <c r="BT173" s="151" t="s">
        <v>162</v>
      </c>
      <c r="BU173" s="152">
        <v>299.5</v>
      </c>
      <c r="BV173" s="152">
        <v>99.48</v>
      </c>
      <c r="BW173" s="151">
        <v>2610</v>
      </c>
      <c r="BX173" s="151" t="s">
        <v>1718</v>
      </c>
      <c r="BY173" s="151">
        <v>840</v>
      </c>
      <c r="BZ173" s="151" t="s">
        <v>1718</v>
      </c>
      <c r="CA173" s="151">
        <v>705</v>
      </c>
      <c r="CB173" s="151" t="s">
        <v>1718</v>
      </c>
      <c r="CD173" s="155">
        <f t="shared" si="52"/>
        <v>0.12</v>
      </c>
      <c r="CE173" s="156">
        <f t="shared" si="53"/>
        <v>0.26100000000000001</v>
      </c>
      <c r="CG173" s="150">
        <v>120</v>
      </c>
      <c r="CH173" s="151" t="s">
        <v>162</v>
      </c>
      <c r="CI173" s="152">
        <v>291.89999999999998</v>
      </c>
      <c r="CJ173" s="152">
        <v>131.1</v>
      </c>
      <c r="CK173" s="151">
        <v>2438</v>
      </c>
      <c r="CL173" s="151" t="s">
        <v>1718</v>
      </c>
      <c r="CM173" s="151">
        <v>811</v>
      </c>
      <c r="CN173" s="151" t="s">
        <v>1718</v>
      </c>
      <c r="CO173" s="151">
        <v>668</v>
      </c>
      <c r="CP173" s="151" t="s">
        <v>1718</v>
      </c>
      <c r="CR173" s="155">
        <f t="shared" si="54"/>
        <v>0.12</v>
      </c>
      <c r="CS173" s="156">
        <f t="shared" si="55"/>
        <v>0.24380000000000002</v>
      </c>
      <c r="CU173" s="151">
        <v>120</v>
      </c>
      <c r="CV173" s="152" t="s">
        <v>162</v>
      </c>
      <c r="CW173" s="152">
        <v>394</v>
      </c>
      <c r="CX173" s="152">
        <v>476.1</v>
      </c>
      <c r="CY173" s="151">
        <v>1242</v>
      </c>
      <c r="CZ173" s="151" t="s">
        <v>1718</v>
      </c>
      <c r="DA173" s="151">
        <v>407</v>
      </c>
      <c r="DB173" s="151" t="s">
        <v>1718</v>
      </c>
      <c r="DC173" s="151">
        <v>305</v>
      </c>
      <c r="DD173" t="s">
        <v>1718</v>
      </c>
      <c r="DF173" s="155">
        <f t="shared" si="56"/>
        <v>0.12</v>
      </c>
      <c r="DG173" s="156">
        <f t="shared" si="57"/>
        <v>0.1242</v>
      </c>
      <c r="DI173" s="151">
        <v>120</v>
      </c>
      <c r="DJ173" s="152" t="s">
        <v>162</v>
      </c>
      <c r="DK173" s="152">
        <v>420.8</v>
      </c>
      <c r="DL173" s="152">
        <v>452.2</v>
      </c>
      <c r="DM173" s="151">
        <v>1260</v>
      </c>
      <c r="DN173" s="151" t="s">
        <v>1718</v>
      </c>
      <c r="DO173" s="151">
        <v>399</v>
      </c>
      <c r="DP173" s="151" t="s">
        <v>1718</v>
      </c>
      <c r="DQ173" s="151">
        <v>301</v>
      </c>
      <c r="DR173" t="s">
        <v>1718</v>
      </c>
      <c r="DT173" s="155">
        <f t="shared" si="58"/>
        <v>0.12</v>
      </c>
      <c r="DU173" s="156">
        <f t="shared" si="59"/>
        <v>0.126</v>
      </c>
    </row>
    <row r="174" spans="1:125" x14ac:dyDescent="0.2">
      <c r="A174" s="150">
        <v>130</v>
      </c>
      <c r="B174" s="151" t="s">
        <v>162</v>
      </c>
      <c r="C174" s="152">
        <v>265.3</v>
      </c>
      <c r="D174" s="152">
        <v>144.5</v>
      </c>
      <c r="E174" s="151">
        <v>2593</v>
      </c>
      <c r="F174" s="151" t="s">
        <v>1718</v>
      </c>
      <c r="G174" s="151">
        <v>888</v>
      </c>
      <c r="H174" s="151" t="s">
        <v>1718</v>
      </c>
      <c r="I174" s="151">
        <v>712</v>
      </c>
      <c r="J174" s="151" t="s">
        <v>1718</v>
      </c>
      <c r="L174" s="155">
        <f t="shared" si="42"/>
        <v>0.13</v>
      </c>
      <c r="M174" s="156">
        <f t="shared" si="43"/>
        <v>0.25930000000000003</v>
      </c>
      <c r="O174" s="150">
        <v>130</v>
      </c>
      <c r="P174" s="151" t="s">
        <v>162</v>
      </c>
      <c r="Q174" s="152">
        <v>314.10000000000002</v>
      </c>
      <c r="R174" s="152">
        <v>111.4</v>
      </c>
      <c r="S174" s="151">
        <v>2626</v>
      </c>
      <c r="T174" s="151" t="s">
        <v>1718</v>
      </c>
      <c r="U174" s="151">
        <v>869</v>
      </c>
      <c r="V174" s="151" t="s">
        <v>1718</v>
      </c>
      <c r="W174" s="151">
        <v>729</v>
      </c>
      <c r="X174" s="151" t="s">
        <v>1718</v>
      </c>
      <c r="Z174" s="155">
        <f t="shared" si="44"/>
        <v>0.13</v>
      </c>
      <c r="AA174" s="156">
        <f t="shared" si="45"/>
        <v>0.2626</v>
      </c>
      <c r="AC174" s="150">
        <v>130</v>
      </c>
      <c r="AD174" s="151" t="s">
        <v>162</v>
      </c>
      <c r="AE174" s="152">
        <v>236.9</v>
      </c>
      <c r="AF174" s="152">
        <v>2.1280000000000001</v>
      </c>
      <c r="AG174" s="151">
        <v>8031</v>
      </c>
      <c r="AH174" s="151" t="s">
        <v>1718</v>
      </c>
      <c r="AI174" s="151">
        <v>1550</v>
      </c>
      <c r="AJ174" s="151" t="s">
        <v>1718</v>
      </c>
      <c r="AK174" s="151">
        <v>1732</v>
      </c>
      <c r="AL174" s="151" t="s">
        <v>1718</v>
      </c>
      <c r="AN174" s="155">
        <f t="shared" si="46"/>
        <v>0.13</v>
      </c>
      <c r="AO174" s="156">
        <f t="shared" si="47"/>
        <v>0.80310000000000004</v>
      </c>
      <c r="AQ174" s="150">
        <v>130</v>
      </c>
      <c r="AR174" s="151" t="s">
        <v>162</v>
      </c>
      <c r="AS174" s="152">
        <v>106.8</v>
      </c>
      <c r="AT174" s="152">
        <v>0.16420000000000001</v>
      </c>
      <c r="AU174" s="151">
        <v>1.1299999999999999</v>
      </c>
      <c r="AV174" s="151" t="s">
        <v>1675</v>
      </c>
      <c r="AW174" s="151">
        <v>1091</v>
      </c>
      <c r="AX174" s="151" t="s">
        <v>1718</v>
      </c>
      <c r="AY174" s="151">
        <v>1451</v>
      </c>
      <c r="AZ174" s="151" t="s">
        <v>1718</v>
      </c>
      <c r="BB174" s="155">
        <f t="shared" si="48"/>
        <v>0.13</v>
      </c>
      <c r="BC174" s="156">
        <f t="shared" si="49"/>
        <v>1.1299999999999999</v>
      </c>
      <c r="BE174" s="150">
        <v>130</v>
      </c>
      <c r="BF174" s="151" t="s">
        <v>162</v>
      </c>
      <c r="BG174" s="152">
        <v>333.3</v>
      </c>
      <c r="BH174" s="152">
        <v>36.32</v>
      </c>
      <c r="BI174" s="151">
        <v>3566</v>
      </c>
      <c r="BJ174" s="151" t="s">
        <v>1718</v>
      </c>
      <c r="BK174" s="151">
        <v>954</v>
      </c>
      <c r="BL174" s="151" t="s">
        <v>1718</v>
      </c>
      <c r="BM174" s="151">
        <v>901</v>
      </c>
      <c r="BN174" s="151" t="s">
        <v>1718</v>
      </c>
      <c r="BP174" s="155">
        <f t="shared" si="50"/>
        <v>0.13</v>
      </c>
      <c r="BQ174" s="156">
        <f t="shared" si="51"/>
        <v>0.35660000000000003</v>
      </c>
      <c r="BS174" s="150">
        <v>130</v>
      </c>
      <c r="BT174" s="151" t="s">
        <v>162</v>
      </c>
      <c r="BU174" s="152">
        <v>312.10000000000002</v>
      </c>
      <c r="BV174" s="152">
        <v>95.36</v>
      </c>
      <c r="BW174" s="151">
        <v>2821</v>
      </c>
      <c r="BX174" s="151" t="s">
        <v>1718</v>
      </c>
      <c r="BY174" s="151">
        <v>883</v>
      </c>
      <c r="BZ174" s="151" t="s">
        <v>1718</v>
      </c>
      <c r="CA174" s="151">
        <v>749</v>
      </c>
      <c r="CB174" s="151" t="s">
        <v>1718</v>
      </c>
      <c r="CD174" s="155">
        <f t="shared" si="52"/>
        <v>0.13</v>
      </c>
      <c r="CE174" s="156">
        <f t="shared" si="53"/>
        <v>0.28210000000000002</v>
      </c>
      <c r="CG174" s="150">
        <v>130</v>
      </c>
      <c r="CH174" s="151" t="s">
        <v>162</v>
      </c>
      <c r="CI174" s="152">
        <v>298.89999999999998</v>
      </c>
      <c r="CJ174" s="152">
        <v>125.9</v>
      </c>
      <c r="CK174" s="151">
        <v>2637</v>
      </c>
      <c r="CL174" s="151" t="s">
        <v>1718</v>
      </c>
      <c r="CM174" s="151">
        <v>855</v>
      </c>
      <c r="CN174" s="151" t="s">
        <v>1718</v>
      </c>
      <c r="CO174" s="151">
        <v>709</v>
      </c>
      <c r="CP174" s="151" t="s">
        <v>1718</v>
      </c>
      <c r="CR174" s="155">
        <f t="shared" si="54"/>
        <v>0.13</v>
      </c>
      <c r="CS174" s="156">
        <f t="shared" si="55"/>
        <v>0.26369999999999999</v>
      </c>
      <c r="CU174" s="151">
        <v>130</v>
      </c>
      <c r="CV174" s="152" t="s">
        <v>162</v>
      </c>
      <c r="CW174" s="152">
        <v>408.9</v>
      </c>
      <c r="CX174" s="152">
        <v>464.2</v>
      </c>
      <c r="CY174" s="151">
        <v>1339</v>
      </c>
      <c r="CZ174" s="151" t="s">
        <v>1718</v>
      </c>
      <c r="DA174" s="151">
        <v>432</v>
      </c>
      <c r="DB174" s="151" t="s">
        <v>1718</v>
      </c>
      <c r="DC174" s="151">
        <v>325</v>
      </c>
      <c r="DD174" t="s">
        <v>1718</v>
      </c>
      <c r="DF174" s="155">
        <f t="shared" si="56"/>
        <v>0.13</v>
      </c>
      <c r="DG174" s="156">
        <f t="shared" si="57"/>
        <v>0.13390000000000002</v>
      </c>
      <c r="DI174" s="151">
        <v>130</v>
      </c>
      <c r="DJ174" s="152" t="s">
        <v>162</v>
      </c>
      <c r="DK174" s="152">
        <v>436.3</v>
      </c>
      <c r="DL174" s="152">
        <v>440.6</v>
      </c>
      <c r="DM174" s="151">
        <v>1358</v>
      </c>
      <c r="DN174" s="151" t="s">
        <v>1718</v>
      </c>
      <c r="DO174" s="151">
        <v>422</v>
      </c>
      <c r="DP174" s="151" t="s">
        <v>1718</v>
      </c>
      <c r="DQ174" s="151">
        <v>321</v>
      </c>
      <c r="DR174" t="s">
        <v>1718</v>
      </c>
      <c r="DT174" s="155">
        <f t="shared" si="58"/>
        <v>0.13</v>
      </c>
      <c r="DU174" s="156">
        <f t="shared" si="59"/>
        <v>0.1358</v>
      </c>
    </row>
    <row r="175" spans="1:125" x14ac:dyDescent="0.2">
      <c r="A175" s="150">
        <v>140</v>
      </c>
      <c r="B175" s="151" t="s">
        <v>162</v>
      </c>
      <c r="C175" s="152">
        <v>274.5</v>
      </c>
      <c r="D175" s="152">
        <v>139.30000000000001</v>
      </c>
      <c r="E175" s="151">
        <v>2795</v>
      </c>
      <c r="F175" s="151" t="s">
        <v>1718</v>
      </c>
      <c r="G175" s="151">
        <v>936</v>
      </c>
      <c r="H175" s="151" t="s">
        <v>1718</v>
      </c>
      <c r="I175" s="151">
        <v>757</v>
      </c>
      <c r="J175" s="151" t="s">
        <v>1718</v>
      </c>
      <c r="L175" s="155">
        <f t="shared" si="42"/>
        <v>0.14000000000000001</v>
      </c>
      <c r="M175" s="156">
        <f t="shared" si="43"/>
        <v>0.27950000000000003</v>
      </c>
      <c r="O175" s="150">
        <v>140</v>
      </c>
      <c r="P175" s="151" t="s">
        <v>162</v>
      </c>
      <c r="Q175" s="152">
        <v>322.60000000000002</v>
      </c>
      <c r="R175" s="152">
        <v>107.2</v>
      </c>
      <c r="S175" s="151">
        <v>2823</v>
      </c>
      <c r="T175" s="151" t="s">
        <v>1718</v>
      </c>
      <c r="U175" s="151">
        <v>911</v>
      </c>
      <c r="V175" s="151" t="s">
        <v>1718</v>
      </c>
      <c r="W175" s="151">
        <v>770</v>
      </c>
      <c r="X175" s="151" t="s">
        <v>1718</v>
      </c>
      <c r="Z175" s="155">
        <f t="shared" si="44"/>
        <v>0.14000000000000001</v>
      </c>
      <c r="AA175" s="156">
        <f t="shared" si="45"/>
        <v>0.2823</v>
      </c>
      <c r="AC175" s="150">
        <v>140</v>
      </c>
      <c r="AD175" s="151" t="s">
        <v>162</v>
      </c>
      <c r="AE175" s="152">
        <v>245.3</v>
      </c>
      <c r="AF175" s="152">
        <v>2.0139999999999998</v>
      </c>
      <c r="AG175" s="151">
        <v>8425</v>
      </c>
      <c r="AH175" s="151" t="s">
        <v>1718</v>
      </c>
      <c r="AI175" s="151">
        <v>1569</v>
      </c>
      <c r="AJ175" s="151" t="s">
        <v>1718</v>
      </c>
      <c r="AK175" s="151">
        <v>1766</v>
      </c>
      <c r="AL175" s="151" t="s">
        <v>1718</v>
      </c>
      <c r="AN175" s="155">
        <f t="shared" si="46"/>
        <v>0.14000000000000001</v>
      </c>
      <c r="AO175" s="156">
        <f t="shared" si="47"/>
        <v>0.84250000000000003</v>
      </c>
      <c r="AQ175" s="150">
        <v>140</v>
      </c>
      <c r="AR175" s="151" t="s">
        <v>162</v>
      </c>
      <c r="AS175" s="152">
        <v>104.3</v>
      </c>
      <c r="AT175" s="152">
        <v>0.15490000000000001</v>
      </c>
      <c r="AU175" s="151">
        <v>1.23</v>
      </c>
      <c r="AV175" s="151" t="s">
        <v>1675</v>
      </c>
      <c r="AW175" s="151">
        <v>1124</v>
      </c>
      <c r="AX175" s="151" t="s">
        <v>1718</v>
      </c>
      <c r="AY175" s="151">
        <v>1513</v>
      </c>
      <c r="AZ175" s="151" t="s">
        <v>1718</v>
      </c>
      <c r="BB175" s="155">
        <f t="shared" si="48"/>
        <v>0.14000000000000001</v>
      </c>
      <c r="BC175" s="156">
        <f t="shared" si="49"/>
        <v>1.23</v>
      </c>
      <c r="BE175" s="150">
        <v>140</v>
      </c>
      <c r="BF175" s="151" t="s">
        <v>162</v>
      </c>
      <c r="BG175" s="152">
        <v>344.4</v>
      </c>
      <c r="BH175" s="152">
        <v>34.700000000000003</v>
      </c>
      <c r="BI175" s="151">
        <v>3804</v>
      </c>
      <c r="BJ175" s="151" t="s">
        <v>1718</v>
      </c>
      <c r="BK175" s="151">
        <v>986</v>
      </c>
      <c r="BL175" s="151" t="s">
        <v>1718</v>
      </c>
      <c r="BM175" s="151">
        <v>942</v>
      </c>
      <c r="BN175" s="151" t="s">
        <v>1718</v>
      </c>
      <c r="BP175" s="155">
        <f t="shared" si="50"/>
        <v>0.14000000000000001</v>
      </c>
      <c r="BQ175" s="156">
        <f t="shared" si="51"/>
        <v>0.38040000000000002</v>
      </c>
      <c r="BS175" s="150">
        <v>140</v>
      </c>
      <c r="BT175" s="151" t="s">
        <v>162</v>
      </c>
      <c r="BU175" s="152">
        <v>325.2</v>
      </c>
      <c r="BV175" s="152">
        <v>91.63</v>
      </c>
      <c r="BW175" s="151">
        <v>3029</v>
      </c>
      <c r="BX175" s="151" t="s">
        <v>1718</v>
      </c>
      <c r="BY175" s="151">
        <v>924</v>
      </c>
      <c r="BZ175" s="151" t="s">
        <v>1718</v>
      </c>
      <c r="CA175" s="151">
        <v>792</v>
      </c>
      <c r="CB175" s="151" t="s">
        <v>1718</v>
      </c>
      <c r="CD175" s="155">
        <f t="shared" si="52"/>
        <v>0.14000000000000001</v>
      </c>
      <c r="CE175" s="156">
        <f t="shared" si="53"/>
        <v>0.3029</v>
      </c>
      <c r="CG175" s="150">
        <v>140</v>
      </c>
      <c r="CH175" s="151" t="s">
        <v>162</v>
      </c>
      <c r="CI175" s="152">
        <v>305.8</v>
      </c>
      <c r="CJ175" s="152">
        <v>121.3</v>
      </c>
      <c r="CK175" s="151">
        <v>2837</v>
      </c>
      <c r="CL175" s="151" t="s">
        <v>1718</v>
      </c>
      <c r="CM175" s="151">
        <v>897</v>
      </c>
      <c r="CN175" s="151" t="s">
        <v>1718</v>
      </c>
      <c r="CO175" s="151">
        <v>750</v>
      </c>
      <c r="CP175" s="151" t="s">
        <v>1718</v>
      </c>
      <c r="CR175" s="155">
        <f t="shared" si="54"/>
        <v>0.14000000000000001</v>
      </c>
      <c r="CS175" s="156">
        <f t="shared" si="55"/>
        <v>0.28370000000000001</v>
      </c>
      <c r="CU175" s="151">
        <v>140</v>
      </c>
      <c r="CV175" s="152" t="s">
        <v>162</v>
      </c>
      <c r="CW175" s="152">
        <v>421.9</v>
      </c>
      <c r="CX175" s="152">
        <v>453</v>
      </c>
      <c r="CY175" s="151">
        <v>1437</v>
      </c>
      <c r="CZ175" s="151" t="s">
        <v>1718</v>
      </c>
      <c r="DA175" s="151">
        <v>455</v>
      </c>
      <c r="DB175" s="151" t="s">
        <v>1718</v>
      </c>
      <c r="DC175" s="151">
        <v>345</v>
      </c>
      <c r="DD175" t="s">
        <v>1718</v>
      </c>
      <c r="DF175" s="155">
        <f t="shared" si="56"/>
        <v>0.14000000000000001</v>
      </c>
      <c r="DG175" s="156">
        <f t="shared" si="57"/>
        <v>0.14369999999999999</v>
      </c>
      <c r="DI175" s="151">
        <v>140</v>
      </c>
      <c r="DJ175" s="152" t="s">
        <v>162</v>
      </c>
      <c r="DK175" s="152">
        <v>449.4</v>
      </c>
      <c r="DL175" s="152">
        <v>429.7</v>
      </c>
      <c r="DM175" s="151">
        <v>1455</v>
      </c>
      <c r="DN175" s="151" t="s">
        <v>1718</v>
      </c>
      <c r="DO175" s="151">
        <v>445</v>
      </c>
      <c r="DP175" s="151" t="s">
        <v>1718</v>
      </c>
      <c r="DQ175" s="151">
        <v>340</v>
      </c>
      <c r="DR175" t="s">
        <v>1718</v>
      </c>
      <c r="DT175" s="155">
        <f t="shared" si="58"/>
        <v>0.14000000000000001</v>
      </c>
      <c r="DU175" s="156">
        <f t="shared" si="59"/>
        <v>0.14550000000000002</v>
      </c>
    </row>
    <row r="176" spans="1:125" x14ac:dyDescent="0.2">
      <c r="A176" s="150">
        <v>150</v>
      </c>
      <c r="B176" s="151" t="s">
        <v>162</v>
      </c>
      <c r="C176" s="152">
        <v>283.7</v>
      </c>
      <c r="D176" s="152">
        <v>134.5</v>
      </c>
      <c r="E176" s="151">
        <v>2996</v>
      </c>
      <c r="F176" s="151" t="s">
        <v>1718</v>
      </c>
      <c r="G176" s="151">
        <v>981</v>
      </c>
      <c r="H176" s="151" t="s">
        <v>1718</v>
      </c>
      <c r="I176" s="151">
        <v>802</v>
      </c>
      <c r="J176" s="151" t="s">
        <v>1718</v>
      </c>
      <c r="L176" s="155">
        <f t="shared" si="42"/>
        <v>0.15</v>
      </c>
      <c r="M176" s="156">
        <f t="shared" si="43"/>
        <v>0.29960000000000003</v>
      </c>
      <c r="O176" s="150">
        <v>150</v>
      </c>
      <c r="P176" s="151" t="s">
        <v>162</v>
      </c>
      <c r="Q176" s="152">
        <v>331.5</v>
      </c>
      <c r="R176" s="152">
        <v>103.3</v>
      </c>
      <c r="S176" s="151">
        <v>3020</v>
      </c>
      <c r="T176" s="151" t="s">
        <v>1718</v>
      </c>
      <c r="U176" s="151">
        <v>951</v>
      </c>
      <c r="V176" s="151" t="s">
        <v>1718</v>
      </c>
      <c r="W176" s="151">
        <v>810</v>
      </c>
      <c r="X176" s="151" t="s">
        <v>1718</v>
      </c>
      <c r="Z176" s="155">
        <f t="shared" si="44"/>
        <v>0.15</v>
      </c>
      <c r="AA176" s="156">
        <f t="shared" si="45"/>
        <v>0.30199999999999999</v>
      </c>
      <c r="AC176" s="150">
        <v>150</v>
      </c>
      <c r="AD176" s="151" t="s">
        <v>162</v>
      </c>
      <c r="AE176" s="152">
        <v>253.1</v>
      </c>
      <c r="AF176" s="152">
        <v>1.9139999999999999</v>
      </c>
      <c r="AG176" s="151">
        <v>8806</v>
      </c>
      <c r="AH176" s="151" t="s">
        <v>1718</v>
      </c>
      <c r="AI176" s="151">
        <v>1586</v>
      </c>
      <c r="AJ176" s="151" t="s">
        <v>1718</v>
      </c>
      <c r="AK176" s="151">
        <v>1798</v>
      </c>
      <c r="AL176" s="151" t="s">
        <v>1718</v>
      </c>
      <c r="AN176" s="155">
        <f t="shared" si="46"/>
        <v>0.15</v>
      </c>
      <c r="AO176" s="156">
        <f t="shared" si="47"/>
        <v>0.88060000000000005</v>
      </c>
      <c r="AQ176" s="150">
        <v>150</v>
      </c>
      <c r="AR176" s="151" t="s">
        <v>162</v>
      </c>
      <c r="AS176" s="152">
        <v>101.8</v>
      </c>
      <c r="AT176" s="152">
        <v>0.1467</v>
      </c>
      <c r="AU176" s="151">
        <v>1.32</v>
      </c>
      <c r="AV176" s="151" t="s">
        <v>1675</v>
      </c>
      <c r="AW176" s="151">
        <v>1158</v>
      </c>
      <c r="AX176" s="151" t="s">
        <v>1718</v>
      </c>
      <c r="AY176" s="151">
        <v>1577</v>
      </c>
      <c r="AZ176" s="151" t="s">
        <v>1718</v>
      </c>
      <c r="BB176" s="155">
        <f t="shared" si="48"/>
        <v>0.15</v>
      </c>
      <c r="BC176" s="156">
        <f t="shared" si="49"/>
        <v>1.32</v>
      </c>
      <c r="BE176" s="150">
        <v>150</v>
      </c>
      <c r="BF176" s="151" t="s">
        <v>162</v>
      </c>
      <c r="BG176" s="152">
        <v>355.6</v>
      </c>
      <c r="BH176" s="152">
        <v>33.24</v>
      </c>
      <c r="BI176" s="151">
        <v>4038</v>
      </c>
      <c r="BJ176" s="151" t="s">
        <v>1718</v>
      </c>
      <c r="BK176" s="151">
        <v>1017</v>
      </c>
      <c r="BL176" s="151" t="s">
        <v>1718</v>
      </c>
      <c r="BM176" s="151">
        <v>980</v>
      </c>
      <c r="BN176" s="151" t="s">
        <v>1718</v>
      </c>
      <c r="BP176" s="155">
        <f t="shared" si="50"/>
        <v>0.15</v>
      </c>
      <c r="BQ176" s="156">
        <f t="shared" si="51"/>
        <v>0.40379999999999999</v>
      </c>
      <c r="BS176" s="150">
        <v>150</v>
      </c>
      <c r="BT176" s="151" t="s">
        <v>162</v>
      </c>
      <c r="BU176" s="152">
        <v>338.7</v>
      </c>
      <c r="BV176" s="152">
        <v>88.23</v>
      </c>
      <c r="BW176" s="151">
        <v>3233</v>
      </c>
      <c r="BX176" s="151" t="s">
        <v>1718</v>
      </c>
      <c r="BY176" s="151">
        <v>962</v>
      </c>
      <c r="BZ176" s="151" t="s">
        <v>1718</v>
      </c>
      <c r="CA176" s="151">
        <v>833</v>
      </c>
      <c r="CB176" s="151" t="s">
        <v>1718</v>
      </c>
      <c r="CD176" s="155">
        <f t="shared" si="52"/>
        <v>0.15</v>
      </c>
      <c r="CE176" s="156">
        <f t="shared" si="53"/>
        <v>0.32330000000000003</v>
      </c>
      <c r="CG176" s="150">
        <v>150</v>
      </c>
      <c r="CH176" s="151" t="s">
        <v>162</v>
      </c>
      <c r="CI176" s="152">
        <v>312.89999999999998</v>
      </c>
      <c r="CJ176" s="152">
        <v>117</v>
      </c>
      <c r="CK176" s="151">
        <v>3036</v>
      </c>
      <c r="CL176" s="151" t="s">
        <v>1718</v>
      </c>
      <c r="CM176" s="151">
        <v>938</v>
      </c>
      <c r="CN176" s="151" t="s">
        <v>1718</v>
      </c>
      <c r="CO176" s="151">
        <v>790</v>
      </c>
      <c r="CP176" s="151" t="s">
        <v>1718</v>
      </c>
      <c r="CR176" s="155">
        <f t="shared" si="54"/>
        <v>0.15</v>
      </c>
      <c r="CS176" s="156">
        <f t="shared" si="55"/>
        <v>0.30360000000000004</v>
      </c>
      <c r="CU176" s="151">
        <v>150</v>
      </c>
      <c r="CV176" s="152" t="s">
        <v>162</v>
      </c>
      <c r="CW176" s="152">
        <v>433.5</v>
      </c>
      <c r="CX176" s="152">
        <v>442.4</v>
      </c>
      <c r="CY176" s="151">
        <v>1534</v>
      </c>
      <c r="CZ176" s="151" t="s">
        <v>1718</v>
      </c>
      <c r="DA176" s="151">
        <v>479</v>
      </c>
      <c r="DB176" s="151" t="s">
        <v>1718</v>
      </c>
      <c r="DC176" s="151">
        <v>365</v>
      </c>
      <c r="DD176" t="s">
        <v>1718</v>
      </c>
      <c r="DF176" s="155">
        <f t="shared" si="56"/>
        <v>0.15</v>
      </c>
      <c r="DG176" s="156">
        <f t="shared" si="57"/>
        <v>0.15340000000000001</v>
      </c>
      <c r="DI176" s="151">
        <v>150</v>
      </c>
      <c r="DJ176" s="152" t="s">
        <v>162</v>
      </c>
      <c r="DK176" s="152">
        <v>460.8</v>
      </c>
      <c r="DL176" s="152">
        <v>419.4</v>
      </c>
      <c r="DM176" s="151">
        <v>1553</v>
      </c>
      <c r="DN176" s="151" t="s">
        <v>1718</v>
      </c>
      <c r="DO176" s="151">
        <v>467</v>
      </c>
      <c r="DP176" s="151" t="s">
        <v>1718</v>
      </c>
      <c r="DQ176" s="151">
        <v>359</v>
      </c>
      <c r="DR176" t="s">
        <v>1718</v>
      </c>
      <c r="DT176" s="155">
        <f t="shared" si="58"/>
        <v>0.15</v>
      </c>
      <c r="DU176" s="156">
        <f t="shared" si="59"/>
        <v>0.15529999999999999</v>
      </c>
    </row>
    <row r="177" spans="1:125" x14ac:dyDescent="0.2">
      <c r="A177" s="150">
        <v>160</v>
      </c>
      <c r="B177" s="151" t="s">
        <v>162</v>
      </c>
      <c r="C177" s="152">
        <v>293</v>
      </c>
      <c r="D177" s="152">
        <v>130.1</v>
      </c>
      <c r="E177" s="151">
        <v>3196</v>
      </c>
      <c r="F177" s="151" t="s">
        <v>1718</v>
      </c>
      <c r="G177" s="151">
        <v>1026</v>
      </c>
      <c r="H177" s="151" t="s">
        <v>1718</v>
      </c>
      <c r="I177" s="151">
        <v>845</v>
      </c>
      <c r="J177" s="151" t="s">
        <v>1718</v>
      </c>
      <c r="L177" s="155">
        <f t="shared" si="42"/>
        <v>0.16</v>
      </c>
      <c r="M177" s="156">
        <f t="shared" si="43"/>
        <v>0.3196</v>
      </c>
      <c r="O177" s="150">
        <v>160</v>
      </c>
      <c r="P177" s="151" t="s">
        <v>162</v>
      </c>
      <c r="Q177" s="152">
        <v>340.7</v>
      </c>
      <c r="R177" s="152">
        <v>99.76</v>
      </c>
      <c r="S177" s="151">
        <v>3216</v>
      </c>
      <c r="T177" s="151" t="s">
        <v>1718</v>
      </c>
      <c r="U177" s="151">
        <v>990</v>
      </c>
      <c r="V177" s="151" t="s">
        <v>1718</v>
      </c>
      <c r="W177" s="151">
        <v>850</v>
      </c>
      <c r="X177" s="151" t="s">
        <v>1718</v>
      </c>
      <c r="Z177" s="155">
        <f t="shared" si="44"/>
        <v>0.16</v>
      </c>
      <c r="AA177" s="156">
        <f t="shared" si="45"/>
        <v>0.3216</v>
      </c>
      <c r="AC177" s="150">
        <v>160</v>
      </c>
      <c r="AD177" s="151" t="s">
        <v>162</v>
      </c>
      <c r="AE177" s="152">
        <v>260.39999999999998</v>
      </c>
      <c r="AF177" s="152">
        <v>1.8240000000000001</v>
      </c>
      <c r="AG177" s="151">
        <v>9178</v>
      </c>
      <c r="AH177" s="151" t="s">
        <v>1718</v>
      </c>
      <c r="AI177" s="151">
        <v>1601</v>
      </c>
      <c r="AJ177" s="151" t="s">
        <v>1718</v>
      </c>
      <c r="AK177" s="151">
        <v>1828</v>
      </c>
      <c r="AL177" s="151" t="s">
        <v>1718</v>
      </c>
      <c r="AN177" s="155">
        <f t="shared" si="46"/>
        <v>0.16</v>
      </c>
      <c r="AO177" s="156">
        <f t="shared" si="47"/>
        <v>0.91780000000000006</v>
      </c>
      <c r="AQ177" s="150">
        <v>160</v>
      </c>
      <c r="AR177" s="151" t="s">
        <v>162</v>
      </c>
      <c r="AS177" s="152">
        <v>99.48</v>
      </c>
      <c r="AT177" s="152">
        <v>0.13950000000000001</v>
      </c>
      <c r="AU177" s="151">
        <v>1.42</v>
      </c>
      <c r="AV177" s="151" t="s">
        <v>1675</v>
      </c>
      <c r="AW177" s="151">
        <v>1192</v>
      </c>
      <c r="AX177" s="151" t="s">
        <v>1718</v>
      </c>
      <c r="AY177" s="151">
        <v>1641</v>
      </c>
      <c r="AZ177" s="151" t="s">
        <v>1718</v>
      </c>
      <c r="BB177" s="155">
        <f t="shared" si="48"/>
        <v>0.16</v>
      </c>
      <c r="BC177" s="156">
        <f t="shared" si="49"/>
        <v>1.42</v>
      </c>
      <c r="BE177" s="150">
        <v>160</v>
      </c>
      <c r="BF177" s="151" t="s">
        <v>162</v>
      </c>
      <c r="BG177" s="152">
        <v>366.7</v>
      </c>
      <c r="BH177" s="152">
        <v>31.92</v>
      </c>
      <c r="BI177" s="151">
        <v>4268</v>
      </c>
      <c r="BJ177" s="151" t="s">
        <v>1718</v>
      </c>
      <c r="BK177" s="151">
        <v>1045</v>
      </c>
      <c r="BL177" s="151" t="s">
        <v>1718</v>
      </c>
      <c r="BM177" s="151">
        <v>1017</v>
      </c>
      <c r="BN177" s="151" t="s">
        <v>1718</v>
      </c>
      <c r="BP177" s="155">
        <f t="shared" si="50"/>
        <v>0.16</v>
      </c>
      <c r="BQ177" s="156">
        <f t="shared" si="51"/>
        <v>0.42680000000000001</v>
      </c>
      <c r="BS177" s="150">
        <v>160</v>
      </c>
      <c r="BT177" s="151" t="s">
        <v>162</v>
      </c>
      <c r="BU177" s="152">
        <v>352.4</v>
      </c>
      <c r="BV177" s="152">
        <v>85.1</v>
      </c>
      <c r="BW177" s="151">
        <v>3434</v>
      </c>
      <c r="BX177" s="151" t="s">
        <v>1718</v>
      </c>
      <c r="BY177" s="151">
        <v>998</v>
      </c>
      <c r="BZ177" s="151" t="s">
        <v>1718</v>
      </c>
      <c r="CA177" s="151">
        <v>873</v>
      </c>
      <c r="CB177" s="151" t="s">
        <v>1718</v>
      </c>
      <c r="CD177" s="155">
        <f t="shared" si="52"/>
        <v>0.16</v>
      </c>
      <c r="CE177" s="156">
        <f t="shared" si="53"/>
        <v>0.34340000000000004</v>
      </c>
      <c r="CG177" s="150">
        <v>160</v>
      </c>
      <c r="CH177" s="151" t="s">
        <v>162</v>
      </c>
      <c r="CI177" s="152">
        <v>320.2</v>
      </c>
      <c r="CJ177" s="152">
        <v>113</v>
      </c>
      <c r="CK177" s="151">
        <v>3236</v>
      </c>
      <c r="CL177" s="151" t="s">
        <v>1718</v>
      </c>
      <c r="CM177" s="151">
        <v>978</v>
      </c>
      <c r="CN177" s="151" t="s">
        <v>1718</v>
      </c>
      <c r="CO177" s="151">
        <v>830</v>
      </c>
      <c r="CP177" s="151" t="s">
        <v>1718</v>
      </c>
      <c r="CR177" s="155">
        <f t="shared" si="54"/>
        <v>0.16</v>
      </c>
      <c r="CS177" s="156">
        <f t="shared" si="55"/>
        <v>0.3236</v>
      </c>
      <c r="CU177" s="151">
        <v>160</v>
      </c>
      <c r="CV177" s="152" t="s">
        <v>162</v>
      </c>
      <c r="CW177" s="152">
        <v>444.3</v>
      </c>
      <c r="CX177" s="152">
        <v>432.3</v>
      </c>
      <c r="CY177" s="151">
        <v>1632</v>
      </c>
      <c r="CZ177" s="151" t="s">
        <v>1718</v>
      </c>
      <c r="DA177" s="151">
        <v>502</v>
      </c>
      <c r="DB177" s="151" t="s">
        <v>1718</v>
      </c>
      <c r="DC177" s="151">
        <v>384</v>
      </c>
      <c r="DD177" t="s">
        <v>1718</v>
      </c>
      <c r="DF177" s="155">
        <f t="shared" si="56"/>
        <v>0.16</v>
      </c>
      <c r="DG177" s="156">
        <f t="shared" si="57"/>
        <v>0.16320000000000001</v>
      </c>
      <c r="DI177" s="151">
        <v>160</v>
      </c>
      <c r="DJ177" s="152" t="s">
        <v>162</v>
      </c>
      <c r="DK177" s="152">
        <v>471</v>
      </c>
      <c r="DL177" s="152">
        <v>409.6</v>
      </c>
      <c r="DM177" s="151">
        <v>1652</v>
      </c>
      <c r="DN177" s="151" t="s">
        <v>1718</v>
      </c>
      <c r="DO177" s="151">
        <v>489</v>
      </c>
      <c r="DP177" s="151" t="s">
        <v>1718</v>
      </c>
      <c r="DQ177" s="151">
        <v>378</v>
      </c>
      <c r="DR177" t="s">
        <v>1718</v>
      </c>
      <c r="DT177" s="155">
        <f t="shared" si="58"/>
        <v>0.16</v>
      </c>
      <c r="DU177" s="156">
        <f t="shared" si="59"/>
        <v>0.16520000000000001</v>
      </c>
    </row>
    <row r="178" spans="1:125" x14ac:dyDescent="0.2">
      <c r="A178" s="150">
        <v>170</v>
      </c>
      <c r="B178" s="151" t="s">
        <v>162</v>
      </c>
      <c r="C178" s="152">
        <v>302.3</v>
      </c>
      <c r="D178" s="152">
        <v>126</v>
      </c>
      <c r="E178" s="151">
        <v>3395</v>
      </c>
      <c r="F178" s="151" t="s">
        <v>1718</v>
      </c>
      <c r="G178" s="151">
        <v>1068</v>
      </c>
      <c r="H178" s="151" t="s">
        <v>1718</v>
      </c>
      <c r="I178" s="151">
        <v>888</v>
      </c>
      <c r="J178" s="151" t="s">
        <v>1718</v>
      </c>
      <c r="L178" s="155">
        <f t="shared" si="42"/>
        <v>0.17</v>
      </c>
      <c r="M178" s="156">
        <f t="shared" si="43"/>
        <v>0.33950000000000002</v>
      </c>
      <c r="O178" s="150">
        <v>170</v>
      </c>
      <c r="P178" s="151" t="s">
        <v>162</v>
      </c>
      <c r="Q178" s="152">
        <v>350.2</v>
      </c>
      <c r="R178" s="152">
        <v>96.48</v>
      </c>
      <c r="S178" s="151">
        <v>3410</v>
      </c>
      <c r="T178" s="151" t="s">
        <v>1718</v>
      </c>
      <c r="U178" s="151">
        <v>1026</v>
      </c>
      <c r="V178" s="151" t="s">
        <v>1718</v>
      </c>
      <c r="W178" s="151">
        <v>889</v>
      </c>
      <c r="X178" s="151" t="s">
        <v>1718</v>
      </c>
      <c r="Z178" s="155">
        <f t="shared" si="44"/>
        <v>0.17</v>
      </c>
      <c r="AA178" s="156">
        <f t="shared" si="45"/>
        <v>0.34100000000000003</v>
      </c>
      <c r="AC178" s="150">
        <v>170</v>
      </c>
      <c r="AD178" s="151" t="s">
        <v>162</v>
      </c>
      <c r="AE178" s="152">
        <v>267.10000000000002</v>
      </c>
      <c r="AF178" s="152">
        <v>1.7430000000000001</v>
      </c>
      <c r="AG178" s="151">
        <v>9542</v>
      </c>
      <c r="AH178" s="151" t="s">
        <v>1718</v>
      </c>
      <c r="AI178" s="151">
        <v>1615</v>
      </c>
      <c r="AJ178" s="151" t="s">
        <v>1718</v>
      </c>
      <c r="AK178" s="151">
        <v>1856</v>
      </c>
      <c r="AL178" s="151" t="s">
        <v>1718</v>
      </c>
      <c r="AN178" s="155">
        <f t="shared" si="46"/>
        <v>0.17</v>
      </c>
      <c r="AO178" s="156">
        <f t="shared" si="47"/>
        <v>0.95420000000000005</v>
      </c>
      <c r="AQ178" s="150">
        <v>170</v>
      </c>
      <c r="AR178" s="151" t="s">
        <v>162</v>
      </c>
      <c r="AS178" s="152">
        <v>97.26</v>
      </c>
      <c r="AT178" s="152">
        <v>0.13289999999999999</v>
      </c>
      <c r="AU178" s="151">
        <v>1.52</v>
      </c>
      <c r="AV178" s="151" t="s">
        <v>1675</v>
      </c>
      <c r="AW178" s="151">
        <v>1226</v>
      </c>
      <c r="AX178" s="151" t="s">
        <v>1718</v>
      </c>
      <c r="AY178" s="151">
        <v>1706</v>
      </c>
      <c r="AZ178" s="151" t="s">
        <v>1718</v>
      </c>
      <c r="BB178" s="155">
        <f t="shared" si="48"/>
        <v>0.17</v>
      </c>
      <c r="BC178" s="156">
        <f t="shared" si="49"/>
        <v>1.52</v>
      </c>
      <c r="BE178" s="150">
        <v>170</v>
      </c>
      <c r="BF178" s="151" t="s">
        <v>162</v>
      </c>
      <c r="BG178" s="152">
        <v>377.9</v>
      </c>
      <c r="BH178" s="152">
        <v>30.71</v>
      </c>
      <c r="BI178" s="151">
        <v>4492</v>
      </c>
      <c r="BJ178" s="151" t="s">
        <v>1718</v>
      </c>
      <c r="BK178" s="151">
        <v>1071</v>
      </c>
      <c r="BL178" s="151" t="s">
        <v>1718</v>
      </c>
      <c r="BM178" s="151">
        <v>1052</v>
      </c>
      <c r="BN178" s="151" t="s">
        <v>1718</v>
      </c>
      <c r="BP178" s="155">
        <f t="shared" si="50"/>
        <v>0.17</v>
      </c>
      <c r="BQ178" s="156">
        <f t="shared" si="51"/>
        <v>0.44920000000000004</v>
      </c>
      <c r="BS178" s="150">
        <v>170</v>
      </c>
      <c r="BT178" s="151" t="s">
        <v>162</v>
      </c>
      <c r="BU178" s="152">
        <v>366.2</v>
      </c>
      <c r="BV178" s="152">
        <v>82.23</v>
      </c>
      <c r="BW178" s="151">
        <v>3630</v>
      </c>
      <c r="BX178" s="151" t="s">
        <v>1718</v>
      </c>
      <c r="BY178" s="151">
        <v>1031</v>
      </c>
      <c r="BZ178" s="151" t="s">
        <v>1718</v>
      </c>
      <c r="CA178" s="151">
        <v>911</v>
      </c>
      <c r="CB178" s="151" t="s">
        <v>1718</v>
      </c>
      <c r="CD178" s="155">
        <f t="shared" si="52"/>
        <v>0.17</v>
      </c>
      <c r="CE178" s="156">
        <f t="shared" si="53"/>
        <v>0.36300000000000004</v>
      </c>
      <c r="CG178" s="150">
        <v>170</v>
      </c>
      <c r="CH178" s="151" t="s">
        <v>162</v>
      </c>
      <c r="CI178" s="152">
        <v>327.7</v>
      </c>
      <c r="CJ178" s="152">
        <v>109.4</v>
      </c>
      <c r="CK178" s="151">
        <v>3434</v>
      </c>
      <c r="CL178" s="151" t="s">
        <v>1718</v>
      </c>
      <c r="CM178" s="151">
        <v>1016</v>
      </c>
      <c r="CN178" s="151" t="s">
        <v>1718</v>
      </c>
      <c r="CO178" s="151">
        <v>869</v>
      </c>
      <c r="CP178" s="151" t="s">
        <v>1718</v>
      </c>
      <c r="CR178" s="155">
        <f t="shared" si="54"/>
        <v>0.17</v>
      </c>
      <c r="CS178" s="156">
        <f t="shared" si="55"/>
        <v>0.34340000000000004</v>
      </c>
      <c r="CU178" s="151">
        <v>170</v>
      </c>
      <c r="CV178" s="152" t="s">
        <v>162</v>
      </c>
      <c r="CW178" s="152">
        <v>454.4</v>
      </c>
      <c r="CX178" s="152">
        <v>422.7</v>
      </c>
      <c r="CY178" s="151">
        <v>1730</v>
      </c>
      <c r="CZ178" s="151" t="s">
        <v>1718</v>
      </c>
      <c r="DA178" s="151">
        <v>524</v>
      </c>
      <c r="DB178" s="151" t="s">
        <v>1718</v>
      </c>
      <c r="DC178" s="151">
        <v>403</v>
      </c>
      <c r="DD178" t="s">
        <v>1718</v>
      </c>
      <c r="DF178" s="155">
        <f t="shared" si="56"/>
        <v>0.17</v>
      </c>
      <c r="DG178" s="156">
        <f t="shared" si="57"/>
        <v>0.17300000000000001</v>
      </c>
      <c r="DI178" s="151">
        <v>170</v>
      </c>
      <c r="DJ178" s="152" t="s">
        <v>162</v>
      </c>
      <c r="DK178" s="152">
        <v>480.4</v>
      </c>
      <c r="DL178" s="152">
        <v>400.3</v>
      </c>
      <c r="DM178" s="151">
        <v>1751</v>
      </c>
      <c r="DN178" s="151" t="s">
        <v>1718</v>
      </c>
      <c r="DO178" s="151">
        <v>511</v>
      </c>
      <c r="DP178" s="151" t="s">
        <v>1718</v>
      </c>
      <c r="DQ178" s="151">
        <v>397</v>
      </c>
      <c r="DR178" t="s">
        <v>1718</v>
      </c>
      <c r="DT178" s="155">
        <f t="shared" si="58"/>
        <v>0.17</v>
      </c>
      <c r="DU178" s="156">
        <f t="shared" si="59"/>
        <v>0.17510000000000001</v>
      </c>
    </row>
    <row r="179" spans="1:125" x14ac:dyDescent="0.2">
      <c r="A179" s="150">
        <v>180</v>
      </c>
      <c r="B179" s="151" t="s">
        <v>162</v>
      </c>
      <c r="C179" s="152">
        <v>311.7</v>
      </c>
      <c r="D179" s="152">
        <v>122.2</v>
      </c>
      <c r="E179" s="151">
        <v>3593</v>
      </c>
      <c r="F179" s="151" t="s">
        <v>1718</v>
      </c>
      <c r="G179" s="151">
        <v>1109</v>
      </c>
      <c r="H179" s="151" t="s">
        <v>1718</v>
      </c>
      <c r="I179" s="151">
        <v>930</v>
      </c>
      <c r="J179" s="151" t="s">
        <v>1718</v>
      </c>
      <c r="L179" s="155">
        <f t="shared" si="42"/>
        <v>0.18</v>
      </c>
      <c r="M179" s="156">
        <f t="shared" si="43"/>
        <v>0.35930000000000001</v>
      </c>
      <c r="O179" s="150">
        <v>180</v>
      </c>
      <c r="P179" s="151" t="s">
        <v>162</v>
      </c>
      <c r="Q179" s="152">
        <v>360</v>
      </c>
      <c r="R179" s="152">
        <v>93.45</v>
      </c>
      <c r="S179" s="151">
        <v>3602</v>
      </c>
      <c r="T179" s="151" t="s">
        <v>1718</v>
      </c>
      <c r="U179" s="151">
        <v>1062</v>
      </c>
      <c r="V179" s="151" t="s">
        <v>1718</v>
      </c>
      <c r="W179" s="151">
        <v>927</v>
      </c>
      <c r="X179" s="151" t="s">
        <v>1718</v>
      </c>
      <c r="Z179" s="155">
        <f t="shared" si="44"/>
        <v>0.18</v>
      </c>
      <c r="AA179" s="156">
        <f t="shared" si="45"/>
        <v>0.36020000000000002</v>
      </c>
      <c r="AC179" s="150">
        <v>180</v>
      </c>
      <c r="AD179" s="151" t="s">
        <v>162</v>
      </c>
      <c r="AE179" s="152">
        <v>273.39999999999998</v>
      </c>
      <c r="AF179" s="152">
        <v>1.669</v>
      </c>
      <c r="AG179" s="151">
        <v>9897</v>
      </c>
      <c r="AH179" s="151" t="s">
        <v>1718</v>
      </c>
      <c r="AI179" s="151">
        <v>1628</v>
      </c>
      <c r="AJ179" s="151" t="s">
        <v>1718</v>
      </c>
      <c r="AK179" s="151">
        <v>1882</v>
      </c>
      <c r="AL179" s="151" t="s">
        <v>1718</v>
      </c>
      <c r="AN179" s="155">
        <f t="shared" si="46"/>
        <v>0.18</v>
      </c>
      <c r="AO179" s="156">
        <f t="shared" si="47"/>
        <v>0.98970000000000002</v>
      </c>
      <c r="AQ179" s="150">
        <v>180</v>
      </c>
      <c r="AR179" s="151" t="s">
        <v>162</v>
      </c>
      <c r="AS179" s="152">
        <v>95.15</v>
      </c>
      <c r="AT179" s="152">
        <v>0.127</v>
      </c>
      <c r="AU179" s="151">
        <v>1.62</v>
      </c>
      <c r="AV179" s="151" t="s">
        <v>1675</v>
      </c>
      <c r="AW179" s="151">
        <v>1261</v>
      </c>
      <c r="AX179" s="151" t="s">
        <v>1718</v>
      </c>
      <c r="AY179" s="151">
        <v>1772</v>
      </c>
      <c r="AZ179" s="151" t="s">
        <v>1718</v>
      </c>
      <c r="BB179" s="155">
        <f t="shared" si="48"/>
        <v>0.18</v>
      </c>
      <c r="BC179" s="156">
        <f t="shared" si="49"/>
        <v>1.62</v>
      </c>
      <c r="BE179" s="150">
        <v>180</v>
      </c>
      <c r="BF179" s="151" t="s">
        <v>162</v>
      </c>
      <c r="BG179" s="152">
        <v>389.2</v>
      </c>
      <c r="BH179" s="152">
        <v>29.6</v>
      </c>
      <c r="BI179" s="151">
        <v>4713</v>
      </c>
      <c r="BJ179" s="151" t="s">
        <v>1718</v>
      </c>
      <c r="BK179" s="151">
        <v>1096</v>
      </c>
      <c r="BL179" s="151" t="s">
        <v>1718</v>
      </c>
      <c r="BM179" s="151">
        <v>1086</v>
      </c>
      <c r="BN179" s="151" t="s">
        <v>1718</v>
      </c>
      <c r="BP179" s="155">
        <f t="shared" si="50"/>
        <v>0.18</v>
      </c>
      <c r="BQ179" s="156">
        <f t="shared" si="51"/>
        <v>0.4713</v>
      </c>
      <c r="BS179" s="150">
        <v>180</v>
      </c>
      <c r="BT179" s="151" t="s">
        <v>162</v>
      </c>
      <c r="BU179" s="152">
        <v>380.1</v>
      </c>
      <c r="BV179" s="152">
        <v>79.58</v>
      </c>
      <c r="BW179" s="151">
        <v>3823</v>
      </c>
      <c r="BX179" s="151" t="s">
        <v>1718</v>
      </c>
      <c r="BY179" s="151">
        <v>1063</v>
      </c>
      <c r="BZ179" s="151" t="s">
        <v>1718</v>
      </c>
      <c r="CA179" s="151">
        <v>948</v>
      </c>
      <c r="CB179" s="151" t="s">
        <v>1718</v>
      </c>
      <c r="CD179" s="155">
        <f t="shared" si="52"/>
        <v>0.18</v>
      </c>
      <c r="CE179" s="156">
        <f t="shared" si="53"/>
        <v>0.38230000000000003</v>
      </c>
      <c r="CG179" s="150">
        <v>180</v>
      </c>
      <c r="CH179" s="151" t="s">
        <v>162</v>
      </c>
      <c r="CI179" s="152">
        <v>335.5</v>
      </c>
      <c r="CJ179" s="152">
        <v>106</v>
      </c>
      <c r="CK179" s="151">
        <v>3632</v>
      </c>
      <c r="CL179" s="151" t="s">
        <v>1718</v>
      </c>
      <c r="CM179" s="151">
        <v>1053</v>
      </c>
      <c r="CN179" s="151" t="s">
        <v>1718</v>
      </c>
      <c r="CO179" s="151">
        <v>907</v>
      </c>
      <c r="CP179" s="151" t="s">
        <v>1718</v>
      </c>
      <c r="CR179" s="155">
        <f t="shared" si="54"/>
        <v>0.18</v>
      </c>
      <c r="CS179" s="156">
        <f t="shared" si="55"/>
        <v>0.36320000000000002</v>
      </c>
      <c r="CU179" s="151">
        <v>180</v>
      </c>
      <c r="CV179" s="152" t="s">
        <v>162</v>
      </c>
      <c r="CW179" s="152">
        <v>464</v>
      </c>
      <c r="CX179" s="152">
        <v>413.6</v>
      </c>
      <c r="CY179" s="151">
        <v>1829</v>
      </c>
      <c r="CZ179" s="151" t="s">
        <v>1718</v>
      </c>
      <c r="DA179" s="151">
        <v>547</v>
      </c>
      <c r="DB179" s="151" t="s">
        <v>1718</v>
      </c>
      <c r="DC179" s="151">
        <v>422</v>
      </c>
      <c r="DD179" t="s">
        <v>1718</v>
      </c>
      <c r="DF179" s="155">
        <f t="shared" si="56"/>
        <v>0.18</v>
      </c>
      <c r="DG179" s="156">
        <f t="shared" si="57"/>
        <v>0.18290000000000001</v>
      </c>
      <c r="DI179" s="151">
        <v>180</v>
      </c>
      <c r="DJ179" s="152" t="s">
        <v>162</v>
      </c>
      <c r="DK179" s="152">
        <v>489.2</v>
      </c>
      <c r="DL179" s="152">
        <v>391.5</v>
      </c>
      <c r="DM179" s="151">
        <v>1850</v>
      </c>
      <c r="DN179" s="151" t="s">
        <v>1718</v>
      </c>
      <c r="DO179" s="151">
        <v>532</v>
      </c>
      <c r="DP179" s="151" t="s">
        <v>1718</v>
      </c>
      <c r="DQ179" s="151">
        <v>415</v>
      </c>
      <c r="DR179" t="s">
        <v>1718</v>
      </c>
      <c r="DT179" s="155">
        <f t="shared" si="58"/>
        <v>0.18</v>
      </c>
      <c r="DU179" s="156">
        <f t="shared" si="59"/>
        <v>0.185</v>
      </c>
    </row>
    <row r="180" spans="1:125" x14ac:dyDescent="0.2">
      <c r="A180" s="150">
        <v>200</v>
      </c>
      <c r="B180" s="151" t="s">
        <v>162</v>
      </c>
      <c r="C180" s="152">
        <v>330.5</v>
      </c>
      <c r="D180" s="152">
        <v>115.4</v>
      </c>
      <c r="E180" s="151">
        <v>3982</v>
      </c>
      <c r="F180" s="151" t="s">
        <v>1718</v>
      </c>
      <c r="G180" s="151">
        <v>1186</v>
      </c>
      <c r="H180" s="151" t="s">
        <v>1718</v>
      </c>
      <c r="I180" s="151">
        <v>1012</v>
      </c>
      <c r="J180" s="151" t="s">
        <v>1718</v>
      </c>
      <c r="L180" s="155">
        <f t="shared" si="42"/>
        <v>0.2</v>
      </c>
      <c r="M180" s="156">
        <f t="shared" si="43"/>
        <v>0.3982</v>
      </c>
      <c r="O180" s="150">
        <v>200</v>
      </c>
      <c r="P180" s="151" t="s">
        <v>162</v>
      </c>
      <c r="Q180" s="152">
        <v>380.5</v>
      </c>
      <c r="R180" s="152">
        <v>88.01</v>
      </c>
      <c r="S180" s="151">
        <v>3980</v>
      </c>
      <c r="T180" s="151" t="s">
        <v>1718</v>
      </c>
      <c r="U180" s="151">
        <v>1128</v>
      </c>
      <c r="V180" s="151" t="s">
        <v>1718</v>
      </c>
      <c r="W180" s="151">
        <v>1000</v>
      </c>
      <c r="X180" s="151" t="s">
        <v>1718</v>
      </c>
      <c r="Z180" s="155">
        <f t="shared" si="44"/>
        <v>0.2</v>
      </c>
      <c r="AA180" s="156">
        <f t="shared" si="45"/>
        <v>0.39800000000000002</v>
      </c>
      <c r="AC180" s="150">
        <v>200</v>
      </c>
      <c r="AD180" s="151" t="s">
        <v>162</v>
      </c>
      <c r="AE180" s="152">
        <v>284.60000000000002</v>
      </c>
      <c r="AF180" s="152">
        <v>1.5409999999999999</v>
      </c>
      <c r="AG180" s="151">
        <v>1.06</v>
      </c>
      <c r="AH180" s="151" t="s">
        <v>1675</v>
      </c>
      <c r="AI180" s="151">
        <v>1653</v>
      </c>
      <c r="AJ180" s="151" t="s">
        <v>1718</v>
      </c>
      <c r="AK180" s="151">
        <v>1930</v>
      </c>
      <c r="AL180" s="151" t="s">
        <v>1718</v>
      </c>
      <c r="AN180" s="155">
        <f t="shared" si="46"/>
        <v>0.2</v>
      </c>
      <c r="AO180" s="156">
        <f t="shared" si="47"/>
        <v>1.06</v>
      </c>
      <c r="AQ180" s="150">
        <v>200</v>
      </c>
      <c r="AR180" s="151" t="s">
        <v>162</v>
      </c>
      <c r="AS180" s="152">
        <v>91.23</v>
      </c>
      <c r="AT180" s="152">
        <v>0.1167</v>
      </c>
      <c r="AU180" s="151">
        <v>1.83</v>
      </c>
      <c r="AV180" s="151" t="s">
        <v>1675</v>
      </c>
      <c r="AW180" s="151">
        <v>1347</v>
      </c>
      <c r="AX180" s="151" t="s">
        <v>1718</v>
      </c>
      <c r="AY180" s="151">
        <v>1907</v>
      </c>
      <c r="AZ180" s="151" t="s">
        <v>1718</v>
      </c>
      <c r="BB180" s="155">
        <f t="shared" si="48"/>
        <v>0.2</v>
      </c>
      <c r="BC180" s="156">
        <f t="shared" si="49"/>
        <v>1.83</v>
      </c>
      <c r="BE180" s="150">
        <v>200</v>
      </c>
      <c r="BF180" s="151" t="s">
        <v>162</v>
      </c>
      <c r="BG180" s="152">
        <v>411.7</v>
      </c>
      <c r="BH180" s="152">
        <v>27.64</v>
      </c>
      <c r="BI180" s="151">
        <v>5140</v>
      </c>
      <c r="BJ180" s="151" t="s">
        <v>1718</v>
      </c>
      <c r="BK180" s="151">
        <v>1141</v>
      </c>
      <c r="BL180" s="151" t="s">
        <v>1718</v>
      </c>
      <c r="BM180" s="151">
        <v>1149</v>
      </c>
      <c r="BN180" s="151" t="s">
        <v>1718</v>
      </c>
      <c r="BP180" s="155">
        <f t="shared" si="50"/>
        <v>0.2</v>
      </c>
      <c r="BQ180" s="156">
        <f t="shared" si="51"/>
        <v>0.51400000000000001</v>
      </c>
      <c r="BS180" s="150">
        <v>200</v>
      </c>
      <c r="BT180" s="151" t="s">
        <v>162</v>
      </c>
      <c r="BU180" s="152">
        <v>407.5</v>
      </c>
      <c r="BV180" s="152">
        <v>74.819999999999993</v>
      </c>
      <c r="BW180" s="151">
        <v>4198</v>
      </c>
      <c r="BX180" s="151" t="s">
        <v>1718</v>
      </c>
      <c r="BY180" s="151">
        <v>1121</v>
      </c>
      <c r="BZ180" s="151" t="s">
        <v>1718</v>
      </c>
      <c r="CA180" s="151">
        <v>1019</v>
      </c>
      <c r="CB180" s="151" t="s">
        <v>1718</v>
      </c>
      <c r="CD180" s="155">
        <f t="shared" si="52"/>
        <v>0.2</v>
      </c>
      <c r="CE180" s="156">
        <f t="shared" si="53"/>
        <v>0.41980000000000001</v>
      </c>
      <c r="CG180" s="150">
        <v>200</v>
      </c>
      <c r="CH180" s="151" t="s">
        <v>162</v>
      </c>
      <c r="CI180" s="152">
        <v>351.7</v>
      </c>
      <c r="CJ180" s="152">
        <v>99.89</v>
      </c>
      <c r="CK180" s="151">
        <v>4024</v>
      </c>
      <c r="CL180" s="151" t="s">
        <v>1718</v>
      </c>
      <c r="CM180" s="151">
        <v>1123</v>
      </c>
      <c r="CN180" s="151" t="s">
        <v>1718</v>
      </c>
      <c r="CO180" s="151">
        <v>981</v>
      </c>
      <c r="CP180" s="151" t="s">
        <v>1718</v>
      </c>
      <c r="CR180" s="155">
        <f t="shared" si="54"/>
        <v>0.2</v>
      </c>
      <c r="CS180" s="156">
        <f t="shared" si="55"/>
        <v>0.40240000000000004</v>
      </c>
      <c r="CU180" s="151">
        <v>200</v>
      </c>
      <c r="CV180" s="152" t="s">
        <v>162</v>
      </c>
      <c r="CW180" s="152">
        <v>482.1</v>
      </c>
      <c r="CX180" s="152">
        <v>396.8</v>
      </c>
      <c r="CY180" s="151">
        <v>2027</v>
      </c>
      <c r="CZ180" s="151" t="s">
        <v>1718</v>
      </c>
      <c r="DA180" s="151">
        <v>590</v>
      </c>
      <c r="DB180" s="151" t="s">
        <v>1718</v>
      </c>
      <c r="DC180" s="151">
        <v>459</v>
      </c>
      <c r="DD180" t="s">
        <v>1718</v>
      </c>
      <c r="DF180" s="155">
        <f t="shared" si="56"/>
        <v>0.2</v>
      </c>
      <c r="DG180" s="156">
        <f t="shared" si="57"/>
        <v>0.20270000000000002</v>
      </c>
      <c r="DI180" s="151">
        <v>200</v>
      </c>
      <c r="DJ180" s="152" t="s">
        <v>162</v>
      </c>
      <c r="DK180" s="152">
        <v>505.2</v>
      </c>
      <c r="DL180" s="152">
        <v>375.2</v>
      </c>
      <c r="DM180" s="151">
        <v>2049</v>
      </c>
      <c r="DN180" s="151" t="s">
        <v>1718</v>
      </c>
      <c r="DO180" s="151">
        <v>574</v>
      </c>
      <c r="DP180" s="151" t="s">
        <v>1718</v>
      </c>
      <c r="DQ180" s="151">
        <v>451</v>
      </c>
      <c r="DR180" t="s">
        <v>1718</v>
      </c>
      <c r="DT180" s="155">
        <f t="shared" si="58"/>
        <v>0.2</v>
      </c>
      <c r="DU180" s="156">
        <f t="shared" si="59"/>
        <v>0.2049</v>
      </c>
    </row>
    <row r="181" spans="1:125" x14ac:dyDescent="0.2">
      <c r="A181" s="150">
        <v>225</v>
      </c>
      <c r="B181" s="151" t="s">
        <v>162</v>
      </c>
      <c r="C181" s="152">
        <v>354.3</v>
      </c>
      <c r="D181" s="152">
        <v>108</v>
      </c>
      <c r="E181" s="151">
        <v>4459</v>
      </c>
      <c r="F181" s="151" t="s">
        <v>1718</v>
      </c>
      <c r="G181" s="151">
        <v>1274</v>
      </c>
      <c r="H181" s="151" t="s">
        <v>1718</v>
      </c>
      <c r="I181" s="151">
        <v>1109</v>
      </c>
      <c r="J181" s="151" t="s">
        <v>1718</v>
      </c>
      <c r="L181" s="155">
        <f t="shared" si="42"/>
        <v>0.22500000000000001</v>
      </c>
      <c r="M181" s="156">
        <f t="shared" si="43"/>
        <v>0.44590000000000002</v>
      </c>
      <c r="O181" s="150">
        <v>225</v>
      </c>
      <c r="P181" s="151" t="s">
        <v>162</v>
      </c>
      <c r="Q181" s="152">
        <v>407.5</v>
      </c>
      <c r="R181" s="152">
        <v>82.15</v>
      </c>
      <c r="S181" s="151">
        <v>4438</v>
      </c>
      <c r="T181" s="151" t="s">
        <v>1718</v>
      </c>
      <c r="U181" s="151">
        <v>1203</v>
      </c>
      <c r="V181" s="151" t="s">
        <v>1718</v>
      </c>
      <c r="W181" s="151">
        <v>1086</v>
      </c>
      <c r="X181" s="151" t="s">
        <v>1718</v>
      </c>
      <c r="Z181" s="155">
        <f t="shared" si="44"/>
        <v>0.22500000000000001</v>
      </c>
      <c r="AA181" s="156">
        <f t="shared" si="45"/>
        <v>0.44380000000000003</v>
      </c>
      <c r="AC181" s="150">
        <v>225</v>
      </c>
      <c r="AD181" s="151" t="s">
        <v>162</v>
      </c>
      <c r="AE181" s="152">
        <v>296.3</v>
      </c>
      <c r="AF181" s="152">
        <v>1.4079999999999999</v>
      </c>
      <c r="AG181" s="151">
        <v>1.1399999999999999</v>
      </c>
      <c r="AH181" s="151" t="s">
        <v>1675</v>
      </c>
      <c r="AI181" s="151">
        <v>1680</v>
      </c>
      <c r="AJ181" s="151" t="s">
        <v>1718</v>
      </c>
      <c r="AK181" s="151">
        <v>1984</v>
      </c>
      <c r="AL181" s="151" t="s">
        <v>1718</v>
      </c>
      <c r="AN181" s="155">
        <f t="shared" si="46"/>
        <v>0.22500000000000001</v>
      </c>
      <c r="AO181" s="156">
        <f t="shared" si="47"/>
        <v>1.1399999999999999</v>
      </c>
      <c r="AQ181" s="150">
        <v>225</v>
      </c>
      <c r="AR181" s="151" t="s">
        <v>162</v>
      </c>
      <c r="AS181" s="152">
        <v>86.83</v>
      </c>
      <c r="AT181" s="152">
        <v>0.1062</v>
      </c>
      <c r="AU181" s="151">
        <v>2.11</v>
      </c>
      <c r="AV181" s="151" t="s">
        <v>1675</v>
      </c>
      <c r="AW181" s="151">
        <v>1466</v>
      </c>
      <c r="AX181" s="151" t="s">
        <v>1718</v>
      </c>
      <c r="AY181" s="151">
        <v>2081</v>
      </c>
      <c r="AZ181" s="151" t="s">
        <v>1718</v>
      </c>
      <c r="BB181" s="155">
        <f t="shared" si="48"/>
        <v>0.22500000000000001</v>
      </c>
      <c r="BC181" s="156">
        <f t="shared" si="49"/>
        <v>2.11</v>
      </c>
      <c r="BE181" s="150">
        <v>225</v>
      </c>
      <c r="BF181" s="151" t="s">
        <v>162</v>
      </c>
      <c r="BG181" s="152">
        <v>439.7</v>
      </c>
      <c r="BH181" s="152">
        <v>25.56</v>
      </c>
      <c r="BI181" s="151">
        <v>5651</v>
      </c>
      <c r="BJ181" s="151" t="s">
        <v>1718</v>
      </c>
      <c r="BK181" s="151">
        <v>1192</v>
      </c>
      <c r="BL181" s="151" t="s">
        <v>1718</v>
      </c>
      <c r="BM181" s="151">
        <v>1220</v>
      </c>
      <c r="BN181" s="151" t="s">
        <v>1718</v>
      </c>
      <c r="BP181" s="155">
        <f t="shared" si="50"/>
        <v>0.22500000000000001</v>
      </c>
      <c r="BQ181" s="156">
        <f t="shared" si="51"/>
        <v>0.56510000000000005</v>
      </c>
      <c r="BS181" s="150">
        <v>225</v>
      </c>
      <c r="BT181" s="151" t="s">
        <v>162</v>
      </c>
      <c r="BU181" s="152">
        <v>441.1</v>
      </c>
      <c r="BV181" s="152">
        <v>69.73</v>
      </c>
      <c r="BW181" s="151">
        <v>4646</v>
      </c>
      <c r="BX181" s="151" t="s">
        <v>1718</v>
      </c>
      <c r="BY181" s="151">
        <v>1186</v>
      </c>
      <c r="BZ181" s="151" t="s">
        <v>1718</v>
      </c>
      <c r="CA181" s="151">
        <v>1099</v>
      </c>
      <c r="CB181" s="151" t="s">
        <v>1718</v>
      </c>
      <c r="CD181" s="155">
        <f t="shared" si="52"/>
        <v>0.22500000000000001</v>
      </c>
      <c r="CE181" s="156">
        <f t="shared" si="53"/>
        <v>0.46460000000000001</v>
      </c>
      <c r="CG181" s="150">
        <v>225</v>
      </c>
      <c r="CH181" s="151" t="s">
        <v>162</v>
      </c>
      <c r="CI181" s="152">
        <v>373.2</v>
      </c>
      <c r="CJ181" s="152">
        <v>93.34</v>
      </c>
      <c r="CK181" s="151">
        <v>4504</v>
      </c>
      <c r="CL181" s="151" t="s">
        <v>1718</v>
      </c>
      <c r="CM181" s="151">
        <v>1203</v>
      </c>
      <c r="CN181" s="151" t="s">
        <v>1718</v>
      </c>
      <c r="CO181" s="151">
        <v>1070</v>
      </c>
      <c r="CP181" s="151" t="s">
        <v>1718</v>
      </c>
      <c r="CR181" s="155">
        <f t="shared" si="54"/>
        <v>0.22500000000000001</v>
      </c>
      <c r="CS181" s="156">
        <f t="shared" si="55"/>
        <v>0.45040000000000002</v>
      </c>
      <c r="CU181" s="151">
        <v>225</v>
      </c>
      <c r="CV181" s="152" t="s">
        <v>162</v>
      </c>
      <c r="CW181" s="152">
        <v>503.2</v>
      </c>
      <c r="CX181" s="152">
        <v>377.8</v>
      </c>
      <c r="CY181" s="151">
        <v>2276</v>
      </c>
      <c r="CZ181" s="151" t="s">
        <v>1718</v>
      </c>
      <c r="DA181" s="151">
        <v>643</v>
      </c>
      <c r="DB181" s="151" t="s">
        <v>1718</v>
      </c>
      <c r="DC181" s="151">
        <v>505</v>
      </c>
      <c r="DD181" t="s">
        <v>1718</v>
      </c>
      <c r="DF181" s="155">
        <f t="shared" si="56"/>
        <v>0.22500000000000001</v>
      </c>
      <c r="DG181" s="156">
        <f t="shared" si="57"/>
        <v>0.22760000000000002</v>
      </c>
      <c r="DI181" s="151">
        <v>225</v>
      </c>
      <c r="DJ181" s="152" t="s">
        <v>162</v>
      </c>
      <c r="DK181" s="152">
        <v>523.29999999999995</v>
      </c>
      <c r="DL181" s="152">
        <v>356.9</v>
      </c>
      <c r="DM181" s="151">
        <v>2300</v>
      </c>
      <c r="DN181" s="151" t="s">
        <v>1718</v>
      </c>
      <c r="DO181" s="151">
        <v>624</v>
      </c>
      <c r="DP181" s="151" t="s">
        <v>1718</v>
      </c>
      <c r="DQ181" s="151">
        <v>496</v>
      </c>
      <c r="DR181" t="s">
        <v>1718</v>
      </c>
      <c r="DT181" s="155">
        <f t="shared" si="58"/>
        <v>0.22500000000000001</v>
      </c>
      <c r="DU181" s="156">
        <f t="shared" si="59"/>
        <v>0.23</v>
      </c>
    </row>
    <row r="182" spans="1:125" x14ac:dyDescent="0.2">
      <c r="A182" s="150">
        <v>250</v>
      </c>
      <c r="B182" s="151" t="s">
        <v>162</v>
      </c>
      <c r="C182" s="152">
        <v>378.2</v>
      </c>
      <c r="D182" s="152">
        <v>101.6</v>
      </c>
      <c r="E182" s="151">
        <v>4922</v>
      </c>
      <c r="F182" s="151" t="s">
        <v>1718</v>
      </c>
      <c r="G182" s="151">
        <v>1355</v>
      </c>
      <c r="H182" s="151" t="s">
        <v>1718</v>
      </c>
      <c r="I182" s="151">
        <v>1201</v>
      </c>
      <c r="J182" s="151" t="s">
        <v>1718</v>
      </c>
      <c r="L182" s="155">
        <f t="shared" si="42"/>
        <v>0.25</v>
      </c>
      <c r="M182" s="156">
        <f t="shared" si="43"/>
        <v>0.49220000000000003</v>
      </c>
      <c r="O182" s="150">
        <v>250</v>
      </c>
      <c r="P182" s="151" t="s">
        <v>162</v>
      </c>
      <c r="Q182" s="152">
        <v>435.6</v>
      </c>
      <c r="R182" s="152">
        <v>77.14</v>
      </c>
      <c r="S182" s="151">
        <v>4881</v>
      </c>
      <c r="T182" s="151" t="s">
        <v>1718</v>
      </c>
      <c r="U182" s="151">
        <v>1270</v>
      </c>
      <c r="V182" s="151" t="s">
        <v>1718</v>
      </c>
      <c r="W182" s="151">
        <v>1167</v>
      </c>
      <c r="X182" s="151" t="s">
        <v>1718</v>
      </c>
      <c r="Z182" s="155">
        <f t="shared" si="44"/>
        <v>0.25</v>
      </c>
      <c r="AA182" s="156">
        <f t="shared" si="45"/>
        <v>0.48810000000000003</v>
      </c>
      <c r="AC182" s="150">
        <v>250</v>
      </c>
      <c r="AD182" s="151" t="s">
        <v>162</v>
      </c>
      <c r="AE182" s="152">
        <v>306</v>
      </c>
      <c r="AF182" s="152">
        <v>1.298</v>
      </c>
      <c r="AG182" s="151">
        <v>1.22</v>
      </c>
      <c r="AH182" s="151" t="s">
        <v>1675</v>
      </c>
      <c r="AI182" s="151">
        <v>1705</v>
      </c>
      <c r="AJ182" s="151" t="s">
        <v>1718</v>
      </c>
      <c r="AK182" s="151">
        <v>2032</v>
      </c>
      <c r="AL182" s="151" t="s">
        <v>1718</v>
      </c>
      <c r="AN182" s="155">
        <f t="shared" si="46"/>
        <v>0.25</v>
      </c>
      <c r="AO182" s="156">
        <f t="shared" si="47"/>
        <v>1.22</v>
      </c>
      <c r="AQ182" s="150">
        <v>250</v>
      </c>
      <c r="AR182" s="151" t="s">
        <v>162</v>
      </c>
      <c r="AS182" s="152">
        <v>82.93</v>
      </c>
      <c r="AT182" s="152">
        <v>9.7549999999999998E-2</v>
      </c>
      <c r="AU182" s="151">
        <v>2.4</v>
      </c>
      <c r="AV182" s="151" t="s">
        <v>1675</v>
      </c>
      <c r="AW182" s="151">
        <v>1587</v>
      </c>
      <c r="AX182" s="151" t="s">
        <v>1718</v>
      </c>
      <c r="AY182" s="151">
        <v>2261</v>
      </c>
      <c r="AZ182" s="151" t="s">
        <v>1718</v>
      </c>
      <c r="BB182" s="155">
        <f t="shared" si="48"/>
        <v>0.25</v>
      </c>
      <c r="BC182" s="156">
        <f t="shared" si="49"/>
        <v>2.4</v>
      </c>
      <c r="BE182" s="150">
        <v>250</v>
      </c>
      <c r="BF182" s="151" t="s">
        <v>162</v>
      </c>
      <c r="BG182" s="152">
        <v>467.6</v>
      </c>
      <c r="BH182" s="152">
        <v>23.82</v>
      </c>
      <c r="BI182" s="151">
        <v>6138</v>
      </c>
      <c r="BJ182" s="151" t="s">
        <v>1718</v>
      </c>
      <c r="BK182" s="151">
        <v>1235</v>
      </c>
      <c r="BL182" s="151" t="s">
        <v>1718</v>
      </c>
      <c r="BM182" s="151">
        <v>1285</v>
      </c>
      <c r="BN182" s="151" t="s">
        <v>1718</v>
      </c>
      <c r="BP182" s="155">
        <f t="shared" si="50"/>
        <v>0.25</v>
      </c>
      <c r="BQ182" s="156">
        <f t="shared" si="51"/>
        <v>0.61380000000000001</v>
      </c>
      <c r="BS182" s="150">
        <v>250</v>
      </c>
      <c r="BT182" s="151" t="s">
        <v>162</v>
      </c>
      <c r="BU182" s="152">
        <v>473.7</v>
      </c>
      <c r="BV182" s="152">
        <v>65.38</v>
      </c>
      <c r="BW182" s="151">
        <v>5074</v>
      </c>
      <c r="BX182" s="151" t="s">
        <v>1718</v>
      </c>
      <c r="BY182" s="151">
        <v>1243</v>
      </c>
      <c r="BZ182" s="151" t="s">
        <v>1718</v>
      </c>
      <c r="CA182" s="151">
        <v>1173</v>
      </c>
      <c r="CB182" s="151" t="s">
        <v>1718</v>
      </c>
      <c r="CD182" s="155">
        <f t="shared" si="52"/>
        <v>0.25</v>
      </c>
      <c r="CE182" s="156">
        <f t="shared" si="53"/>
        <v>0.50740000000000007</v>
      </c>
      <c r="CG182" s="150">
        <v>250</v>
      </c>
      <c r="CH182" s="151" t="s">
        <v>162</v>
      </c>
      <c r="CI182" s="152">
        <v>395.9</v>
      </c>
      <c r="CJ182" s="152">
        <v>87.71</v>
      </c>
      <c r="CK182" s="151">
        <v>4972</v>
      </c>
      <c r="CL182" s="151" t="s">
        <v>1718</v>
      </c>
      <c r="CM182" s="151">
        <v>1276</v>
      </c>
      <c r="CN182" s="151" t="s">
        <v>1718</v>
      </c>
      <c r="CO182" s="151">
        <v>1155</v>
      </c>
      <c r="CP182" s="151" t="s">
        <v>1718</v>
      </c>
      <c r="CR182" s="155">
        <f t="shared" si="54"/>
        <v>0.25</v>
      </c>
      <c r="CS182" s="156">
        <f t="shared" si="55"/>
        <v>0.49720000000000003</v>
      </c>
      <c r="CU182" s="151">
        <v>250</v>
      </c>
      <c r="CV182" s="152" t="s">
        <v>162</v>
      </c>
      <c r="CW182" s="152">
        <v>523.1</v>
      </c>
      <c r="CX182" s="152">
        <v>360.8</v>
      </c>
      <c r="CY182" s="151">
        <v>2526</v>
      </c>
      <c r="CZ182" s="151" t="s">
        <v>1718</v>
      </c>
      <c r="DA182" s="151">
        <v>693</v>
      </c>
      <c r="DB182" s="151" t="s">
        <v>1718</v>
      </c>
      <c r="DC182" s="151">
        <v>550</v>
      </c>
      <c r="DD182" t="s">
        <v>1718</v>
      </c>
      <c r="DF182" s="155">
        <f t="shared" si="56"/>
        <v>0.25</v>
      </c>
      <c r="DG182" s="156">
        <f t="shared" si="57"/>
        <v>0.25259999999999999</v>
      </c>
      <c r="DI182" s="151">
        <v>250</v>
      </c>
      <c r="DJ182" s="152" t="s">
        <v>162</v>
      </c>
      <c r="DK182" s="152">
        <v>540.20000000000005</v>
      </c>
      <c r="DL182" s="152">
        <v>340.6</v>
      </c>
      <c r="DM182" s="151">
        <v>2553</v>
      </c>
      <c r="DN182" s="151" t="s">
        <v>1718</v>
      </c>
      <c r="DO182" s="151">
        <v>673</v>
      </c>
      <c r="DP182" s="151" t="s">
        <v>1718</v>
      </c>
      <c r="DQ182" s="151">
        <v>540</v>
      </c>
      <c r="DR182" t="s">
        <v>1718</v>
      </c>
      <c r="DT182" s="155">
        <f t="shared" si="58"/>
        <v>0.25</v>
      </c>
      <c r="DU182" s="156">
        <f t="shared" si="59"/>
        <v>0.25530000000000003</v>
      </c>
    </row>
    <row r="183" spans="1:125" x14ac:dyDescent="0.2">
      <c r="A183" s="150">
        <v>275</v>
      </c>
      <c r="B183" s="151" t="s">
        <v>162</v>
      </c>
      <c r="C183" s="152">
        <v>402.3</v>
      </c>
      <c r="D183" s="152">
        <v>96.09</v>
      </c>
      <c r="E183" s="151">
        <v>5372</v>
      </c>
      <c r="F183" s="151" t="s">
        <v>1718</v>
      </c>
      <c r="G183" s="151">
        <v>1427</v>
      </c>
      <c r="H183" s="151" t="s">
        <v>1718</v>
      </c>
      <c r="I183" s="151">
        <v>1287</v>
      </c>
      <c r="J183" s="151" t="s">
        <v>1718</v>
      </c>
      <c r="L183" s="155">
        <f t="shared" si="42"/>
        <v>0.27500000000000002</v>
      </c>
      <c r="M183" s="156">
        <f t="shared" si="43"/>
        <v>0.53720000000000001</v>
      </c>
      <c r="O183" s="150">
        <v>275</v>
      </c>
      <c r="P183" s="151" t="s">
        <v>162</v>
      </c>
      <c r="Q183" s="152">
        <v>464.5</v>
      </c>
      <c r="R183" s="152">
        <v>72.78</v>
      </c>
      <c r="S183" s="151">
        <v>5307</v>
      </c>
      <c r="T183" s="151" t="s">
        <v>1718</v>
      </c>
      <c r="U183" s="151">
        <v>1329</v>
      </c>
      <c r="V183" s="151" t="s">
        <v>1718</v>
      </c>
      <c r="W183" s="151">
        <v>1242</v>
      </c>
      <c r="X183" s="151" t="s">
        <v>1718</v>
      </c>
      <c r="Z183" s="155">
        <f t="shared" si="44"/>
        <v>0.27500000000000002</v>
      </c>
      <c r="AA183" s="156">
        <f t="shared" si="45"/>
        <v>0.53070000000000006</v>
      </c>
      <c r="AC183" s="150">
        <v>275</v>
      </c>
      <c r="AD183" s="151" t="s">
        <v>162</v>
      </c>
      <c r="AE183" s="152">
        <v>313.89999999999998</v>
      </c>
      <c r="AF183" s="152">
        <v>1.206</v>
      </c>
      <c r="AG183" s="151">
        <v>1.3</v>
      </c>
      <c r="AH183" s="151" t="s">
        <v>1675</v>
      </c>
      <c r="AI183" s="151">
        <v>1726</v>
      </c>
      <c r="AJ183" s="151" t="s">
        <v>1718</v>
      </c>
      <c r="AK183" s="151">
        <v>2076</v>
      </c>
      <c r="AL183" s="151" t="s">
        <v>1718</v>
      </c>
      <c r="AN183" s="155">
        <f t="shared" si="46"/>
        <v>0.27500000000000002</v>
      </c>
      <c r="AO183" s="156">
        <f t="shared" si="47"/>
        <v>1.3</v>
      </c>
      <c r="AQ183" s="150">
        <v>275</v>
      </c>
      <c r="AR183" s="151" t="s">
        <v>162</v>
      </c>
      <c r="AS183" s="152">
        <v>79.45</v>
      </c>
      <c r="AT183" s="152">
        <v>9.0289999999999995E-2</v>
      </c>
      <c r="AU183" s="151">
        <v>2.7</v>
      </c>
      <c r="AV183" s="151" t="s">
        <v>1675</v>
      </c>
      <c r="AW183" s="151">
        <v>1710</v>
      </c>
      <c r="AX183" s="151" t="s">
        <v>1718</v>
      </c>
      <c r="AY183" s="151">
        <v>2447</v>
      </c>
      <c r="AZ183" s="151" t="s">
        <v>1718</v>
      </c>
      <c r="BB183" s="155">
        <f t="shared" si="48"/>
        <v>0.27500000000000002</v>
      </c>
      <c r="BC183" s="156">
        <f t="shared" si="49"/>
        <v>2.7</v>
      </c>
      <c r="BE183" s="150">
        <v>275</v>
      </c>
      <c r="BF183" s="151" t="s">
        <v>162</v>
      </c>
      <c r="BG183" s="152">
        <v>495</v>
      </c>
      <c r="BH183" s="152">
        <v>22.32</v>
      </c>
      <c r="BI183" s="151">
        <v>6602</v>
      </c>
      <c r="BJ183" s="151" t="s">
        <v>1718</v>
      </c>
      <c r="BK183" s="151">
        <v>1273</v>
      </c>
      <c r="BL183" s="151" t="s">
        <v>1718</v>
      </c>
      <c r="BM183" s="151">
        <v>1343</v>
      </c>
      <c r="BN183" s="151" t="s">
        <v>1718</v>
      </c>
      <c r="BP183" s="155">
        <f t="shared" si="50"/>
        <v>0.27500000000000002</v>
      </c>
      <c r="BQ183" s="156">
        <f t="shared" si="51"/>
        <v>0.66020000000000001</v>
      </c>
      <c r="BS183" s="150">
        <v>275</v>
      </c>
      <c r="BT183" s="151" t="s">
        <v>162</v>
      </c>
      <c r="BU183" s="152">
        <v>505.2</v>
      </c>
      <c r="BV183" s="152">
        <v>61.61</v>
      </c>
      <c r="BW183" s="151">
        <v>5483</v>
      </c>
      <c r="BX183" s="151" t="s">
        <v>1718</v>
      </c>
      <c r="BY183" s="151">
        <v>1293</v>
      </c>
      <c r="BZ183" s="151" t="s">
        <v>1718</v>
      </c>
      <c r="CA183" s="151">
        <v>1241</v>
      </c>
      <c r="CB183" s="151" t="s">
        <v>1718</v>
      </c>
      <c r="CD183" s="155">
        <f t="shared" si="52"/>
        <v>0.27500000000000002</v>
      </c>
      <c r="CE183" s="156">
        <f t="shared" si="53"/>
        <v>0.54830000000000001</v>
      </c>
      <c r="CG183" s="150">
        <v>275</v>
      </c>
      <c r="CH183" s="151" t="s">
        <v>162</v>
      </c>
      <c r="CI183" s="152">
        <v>419.6</v>
      </c>
      <c r="CJ183" s="152">
        <v>82.81</v>
      </c>
      <c r="CK183" s="151">
        <v>5426</v>
      </c>
      <c r="CL183" s="151" t="s">
        <v>1718</v>
      </c>
      <c r="CM183" s="151">
        <v>1343</v>
      </c>
      <c r="CN183" s="151" t="s">
        <v>1718</v>
      </c>
      <c r="CO183" s="151">
        <v>1234</v>
      </c>
      <c r="CP183" s="151" t="s">
        <v>1718</v>
      </c>
      <c r="CR183" s="155">
        <f t="shared" si="54"/>
        <v>0.27500000000000002</v>
      </c>
      <c r="CS183" s="156">
        <f t="shared" si="55"/>
        <v>0.54259999999999997</v>
      </c>
      <c r="CU183" s="151">
        <v>275</v>
      </c>
      <c r="CV183" s="152" t="s">
        <v>162</v>
      </c>
      <c r="CW183" s="152">
        <v>542.29999999999995</v>
      </c>
      <c r="CX183" s="152">
        <v>345.6</v>
      </c>
      <c r="CY183" s="151">
        <v>2776</v>
      </c>
      <c r="CZ183" s="151" t="s">
        <v>1718</v>
      </c>
      <c r="DA183" s="151">
        <v>742</v>
      </c>
      <c r="DB183" s="151" t="s">
        <v>1718</v>
      </c>
      <c r="DC183" s="151">
        <v>595</v>
      </c>
      <c r="DD183" t="s">
        <v>1718</v>
      </c>
      <c r="DF183" s="155">
        <f t="shared" si="56"/>
        <v>0.27500000000000002</v>
      </c>
      <c r="DG183" s="156">
        <f t="shared" si="57"/>
        <v>0.27760000000000001</v>
      </c>
      <c r="DI183" s="151">
        <v>275</v>
      </c>
      <c r="DJ183" s="152" t="s">
        <v>162</v>
      </c>
      <c r="DK183" s="152">
        <v>556.5</v>
      </c>
      <c r="DL183" s="152">
        <v>326</v>
      </c>
      <c r="DM183" s="151">
        <v>2807</v>
      </c>
      <c r="DN183" s="151" t="s">
        <v>1718</v>
      </c>
      <c r="DO183" s="151">
        <v>720</v>
      </c>
      <c r="DP183" s="151" t="s">
        <v>1718</v>
      </c>
      <c r="DQ183" s="151">
        <v>583</v>
      </c>
      <c r="DR183" t="s">
        <v>1718</v>
      </c>
      <c r="DT183" s="155">
        <f t="shared" si="58"/>
        <v>0.27500000000000002</v>
      </c>
      <c r="DU183" s="156">
        <f t="shared" si="59"/>
        <v>0.28070000000000001</v>
      </c>
    </row>
    <row r="184" spans="1:125" x14ac:dyDescent="0.2">
      <c r="A184" s="150">
        <v>300</v>
      </c>
      <c r="B184" s="151" t="s">
        <v>162</v>
      </c>
      <c r="C184" s="152">
        <v>426.4</v>
      </c>
      <c r="D184" s="152">
        <v>91.19</v>
      </c>
      <c r="E184" s="151">
        <v>5809</v>
      </c>
      <c r="F184" s="151" t="s">
        <v>1718</v>
      </c>
      <c r="G184" s="151">
        <v>1494</v>
      </c>
      <c r="H184" s="151" t="s">
        <v>1718</v>
      </c>
      <c r="I184" s="151">
        <v>1368</v>
      </c>
      <c r="J184" s="151" t="s">
        <v>1718</v>
      </c>
      <c r="L184" s="155">
        <f t="shared" si="42"/>
        <v>0.3</v>
      </c>
      <c r="M184" s="156">
        <f t="shared" si="43"/>
        <v>0.58090000000000008</v>
      </c>
      <c r="O184" s="150">
        <v>300</v>
      </c>
      <c r="P184" s="151" t="s">
        <v>162</v>
      </c>
      <c r="Q184" s="152">
        <v>493.8</v>
      </c>
      <c r="R184" s="152">
        <v>68.959999999999994</v>
      </c>
      <c r="S184" s="151">
        <v>5716</v>
      </c>
      <c r="T184" s="151" t="s">
        <v>1718</v>
      </c>
      <c r="U184" s="151">
        <v>1383</v>
      </c>
      <c r="V184" s="151" t="s">
        <v>1718</v>
      </c>
      <c r="W184" s="151">
        <v>1312</v>
      </c>
      <c r="X184" s="151" t="s">
        <v>1718</v>
      </c>
      <c r="Z184" s="155">
        <f t="shared" si="44"/>
        <v>0.3</v>
      </c>
      <c r="AA184" s="156">
        <f t="shared" si="45"/>
        <v>0.5716</v>
      </c>
      <c r="AC184" s="150">
        <v>300</v>
      </c>
      <c r="AD184" s="151" t="s">
        <v>162</v>
      </c>
      <c r="AE184" s="152">
        <v>320.39999999999998</v>
      </c>
      <c r="AF184" s="152">
        <v>1.127</v>
      </c>
      <c r="AG184" s="151">
        <v>1.38</v>
      </c>
      <c r="AH184" s="151" t="s">
        <v>1675</v>
      </c>
      <c r="AI184" s="151">
        <v>1746</v>
      </c>
      <c r="AJ184" s="151" t="s">
        <v>1718</v>
      </c>
      <c r="AK184" s="151">
        <v>2117</v>
      </c>
      <c r="AL184" s="151" t="s">
        <v>1718</v>
      </c>
      <c r="AN184" s="155">
        <f t="shared" si="46"/>
        <v>0.3</v>
      </c>
      <c r="AO184" s="156">
        <f t="shared" si="47"/>
        <v>1.38</v>
      </c>
      <c r="AQ184" s="150">
        <v>300</v>
      </c>
      <c r="AR184" s="151" t="s">
        <v>162</v>
      </c>
      <c r="AS184" s="152">
        <v>76.31</v>
      </c>
      <c r="AT184" s="152">
        <v>8.412E-2</v>
      </c>
      <c r="AU184" s="151">
        <v>3.02</v>
      </c>
      <c r="AV184" s="151" t="s">
        <v>1675</v>
      </c>
      <c r="AW184" s="151">
        <v>1835</v>
      </c>
      <c r="AX184" s="151" t="s">
        <v>1718</v>
      </c>
      <c r="AY184" s="151">
        <v>2638</v>
      </c>
      <c r="AZ184" s="151" t="s">
        <v>1718</v>
      </c>
      <c r="BB184" s="155">
        <f t="shared" si="48"/>
        <v>0.3</v>
      </c>
      <c r="BC184" s="156">
        <f t="shared" si="49"/>
        <v>3.02</v>
      </c>
      <c r="BE184" s="150">
        <v>300</v>
      </c>
      <c r="BF184" s="151" t="s">
        <v>162</v>
      </c>
      <c r="BG184" s="152">
        <v>522</v>
      </c>
      <c r="BH184" s="152">
        <v>21.02</v>
      </c>
      <c r="BI184" s="151">
        <v>7046</v>
      </c>
      <c r="BJ184" s="151" t="s">
        <v>1718</v>
      </c>
      <c r="BK184" s="151">
        <v>1307</v>
      </c>
      <c r="BL184" s="151" t="s">
        <v>1718</v>
      </c>
      <c r="BM184" s="151">
        <v>1397</v>
      </c>
      <c r="BN184" s="151" t="s">
        <v>1718</v>
      </c>
      <c r="BP184" s="155">
        <f t="shared" si="50"/>
        <v>0.3</v>
      </c>
      <c r="BQ184" s="156">
        <f t="shared" si="51"/>
        <v>0.7046</v>
      </c>
      <c r="BS184" s="150">
        <v>300</v>
      </c>
      <c r="BT184" s="151" t="s">
        <v>162</v>
      </c>
      <c r="BU184" s="152">
        <v>535.6</v>
      </c>
      <c r="BV184" s="152">
        <v>58.3</v>
      </c>
      <c r="BW184" s="151">
        <v>5876</v>
      </c>
      <c r="BX184" s="151" t="s">
        <v>1718</v>
      </c>
      <c r="BY184" s="151">
        <v>1337</v>
      </c>
      <c r="BZ184" s="151" t="s">
        <v>1718</v>
      </c>
      <c r="CA184" s="151">
        <v>1303</v>
      </c>
      <c r="CB184" s="151" t="s">
        <v>1718</v>
      </c>
      <c r="CD184" s="155">
        <f t="shared" si="52"/>
        <v>0.3</v>
      </c>
      <c r="CE184" s="156">
        <f t="shared" si="53"/>
        <v>0.58760000000000001</v>
      </c>
      <c r="CG184" s="150">
        <v>300</v>
      </c>
      <c r="CH184" s="151" t="s">
        <v>162</v>
      </c>
      <c r="CI184" s="152">
        <v>444</v>
      </c>
      <c r="CJ184" s="152">
        <v>78.510000000000005</v>
      </c>
      <c r="CK184" s="151">
        <v>5866</v>
      </c>
      <c r="CL184" s="151" t="s">
        <v>1718</v>
      </c>
      <c r="CM184" s="151">
        <v>1403</v>
      </c>
      <c r="CN184" s="151" t="s">
        <v>1718</v>
      </c>
      <c r="CO184" s="151">
        <v>1309</v>
      </c>
      <c r="CP184" s="151" t="s">
        <v>1718</v>
      </c>
      <c r="CR184" s="155">
        <f t="shared" si="54"/>
        <v>0.3</v>
      </c>
      <c r="CS184" s="156">
        <f t="shared" si="55"/>
        <v>0.58660000000000001</v>
      </c>
      <c r="CU184" s="151">
        <v>300</v>
      </c>
      <c r="CV184" s="152" t="s">
        <v>162</v>
      </c>
      <c r="CW184" s="152">
        <v>560.9</v>
      </c>
      <c r="CX184" s="152">
        <v>331.8</v>
      </c>
      <c r="CY184" s="151">
        <v>3026</v>
      </c>
      <c r="CZ184" s="151" t="s">
        <v>1718</v>
      </c>
      <c r="DA184" s="151">
        <v>789</v>
      </c>
      <c r="DB184" s="151" t="s">
        <v>1718</v>
      </c>
      <c r="DC184" s="151">
        <v>639</v>
      </c>
      <c r="DD184" t="s">
        <v>1718</v>
      </c>
      <c r="DF184" s="155">
        <f t="shared" si="56"/>
        <v>0.3</v>
      </c>
      <c r="DG184" s="156">
        <f t="shared" si="57"/>
        <v>0.30260000000000004</v>
      </c>
      <c r="DI184" s="151">
        <v>300</v>
      </c>
      <c r="DJ184" s="152" t="s">
        <v>162</v>
      </c>
      <c r="DK184" s="152">
        <v>572.5</v>
      </c>
      <c r="DL184" s="152">
        <v>312.7</v>
      </c>
      <c r="DM184" s="151">
        <v>3061</v>
      </c>
      <c r="DN184" s="151" t="s">
        <v>1718</v>
      </c>
      <c r="DO184" s="151">
        <v>765</v>
      </c>
      <c r="DP184" s="151" t="s">
        <v>1718</v>
      </c>
      <c r="DQ184" s="151">
        <v>625</v>
      </c>
      <c r="DR184" t="s">
        <v>1718</v>
      </c>
      <c r="DT184" s="155">
        <f t="shared" si="58"/>
        <v>0.3</v>
      </c>
      <c r="DU184" s="156">
        <f t="shared" si="59"/>
        <v>0.30610000000000004</v>
      </c>
    </row>
    <row r="185" spans="1:125" x14ac:dyDescent="0.2">
      <c r="A185" s="150">
        <v>325</v>
      </c>
      <c r="B185" s="151" t="s">
        <v>162</v>
      </c>
      <c r="C185" s="152">
        <v>450.5</v>
      </c>
      <c r="D185" s="152">
        <v>86.84</v>
      </c>
      <c r="E185" s="151">
        <v>6232</v>
      </c>
      <c r="F185" s="151" t="s">
        <v>1718</v>
      </c>
      <c r="G185" s="151">
        <v>1554</v>
      </c>
      <c r="H185" s="151" t="s">
        <v>1718</v>
      </c>
      <c r="I185" s="151">
        <v>1444</v>
      </c>
      <c r="J185" s="151" t="s">
        <v>1718</v>
      </c>
      <c r="L185" s="155">
        <f t="shared" si="42"/>
        <v>0.32500000000000001</v>
      </c>
      <c r="M185" s="156">
        <f t="shared" si="43"/>
        <v>0.62319999999999998</v>
      </c>
      <c r="O185" s="150">
        <v>325</v>
      </c>
      <c r="P185" s="151" t="s">
        <v>162</v>
      </c>
      <c r="Q185" s="152">
        <v>523.4</v>
      </c>
      <c r="R185" s="152">
        <v>65.569999999999993</v>
      </c>
      <c r="S185" s="151">
        <v>6109</v>
      </c>
      <c r="T185" s="151" t="s">
        <v>1718</v>
      </c>
      <c r="U185" s="151">
        <v>1431</v>
      </c>
      <c r="V185" s="151" t="s">
        <v>1718</v>
      </c>
      <c r="W185" s="151">
        <v>1376</v>
      </c>
      <c r="X185" s="151" t="s">
        <v>1718</v>
      </c>
      <c r="Z185" s="155">
        <f t="shared" si="44"/>
        <v>0.32500000000000001</v>
      </c>
      <c r="AA185" s="156">
        <f t="shared" si="45"/>
        <v>0.6109</v>
      </c>
      <c r="AC185" s="150">
        <v>325</v>
      </c>
      <c r="AD185" s="151" t="s">
        <v>162</v>
      </c>
      <c r="AE185" s="152">
        <v>325.5</v>
      </c>
      <c r="AF185" s="152">
        <v>1.0580000000000001</v>
      </c>
      <c r="AG185" s="151">
        <v>1.45</v>
      </c>
      <c r="AH185" s="151" t="s">
        <v>1675</v>
      </c>
      <c r="AI185" s="151">
        <v>1765</v>
      </c>
      <c r="AJ185" s="151" t="s">
        <v>1718</v>
      </c>
      <c r="AK185" s="151">
        <v>2155</v>
      </c>
      <c r="AL185" s="151" t="s">
        <v>1718</v>
      </c>
      <c r="AN185" s="155">
        <f t="shared" si="46"/>
        <v>0.32500000000000001</v>
      </c>
      <c r="AO185" s="156">
        <f t="shared" si="47"/>
        <v>1.45</v>
      </c>
      <c r="AQ185" s="150">
        <v>325</v>
      </c>
      <c r="AR185" s="151" t="s">
        <v>162</v>
      </c>
      <c r="AS185" s="152">
        <v>73.48</v>
      </c>
      <c r="AT185" s="152">
        <v>7.8789999999999999E-2</v>
      </c>
      <c r="AU185" s="151">
        <v>3.35</v>
      </c>
      <c r="AV185" s="151" t="s">
        <v>1675</v>
      </c>
      <c r="AW185" s="151">
        <v>1961</v>
      </c>
      <c r="AX185" s="151" t="s">
        <v>1718</v>
      </c>
      <c r="AY185" s="151">
        <v>2836</v>
      </c>
      <c r="AZ185" s="151" t="s">
        <v>1718</v>
      </c>
      <c r="BB185" s="155">
        <f t="shared" si="48"/>
        <v>0.32500000000000001</v>
      </c>
      <c r="BC185" s="156">
        <f t="shared" si="49"/>
        <v>3.35</v>
      </c>
      <c r="BE185" s="150">
        <v>325</v>
      </c>
      <c r="BF185" s="151" t="s">
        <v>162</v>
      </c>
      <c r="BG185" s="152">
        <v>548.4</v>
      </c>
      <c r="BH185" s="152">
        <v>19.88</v>
      </c>
      <c r="BI185" s="151">
        <v>7471</v>
      </c>
      <c r="BJ185" s="151" t="s">
        <v>1718</v>
      </c>
      <c r="BK185" s="151">
        <v>1337</v>
      </c>
      <c r="BL185" s="151" t="s">
        <v>1718</v>
      </c>
      <c r="BM185" s="151">
        <v>1445</v>
      </c>
      <c r="BN185" s="151" t="s">
        <v>1718</v>
      </c>
      <c r="BP185" s="155">
        <f t="shared" si="50"/>
        <v>0.32500000000000001</v>
      </c>
      <c r="BQ185" s="156">
        <f t="shared" si="51"/>
        <v>0.74709999999999999</v>
      </c>
      <c r="BS185" s="150">
        <v>325</v>
      </c>
      <c r="BT185" s="151" t="s">
        <v>162</v>
      </c>
      <c r="BU185" s="152">
        <v>564.9</v>
      </c>
      <c r="BV185" s="152">
        <v>55.38</v>
      </c>
      <c r="BW185" s="151">
        <v>6254</v>
      </c>
      <c r="BX185" s="151" t="s">
        <v>1718</v>
      </c>
      <c r="BY185" s="151">
        <v>1377</v>
      </c>
      <c r="BZ185" s="151" t="s">
        <v>1718</v>
      </c>
      <c r="CA185" s="151">
        <v>1360</v>
      </c>
      <c r="CB185" s="151" t="s">
        <v>1718</v>
      </c>
      <c r="CD185" s="155">
        <f t="shared" si="52"/>
        <v>0.32500000000000001</v>
      </c>
      <c r="CE185" s="156">
        <f t="shared" si="53"/>
        <v>0.62540000000000007</v>
      </c>
      <c r="CG185" s="150">
        <v>325</v>
      </c>
      <c r="CH185" s="151" t="s">
        <v>162</v>
      </c>
      <c r="CI185" s="152">
        <v>468.8</v>
      </c>
      <c r="CJ185" s="152">
        <v>74.7</v>
      </c>
      <c r="CK185" s="151">
        <v>6291</v>
      </c>
      <c r="CL185" s="151" t="s">
        <v>1718</v>
      </c>
      <c r="CM185" s="151">
        <v>1457</v>
      </c>
      <c r="CN185" s="151" t="s">
        <v>1718</v>
      </c>
      <c r="CO185" s="151">
        <v>1379</v>
      </c>
      <c r="CP185" s="151" t="s">
        <v>1718</v>
      </c>
      <c r="CR185" s="155">
        <f t="shared" si="54"/>
        <v>0.32500000000000001</v>
      </c>
      <c r="CS185" s="156">
        <f t="shared" si="55"/>
        <v>0.62909999999999999</v>
      </c>
      <c r="CU185" s="151">
        <v>325</v>
      </c>
      <c r="CV185" s="152" t="s">
        <v>162</v>
      </c>
      <c r="CW185" s="152">
        <v>579.20000000000005</v>
      </c>
      <c r="CX185" s="152">
        <v>319.2</v>
      </c>
      <c r="CY185" s="151">
        <v>3276</v>
      </c>
      <c r="CZ185" s="151" t="s">
        <v>1718</v>
      </c>
      <c r="DA185" s="151">
        <v>833</v>
      </c>
      <c r="DB185" s="151" t="s">
        <v>1718</v>
      </c>
      <c r="DC185" s="151">
        <v>681</v>
      </c>
      <c r="DD185" t="s">
        <v>1718</v>
      </c>
      <c r="DF185" s="155">
        <f t="shared" si="56"/>
        <v>0.32500000000000001</v>
      </c>
      <c r="DG185" s="156">
        <f t="shared" si="57"/>
        <v>0.3276</v>
      </c>
      <c r="DI185" s="151">
        <v>325</v>
      </c>
      <c r="DJ185" s="152" t="s">
        <v>162</v>
      </c>
      <c r="DK185" s="152">
        <v>588.5</v>
      </c>
      <c r="DL185" s="152">
        <v>300.7</v>
      </c>
      <c r="DM185" s="151">
        <v>3315</v>
      </c>
      <c r="DN185" s="151" t="s">
        <v>1718</v>
      </c>
      <c r="DO185" s="151">
        <v>809</v>
      </c>
      <c r="DP185" s="151" t="s">
        <v>1718</v>
      </c>
      <c r="DQ185" s="151">
        <v>667</v>
      </c>
      <c r="DR185" t="s">
        <v>1718</v>
      </c>
      <c r="DT185" s="155">
        <f t="shared" si="58"/>
        <v>0.32500000000000001</v>
      </c>
      <c r="DU185" s="156">
        <f t="shared" si="59"/>
        <v>0.33150000000000002</v>
      </c>
    </row>
    <row r="186" spans="1:125" x14ac:dyDescent="0.2">
      <c r="A186" s="150">
        <v>350</v>
      </c>
      <c r="B186" s="151" t="s">
        <v>162</v>
      </c>
      <c r="C186" s="152">
        <v>474.7</v>
      </c>
      <c r="D186" s="152">
        <v>82.95</v>
      </c>
      <c r="E186" s="151">
        <v>6642</v>
      </c>
      <c r="F186" s="151" t="s">
        <v>1718</v>
      </c>
      <c r="G186" s="151">
        <v>1609</v>
      </c>
      <c r="H186" s="151" t="s">
        <v>1718</v>
      </c>
      <c r="I186" s="151">
        <v>1516</v>
      </c>
      <c r="J186" s="151" t="s">
        <v>1718</v>
      </c>
      <c r="L186" s="155">
        <f t="shared" si="42"/>
        <v>0.35000000000000003</v>
      </c>
      <c r="M186" s="156">
        <f t="shared" si="43"/>
        <v>0.66420000000000001</v>
      </c>
      <c r="O186" s="150">
        <v>350</v>
      </c>
      <c r="P186" s="151" t="s">
        <v>162</v>
      </c>
      <c r="Q186" s="152">
        <v>553</v>
      </c>
      <c r="R186" s="152">
        <v>62.54</v>
      </c>
      <c r="S186" s="151">
        <v>6487</v>
      </c>
      <c r="T186" s="151" t="s">
        <v>1718</v>
      </c>
      <c r="U186" s="151">
        <v>1474</v>
      </c>
      <c r="V186" s="151" t="s">
        <v>1718</v>
      </c>
      <c r="W186" s="151">
        <v>1437</v>
      </c>
      <c r="X186" s="151" t="s">
        <v>1718</v>
      </c>
      <c r="Z186" s="155">
        <f t="shared" si="44"/>
        <v>0.35000000000000003</v>
      </c>
      <c r="AA186" s="156">
        <f t="shared" si="45"/>
        <v>0.64870000000000005</v>
      </c>
      <c r="AC186" s="150">
        <v>350</v>
      </c>
      <c r="AD186" s="151" t="s">
        <v>162</v>
      </c>
      <c r="AE186" s="152">
        <v>329.6</v>
      </c>
      <c r="AF186" s="152">
        <v>0.99829999999999997</v>
      </c>
      <c r="AG186" s="151">
        <v>1.53</v>
      </c>
      <c r="AH186" s="151" t="s">
        <v>1675</v>
      </c>
      <c r="AI186" s="151">
        <v>1782</v>
      </c>
      <c r="AJ186" s="151" t="s">
        <v>1718</v>
      </c>
      <c r="AK186" s="151">
        <v>2190</v>
      </c>
      <c r="AL186" s="151" t="s">
        <v>1718</v>
      </c>
      <c r="AN186" s="155">
        <f t="shared" si="46"/>
        <v>0.35000000000000003</v>
      </c>
      <c r="AO186" s="156">
        <f t="shared" si="47"/>
        <v>1.53</v>
      </c>
      <c r="AQ186" s="150">
        <v>350</v>
      </c>
      <c r="AR186" s="151" t="s">
        <v>162</v>
      </c>
      <c r="AS186" s="152">
        <v>70.91</v>
      </c>
      <c r="AT186" s="152">
        <v>7.4149999999999994E-2</v>
      </c>
      <c r="AU186" s="151">
        <v>3.69</v>
      </c>
      <c r="AV186" s="151" t="s">
        <v>1675</v>
      </c>
      <c r="AW186" s="151">
        <v>2089</v>
      </c>
      <c r="AX186" s="151" t="s">
        <v>1718</v>
      </c>
      <c r="AY186" s="151">
        <v>3039</v>
      </c>
      <c r="AZ186" s="151" t="s">
        <v>1718</v>
      </c>
      <c r="BB186" s="155">
        <f t="shared" si="48"/>
        <v>0.35000000000000003</v>
      </c>
      <c r="BC186" s="156">
        <f t="shared" si="49"/>
        <v>3.69</v>
      </c>
      <c r="BE186" s="150">
        <v>350</v>
      </c>
      <c r="BF186" s="151" t="s">
        <v>162</v>
      </c>
      <c r="BG186" s="152">
        <v>574.20000000000005</v>
      </c>
      <c r="BH186" s="152">
        <v>18.87</v>
      </c>
      <c r="BI186" s="151">
        <v>7880</v>
      </c>
      <c r="BJ186" s="151" t="s">
        <v>1718</v>
      </c>
      <c r="BK186" s="151">
        <v>1364</v>
      </c>
      <c r="BL186" s="151" t="s">
        <v>1718</v>
      </c>
      <c r="BM186" s="151">
        <v>1490</v>
      </c>
      <c r="BN186" s="151" t="s">
        <v>1718</v>
      </c>
      <c r="BP186" s="155">
        <f t="shared" si="50"/>
        <v>0.35000000000000003</v>
      </c>
      <c r="BQ186" s="156">
        <f t="shared" si="51"/>
        <v>0.78800000000000003</v>
      </c>
      <c r="BS186" s="150">
        <v>350</v>
      </c>
      <c r="BT186" s="151" t="s">
        <v>162</v>
      </c>
      <c r="BU186" s="152">
        <v>593.20000000000005</v>
      </c>
      <c r="BV186" s="152">
        <v>52.78</v>
      </c>
      <c r="BW186" s="151">
        <v>6618</v>
      </c>
      <c r="BX186" s="151" t="s">
        <v>1718</v>
      </c>
      <c r="BY186" s="151">
        <v>1414</v>
      </c>
      <c r="BZ186" s="151" t="s">
        <v>1718</v>
      </c>
      <c r="CA186" s="151">
        <v>1413</v>
      </c>
      <c r="CB186" s="151" t="s">
        <v>1718</v>
      </c>
      <c r="CD186" s="155">
        <f t="shared" si="52"/>
        <v>0.35000000000000003</v>
      </c>
      <c r="CE186" s="156">
        <f t="shared" si="53"/>
        <v>0.66180000000000005</v>
      </c>
      <c r="CG186" s="150">
        <v>350</v>
      </c>
      <c r="CH186" s="151" t="s">
        <v>162</v>
      </c>
      <c r="CI186" s="152">
        <v>494</v>
      </c>
      <c r="CJ186" s="152">
        <v>71.28</v>
      </c>
      <c r="CK186" s="151">
        <v>6702</v>
      </c>
      <c r="CL186" s="151" t="s">
        <v>1718</v>
      </c>
      <c r="CM186" s="151">
        <v>1507</v>
      </c>
      <c r="CN186" s="151" t="s">
        <v>1718</v>
      </c>
      <c r="CO186" s="151">
        <v>1445</v>
      </c>
      <c r="CP186" s="151" t="s">
        <v>1718</v>
      </c>
      <c r="CR186" s="155">
        <f t="shared" si="54"/>
        <v>0.35000000000000003</v>
      </c>
      <c r="CS186" s="156">
        <f t="shared" si="55"/>
        <v>0.67020000000000002</v>
      </c>
      <c r="CU186" s="151">
        <v>350</v>
      </c>
      <c r="CV186" s="152" t="s">
        <v>162</v>
      </c>
      <c r="CW186" s="152">
        <v>597.29999999999995</v>
      </c>
      <c r="CX186" s="152">
        <v>307.7</v>
      </c>
      <c r="CY186" s="151">
        <v>3525</v>
      </c>
      <c r="CZ186" s="151" t="s">
        <v>1718</v>
      </c>
      <c r="DA186" s="151">
        <v>877</v>
      </c>
      <c r="DB186" s="151" t="s">
        <v>1718</v>
      </c>
      <c r="DC186" s="151">
        <v>724</v>
      </c>
      <c r="DD186" t="s">
        <v>1718</v>
      </c>
      <c r="DF186" s="155">
        <f t="shared" si="56"/>
        <v>0.35000000000000003</v>
      </c>
      <c r="DG186" s="156">
        <f t="shared" si="57"/>
        <v>0.35250000000000004</v>
      </c>
      <c r="DI186" s="151">
        <v>350</v>
      </c>
      <c r="DJ186" s="152" t="s">
        <v>162</v>
      </c>
      <c r="DK186" s="152">
        <v>604.6</v>
      </c>
      <c r="DL186" s="152">
        <v>289.7</v>
      </c>
      <c r="DM186" s="151">
        <v>3569</v>
      </c>
      <c r="DN186" s="151" t="s">
        <v>1718</v>
      </c>
      <c r="DO186" s="151">
        <v>851</v>
      </c>
      <c r="DP186" s="151" t="s">
        <v>1718</v>
      </c>
      <c r="DQ186" s="151">
        <v>708</v>
      </c>
      <c r="DR186" t="s">
        <v>1718</v>
      </c>
      <c r="DT186" s="155">
        <f t="shared" si="58"/>
        <v>0.35000000000000003</v>
      </c>
      <c r="DU186" s="156">
        <f t="shared" si="59"/>
        <v>0.3569</v>
      </c>
    </row>
    <row r="187" spans="1:125" x14ac:dyDescent="0.2">
      <c r="A187" s="150">
        <v>375</v>
      </c>
      <c r="B187" s="151" t="s">
        <v>162</v>
      </c>
      <c r="C187" s="152">
        <v>498.7</v>
      </c>
      <c r="D187" s="152">
        <v>79.430000000000007</v>
      </c>
      <c r="E187" s="151">
        <v>7040</v>
      </c>
      <c r="F187" s="151" t="s">
        <v>1718</v>
      </c>
      <c r="G187" s="151">
        <v>1660</v>
      </c>
      <c r="H187" s="151" t="s">
        <v>1718</v>
      </c>
      <c r="I187" s="151">
        <v>1584</v>
      </c>
      <c r="J187" s="151" t="s">
        <v>1718</v>
      </c>
      <c r="L187" s="155">
        <f t="shared" si="42"/>
        <v>0.375</v>
      </c>
      <c r="M187" s="156">
        <f t="shared" si="43"/>
        <v>0.70400000000000007</v>
      </c>
      <c r="O187" s="150">
        <v>375</v>
      </c>
      <c r="P187" s="151" t="s">
        <v>162</v>
      </c>
      <c r="Q187" s="152">
        <v>582.6</v>
      </c>
      <c r="R187" s="152">
        <v>59.82</v>
      </c>
      <c r="S187" s="151">
        <v>6852</v>
      </c>
      <c r="T187" s="151" t="s">
        <v>1718</v>
      </c>
      <c r="U187" s="151">
        <v>1514</v>
      </c>
      <c r="V187" s="151" t="s">
        <v>1718</v>
      </c>
      <c r="W187" s="151">
        <v>1493</v>
      </c>
      <c r="X187" s="151" t="s">
        <v>1718</v>
      </c>
      <c r="Z187" s="155">
        <f t="shared" si="44"/>
        <v>0.375</v>
      </c>
      <c r="AA187" s="156">
        <f t="shared" si="45"/>
        <v>0.68520000000000003</v>
      </c>
      <c r="AC187" s="150">
        <v>375</v>
      </c>
      <c r="AD187" s="151" t="s">
        <v>162</v>
      </c>
      <c r="AE187" s="152">
        <v>332.7</v>
      </c>
      <c r="AF187" s="152">
        <v>0.94530000000000003</v>
      </c>
      <c r="AG187" s="151">
        <v>1.6</v>
      </c>
      <c r="AH187" s="151" t="s">
        <v>1675</v>
      </c>
      <c r="AI187" s="151">
        <v>1798</v>
      </c>
      <c r="AJ187" s="151" t="s">
        <v>1718</v>
      </c>
      <c r="AK187" s="151">
        <v>2224</v>
      </c>
      <c r="AL187" s="151" t="s">
        <v>1718</v>
      </c>
      <c r="AN187" s="155">
        <f t="shared" si="46"/>
        <v>0.375</v>
      </c>
      <c r="AO187" s="156">
        <f t="shared" si="47"/>
        <v>1.6</v>
      </c>
      <c r="AQ187" s="150">
        <v>375</v>
      </c>
      <c r="AR187" s="151" t="s">
        <v>162</v>
      </c>
      <c r="AS187" s="152">
        <v>68.56</v>
      </c>
      <c r="AT187" s="152">
        <v>7.0059999999999997E-2</v>
      </c>
      <c r="AU187" s="151">
        <v>4.05</v>
      </c>
      <c r="AV187" s="151" t="s">
        <v>1675</v>
      </c>
      <c r="AW187" s="151">
        <v>2219</v>
      </c>
      <c r="AX187" s="151" t="s">
        <v>1718</v>
      </c>
      <c r="AY187" s="151">
        <v>3248</v>
      </c>
      <c r="AZ187" s="151" t="s">
        <v>1718</v>
      </c>
      <c r="BB187" s="155">
        <f t="shared" si="48"/>
        <v>0.375</v>
      </c>
      <c r="BC187" s="156">
        <f t="shared" si="49"/>
        <v>4.05</v>
      </c>
      <c r="BE187" s="150">
        <v>375</v>
      </c>
      <c r="BF187" s="151" t="s">
        <v>162</v>
      </c>
      <c r="BG187" s="152">
        <v>599.20000000000005</v>
      </c>
      <c r="BH187" s="152">
        <v>17.97</v>
      </c>
      <c r="BI187" s="151">
        <v>8274</v>
      </c>
      <c r="BJ187" s="151" t="s">
        <v>1718</v>
      </c>
      <c r="BK187" s="151">
        <v>1388</v>
      </c>
      <c r="BL187" s="151" t="s">
        <v>1718</v>
      </c>
      <c r="BM187" s="151">
        <v>1531</v>
      </c>
      <c r="BN187" s="151" t="s">
        <v>1718</v>
      </c>
      <c r="BP187" s="155">
        <f t="shared" si="50"/>
        <v>0.375</v>
      </c>
      <c r="BQ187" s="156">
        <f t="shared" si="51"/>
        <v>0.82740000000000002</v>
      </c>
      <c r="BS187" s="150">
        <v>375</v>
      </c>
      <c r="BT187" s="151" t="s">
        <v>162</v>
      </c>
      <c r="BU187" s="152">
        <v>620.6</v>
      </c>
      <c r="BV187" s="152">
        <v>50.44</v>
      </c>
      <c r="BW187" s="151">
        <v>6970</v>
      </c>
      <c r="BX187" s="151" t="s">
        <v>1718</v>
      </c>
      <c r="BY187" s="151">
        <v>1446</v>
      </c>
      <c r="BZ187" s="151" t="s">
        <v>1718</v>
      </c>
      <c r="CA187" s="151">
        <v>1462</v>
      </c>
      <c r="CB187" s="151" t="s">
        <v>1718</v>
      </c>
      <c r="CD187" s="155">
        <f t="shared" si="52"/>
        <v>0.375</v>
      </c>
      <c r="CE187" s="156">
        <f t="shared" si="53"/>
        <v>0.69700000000000006</v>
      </c>
      <c r="CG187" s="150">
        <v>375</v>
      </c>
      <c r="CH187" s="151" t="s">
        <v>162</v>
      </c>
      <c r="CI187" s="152">
        <v>519.4</v>
      </c>
      <c r="CJ187" s="152">
        <v>68.209999999999994</v>
      </c>
      <c r="CK187" s="151">
        <v>7100</v>
      </c>
      <c r="CL187" s="151" t="s">
        <v>1718</v>
      </c>
      <c r="CM187" s="151">
        <v>1552</v>
      </c>
      <c r="CN187" s="151" t="s">
        <v>1718</v>
      </c>
      <c r="CO187" s="151">
        <v>1507</v>
      </c>
      <c r="CP187" s="151" t="s">
        <v>1718</v>
      </c>
      <c r="CR187" s="155">
        <f t="shared" si="54"/>
        <v>0.375</v>
      </c>
      <c r="CS187" s="156">
        <f t="shared" si="55"/>
        <v>0.71000000000000008</v>
      </c>
      <c r="CU187" s="151">
        <v>375</v>
      </c>
      <c r="CV187" s="152" t="s">
        <v>162</v>
      </c>
      <c r="CW187" s="152">
        <v>615.4</v>
      </c>
      <c r="CX187" s="152">
        <v>297.2</v>
      </c>
      <c r="CY187" s="151">
        <v>3773</v>
      </c>
      <c r="CZ187" s="151" t="s">
        <v>1718</v>
      </c>
      <c r="DA187" s="151">
        <v>918</v>
      </c>
      <c r="DB187" s="151" t="s">
        <v>1718</v>
      </c>
      <c r="DC187" s="151">
        <v>765</v>
      </c>
      <c r="DD187" t="s">
        <v>1718</v>
      </c>
      <c r="DF187" s="155">
        <f t="shared" si="56"/>
        <v>0.375</v>
      </c>
      <c r="DG187" s="156">
        <f t="shared" si="57"/>
        <v>0.37730000000000002</v>
      </c>
      <c r="DI187" s="151">
        <v>375</v>
      </c>
      <c r="DJ187" s="152" t="s">
        <v>162</v>
      </c>
      <c r="DK187" s="152">
        <v>620.9</v>
      </c>
      <c r="DL187" s="152">
        <v>279.7</v>
      </c>
      <c r="DM187" s="151">
        <v>3822</v>
      </c>
      <c r="DN187" s="151" t="s">
        <v>1718</v>
      </c>
      <c r="DO187" s="151">
        <v>892</v>
      </c>
      <c r="DP187" s="151" t="s">
        <v>1718</v>
      </c>
      <c r="DQ187" s="151">
        <v>749</v>
      </c>
      <c r="DR187" t="s">
        <v>1718</v>
      </c>
      <c r="DT187" s="155">
        <f t="shared" si="58"/>
        <v>0.375</v>
      </c>
      <c r="DU187" s="156">
        <f t="shared" si="59"/>
        <v>0.38220000000000004</v>
      </c>
    </row>
    <row r="188" spans="1:125" x14ac:dyDescent="0.2">
      <c r="A188" s="150">
        <v>400</v>
      </c>
      <c r="B188" s="151" t="s">
        <v>162</v>
      </c>
      <c r="C188" s="152">
        <v>522.70000000000005</v>
      </c>
      <c r="D188" s="152">
        <v>76.25</v>
      </c>
      <c r="E188" s="151">
        <v>7426</v>
      </c>
      <c r="F188" s="151" t="s">
        <v>1718</v>
      </c>
      <c r="G188" s="151">
        <v>1707</v>
      </c>
      <c r="H188" s="151" t="s">
        <v>1718</v>
      </c>
      <c r="I188" s="151">
        <v>1647</v>
      </c>
      <c r="J188" s="151" t="s">
        <v>1718</v>
      </c>
      <c r="L188" s="155">
        <f t="shared" si="42"/>
        <v>0.4</v>
      </c>
      <c r="M188" s="156">
        <f t="shared" si="43"/>
        <v>0.74260000000000004</v>
      </c>
      <c r="O188" s="150">
        <v>400</v>
      </c>
      <c r="P188" s="151" t="s">
        <v>162</v>
      </c>
      <c r="Q188" s="152">
        <v>611.9</v>
      </c>
      <c r="R188" s="152">
        <v>57.36</v>
      </c>
      <c r="S188" s="151">
        <v>7202</v>
      </c>
      <c r="T188" s="151" t="s">
        <v>1718</v>
      </c>
      <c r="U188" s="151">
        <v>1549</v>
      </c>
      <c r="V188" s="151" t="s">
        <v>1718</v>
      </c>
      <c r="W188" s="151">
        <v>1545</v>
      </c>
      <c r="X188" s="151" t="s">
        <v>1718</v>
      </c>
      <c r="Z188" s="155">
        <f t="shared" si="44"/>
        <v>0.4</v>
      </c>
      <c r="AA188" s="156">
        <f t="shared" si="45"/>
        <v>0.72020000000000006</v>
      </c>
      <c r="AC188" s="150">
        <v>400</v>
      </c>
      <c r="AD188" s="151" t="s">
        <v>162</v>
      </c>
      <c r="AE188" s="152">
        <v>335.1</v>
      </c>
      <c r="AF188" s="152">
        <v>0.8982</v>
      </c>
      <c r="AG188" s="151">
        <v>1.68</v>
      </c>
      <c r="AH188" s="151" t="s">
        <v>1675</v>
      </c>
      <c r="AI188" s="151">
        <v>1813</v>
      </c>
      <c r="AJ188" s="151" t="s">
        <v>1718</v>
      </c>
      <c r="AK188" s="151">
        <v>2256</v>
      </c>
      <c r="AL188" s="151" t="s">
        <v>1718</v>
      </c>
      <c r="AN188" s="155">
        <f t="shared" si="46"/>
        <v>0.4</v>
      </c>
      <c r="AO188" s="156">
        <f t="shared" si="47"/>
        <v>1.68</v>
      </c>
      <c r="AQ188" s="150">
        <v>400</v>
      </c>
      <c r="AR188" s="151" t="s">
        <v>162</v>
      </c>
      <c r="AS188" s="152">
        <v>66.400000000000006</v>
      </c>
      <c r="AT188" s="152">
        <v>6.6430000000000003E-2</v>
      </c>
      <c r="AU188" s="151">
        <v>4.41</v>
      </c>
      <c r="AV188" s="151" t="s">
        <v>1675</v>
      </c>
      <c r="AW188" s="151">
        <v>2351</v>
      </c>
      <c r="AX188" s="151" t="s">
        <v>1718</v>
      </c>
      <c r="AY188" s="151">
        <v>3463</v>
      </c>
      <c r="AZ188" s="151" t="s">
        <v>1718</v>
      </c>
      <c r="BB188" s="155">
        <f t="shared" si="48"/>
        <v>0.4</v>
      </c>
      <c r="BC188" s="156">
        <f t="shared" si="49"/>
        <v>4.41</v>
      </c>
      <c r="BE188" s="150">
        <v>400</v>
      </c>
      <c r="BF188" s="151" t="s">
        <v>162</v>
      </c>
      <c r="BG188" s="152">
        <v>623.5</v>
      </c>
      <c r="BH188" s="152">
        <v>17.170000000000002</v>
      </c>
      <c r="BI188" s="151">
        <v>8654</v>
      </c>
      <c r="BJ188" s="151" t="s">
        <v>1718</v>
      </c>
      <c r="BK188" s="151">
        <v>1410</v>
      </c>
      <c r="BL188" s="151" t="s">
        <v>1718</v>
      </c>
      <c r="BM188" s="151">
        <v>1569</v>
      </c>
      <c r="BN188" s="151" t="s">
        <v>1718</v>
      </c>
      <c r="BP188" s="155">
        <f t="shared" si="50"/>
        <v>0.4</v>
      </c>
      <c r="BQ188" s="156">
        <f t="shared" si="51"/>
        <v>0.86540000000000006</v>
      </c>
      <c r="BS188" s="150">
        <v>400</v>
      </c>
      <c r="BT188" s="151" t="s">
        <v>162</v>
      </c>
      <c r="BU188" s="152">
        <v>647.20000000000005</v>
      </c>
      <c r="BV188" s="152">
        <v>48.33</v>
      </c>
      <c r="BW188" s="151">
        <v>7311</v>
      </c>
      <c r="BX188" s="151" t="s">
        <v>1718</v>
      </c>
      <c r="BY188" s="151">
        <v>1476</v>
      </c>
      <c r="BZ188" s="151" t="s">
        <v>1718</v>
      </c>
      <c r="CA188" s="151">
        <v>1507</v>
      </c>
      <c r="CB188" s="151" t="s">
        <v>1718</v>
      </c>
      <c r="CD188" s="155">
        <f t="shared" si="52"/>
        <v>0.4</v>
      </c>
      <c r="CE188" s="156">
        <f t="shared" si="53"/>
        <v>0.73110000000000008</v>
      </c>
      <c r="CG188" s="150">
        <v>400</v>
      </c>
      <c r="CH188" s="151" t="s">
        <v>162</v>
      </c>
      <c r="CI188" s="152">
        <v>544.79999999999995</v>
      </c>
      <c r="CJ188" s="152">
        <v>65.430000000000007</v>
      </c>
      <c r="CK188" s="151">
        <v>7484</v>
      </c>
      <c r="CL188" s="151" t="s">
        <v>1718</v>
      </c>
      <c r="CM188" s="151">
        <v>1593</v>
      </c>
      <c r="CN188" s="151" t="s">
        <v>1718</v>
      </c>
      <c r="CO188" s="151">
        <v>1566</v>
      </c>
      <c r="CP188" s="151" t="s">
        <v>1718</v>
      </c>
      <c r="CR188" s="155">
        <f t="shared" si="54"/>
        <v>0.4</v>
      </c>
      <c r="CS188" s="156">
        <f t="shared" si="55"/>
        <v>0.74840000000000007</v>
      </c>
      <c r="CU188" s="151">
        <v>400</v>
      </c>
      <c r="CV188" s="152" t="s">
        <v>162</v>
      </c>
      <c r="CW188" s="152">
        <v>633.4</v>
      </c>
      <c r="CX188" s="152">
        <v>287.39999999999998</v>
      </c>
      <c r="CY188" s="151">
        <v>4020</v>
      </c>
      <c r="CZ188" s="151" t="s">
        <v>1718</v>
      </c>
      <c r="DA188" s="151">
        <v>958</v>
      </c>
      <c r="DB188" s="151" t="s">
        <v>1718</v>
      </c>
      <c r="DC188" s="151">
        <v>806</v>
      </c>
      <c r="DD188" t="s">
        <v>1718</v>
      </c>
      <c r="DF188" s="155">
        <f t="shared" si="56"/>
        <v>0.4</v>
      </c>
      <c r="DG188" s="156">
        <f t="shared" si="57"/>
        <v>0.40200000000000002</v>
      </c>
      <c r="DI188" s="151">
        <v>400</v>
      </c>
      <c r="DJ188" s="152" t="s">
        <v>162</v>
      </c>
      <c r="DK188" s="152">
        <v>637.4</v>
      </c>
      <c r="DL188" s="152">
        <v>270.39999999999998</v>
      </c>
      <c r="DM188" s="151">
        <v>4074</v>
      </c>
      <c r="DN188" s="151" t="s">
        <v>1718</v>
      </c>
      <c r="DO188" s="151">
        <v>931</v>
      </c>
      <c r="DP188" s="151" t="s">
        <v>1718</v>
      </c>
      <c r="DQ188" s="151">
        <v>789</v>
      </c>
      <c r="DR188" t="s">
        <v>1718</v>
      </c>
      <c r="DT188" s="155">
        <f t="shared" si="58"/>
        <v>0.4</v>
      </c>
      <c r="DU188" s="156">
        <f t="shared" si="59"/>
        <v>0.40740000000000004</v>
      </c>
    </row>
    <row r="189" spans="1:125" x14ac:dyDescent="0.2">
      <c r="A189" s="150">
        <v>450</v>
      </c>
      <c r="B189" s="151" t="s">
        <v>162</v>
      </c>
      <c r="C189" s="152">
        <v>570.29999999999995</v>
      </c>
      <c r="D189" s="152">
        <v>70.680000000000007</v>
      </c>
      <c r="E189" s="151">
        <v>8163</v>
      </c>
      <c r="F189" s="151" t="s">
        <v>1718</v>
      </c>
      <c r="G189" s="151">
        <v>1790</v>
      </c>
      <c r="H189" s="151" t="s">
        <v>1718</v>
      </c>
      <c r="I189" s="151">
        <v>1763</v>
      </c>
      <c r="J189" s="151" t="s">
        <v>1718</v>
      </c>
      <c r="L189" s="155">
        <f t="shared" si="42"/>
        <v>0.45</v>
      </c>
      <c r="M189" s="156">
        <f t="shared" si="43"/>
        <v>0.81630000000000003</v>
      </c>
      <c r="O189" s="150">
        <v>450</v>
      </c>
      <c r="P189" s="151" t="s">
        <v>162</v>
      </c>
      <c r="Q189" s="152">
        <v>669.7</v>
      </c>
      <c r="R189" s="152">
        <v>53.06</v>
      </c>
      <c r="S189" s="151">
        <v>7868</v>
      </c>
      <c r="T189" s="151" t="s">
        <v>1718</v>
      </c>
      <c r="U189" s="151">
        <v>1613</v>
      </c>
      <c r="V189" s="151" t="s">
        <v>1718</v>
      </c>
      <c r="W189" s="151">
        <v>1639</v>
      </c>
      <c r="X189" s="151" t="s">
        <v>1718</v>
      </c>
      <c r="Z189" s="155">
        <f t="shared" si="44"/>
        <v>0.45</v>
      </c>
      <c r="AA189" s="156">
        <f t="shared" si="45"/>
        <v>0.78680000000000005</v>
      </c>
      <c r="AC189" s="150">
        <v>450</v>
      </c>
      <c r="AD189" s="151" t="s">
        <v>162</v>
      </c>
      <c r="AE189" s="152">
        <v>337.9</v>
      </c>
      <c r="AF189" s="152">
        <v>0.81769999999999998</v>
      </c>
      <c r="AG189" s="151">
        <v>1.82</v>
      </c>
      <c r="AH189" s="151" t="s">
        <v>1675</v>
      </c>
      <c r="AI189" s="151">
        <v>1847</v>
      </c>
      <c r="AJ189" s="151" t="s">
        <v>1718</v>
      </c>
      <c r="AK189" s="151">
        <v>2317</v>
      </c>
      <c r="AL189" s="151" t="s">
        <v>1718</v>
      </c>
      <c r="AN189" s="155">
        <f t="shared" si="46"/>
        <v>0.45</v>
      </c>
      <c r="AO189" s="156">
        <f t="shared" si="47"/>
        <v>1.82</v>
      </c>
      <c r="AQ189" s="150">
        <v>450</v>
      </c>
      <c r="AR189" s="151" t="s">
        <v>162</v>
      </c>
      <c r="AS189" s="152">
        <v>62.57</v>
      </c>
      <c r="AT189" s="152">
        <v>6.0269999999999997E-2</v>
      </c>
      <c r="AU189" s="151">
        <v>5.18</v>
      </c>
      <c r="AV189" s="151" t="s">
        <v>1675</v>
      </c>
      <c r="AW189" s="151">
        <v>2727</v>
      </c>
      <c r="AX189" s="151" t="s">
        <v>1718</v>
      </c>
      <c r="AY189" s="151">
        <v>3908</v>
      </c>
      <c r="AZ189" s="151" t="s">
        <v>1718</v>
      </c>
      <c r="BB189" s="155">
        <f t="shared" si="48"/>
        <v>0.45</v>
      </c>
      <c r="BC189" s="156">
        <f t="shared" si="49"/>
        <v>5.18</v>
      </c>
      <c r="BE189" s="150">
        <v>450</v>
      </c>
      <c r="BF189" s="151" t="s">
        <v>162</v>
      </c>
      <c r="BG189" s="152">
        <v>669.7</v>
      </c>
      <c r="BH189" s="152">
        <v>15.77</v>
      </c>
      <c r="BI189" s="151">
        <v>9377</v>
      </c>
      <c r="BJ189" s="151" t="s">
        <v>1718</v>
      </c>
      <c r="BK189" s="151">
        <v>1450</v>
      </c>
      <c r="BL189" s="151" t="s">
        <v>1718</v>
      </c>
      <c r="BM189" s="151">
        <v>1638</v>
      </c>
      <c r="BN189" s="151" t="s">
        <v>1718</v>
      </c>
      <c r="BP189" s="155">
        <f t="shared" si="50"/>
        <v>0.45</v>
      </c>
      <c r="BQ189" s="156">
        <f t="shared" si="51"/>
        <v>0.93770000000000009</v>
      </c>
      <c r="BS189" s="150">
        <v>450</v>
      </c>
      <c r="BT189" s="151" t="s">
        <v>162</v>
      </c>
      <c r="BU189" s="152">
        <v>697.9</v>
      </c>
      <c r="BV189" s="152">
        <v>44.65</v>
      </c>
      <c r="BW189" s="151">
        <v>7963</v>
      </c>
      <c r="BX189" s="151" t="s">
        <v>1718</v>
      </c>
      <c r="BY189" s="151">
        <v>1530</v>
      </c>
      <c r="BZ189" s="151" t="s">
        <v>1718</v>
      </c>
      <c r="CA189" s="151">
        <v>1590</v>
      </c>
      <c r="CB189" s="151" t="s">
        <v>1718</v>
      </c>
      <c r="CD189" s="155">
        <f t="shared" si="52"/>
        <v>0.45</v>
      </c>
      <c r="CE189" s="156">
        <f t="shared" si="53"/>
        <v>0.79630000000000001</v>
      </c>
      <c r="CG189" s="150">
        <v>450</v>
      </c>
      <c r="CH189" s="151" t="s">
        <v>162</v>
      </c>
      <c r="CI189" s="152">
        <v>595.5</v>
      </c>
      <c r="CJ189" s="152">
        <v>60.57</v>
      </c>
      <c r="CK189" s="151">
        <v>8215</v>
      </c>
      <c r="CL189" s="151" t="s">
        <v>1718</v>
      </c>
      <c r="CM189" s="151">
        <v>1667</v>
      </c>
      <c r="CN189" s="151" t="s">
        <v>1718</v>
      </c>
      <c r="CO189" s="151">
        <v>1672</v>
      </c>
      <c r="CP189" s="151" t="s">
        <v>1718</v>
      </c>
      <c r="CR189" s="155">
        <f t="shared" si="54"/>
        <v>0.45</v>
      </c>
      <c r="CS189" s="156">
        <f t="shared" si="55"/>
        <v>0.82150000000000001</v>
      </c>
      <c r="CU189" s="151">
        <v>450</v>
      </c>
      <c r="CV189" s="152" t="s">
        <v>162</v>
      </c>
      <c r="CW189" s="152">
        <v>669.4</v>
      </c>
      <c r="CX189" s="152">
        <v>270</v>
      </c>
      <c r="CY189" s="151">
        <v>4509</v>
      </c>
      <c r="CZ189" s="151" t="s">
        <v>1718</v>
      </c>
      <c r="DA189" s="151">
        <v>1034</v>
      </c>
      <c r="DB189" s="151" t="s">
        <v>1718</v>
      </c>
      <c r="DC189" s="151">
        <v>885</v>
      </c>
      <c r="DD189" t="s">
        <v>1718</v>
      </c>
      <c r="DF189" s="155">
        <f t="shared" si="56"/>
        <v>0.45</v>
      </c>
      <c r="DG189" s="156">
        <f t="shared" si="57"/>
        <v>0.45090000000000002</v>
      </c>
      <c r="DI189" s="151">
        <v>450</v>
      </c>
      <c r="DJ189" s="152" t="s">
        <v>162</v>
      </c>
      <c r="DK189" s="152">
        <v>671</v>
      </c>
      <c r="DL189" s="152">
        <v>253.8</v>
      </c>
      <c r="DM189" s="151">
        <v>4574</v>
      </c>
      <c r="DN189" s="151" t="s">
        <v>1718</v>
      </c>
      <c r="DO189" s="151">
        <v>1006</v>
      </c>
      <c r="DP189" s="151" t="s">
        <v>1718</v>
      </c>
      <c r="DQ189" s="151">
        <v>867</v>
      </c>
      <c r="DR189" t="s">
        <v>1718</v>
      </c>
      <c r="DT189" s="155">
        <f t="shared" si="58"/>
        <v>0.45</v>
      </c>
      <c r="DU189" s="156">
        <f t="shared" si="59"/>
        <v>0.45740000000000003</v>
      </c>
    </row>
    <row r="190" spans="1:125" x14ac:dyDescent="0.2">
      <c r="A190" s="150">
        <v>500</v>
      </c>
      <c r="B190" s="151" t="s">
        <v>162</v>
      </c>
      <c r="C190" s="152">
        <v>617.20000000000005</v>
      </c>
      <c r="D190" s="152">
        <v>65.959999999999994</v>
      </c>
      <c r="E190" s="151">
        <v>8860</v>
      </c>
      <c r="F190" s="151" t="s">
        <v>1718</v>
      </c>
      <c r="G190" s="151">
        <v>1861</v>
      </c>
      <c r="H190" s="151" t="s">
        <v>1718</v>
      </c>
      <c r="I190" s="151">
        <v>1867</v>
      </c>
      <c r="J190" s="151" t="s">
        <v>1718</v>
      </c>
      <c r="L190" s="155">
        <f t="shared" si="42"/>
        <v>0.5</v>
      </c>
      <c r="M190" s="156">
        <f t="shared" si="43"/>
        <v>0.88600000000000001</v>
      </c>
      <c r="O190" s="150">
        <v>500</v>
      </c>
      <c r="P190" s="151" t="s">
        <v>162</v>
      </c>
      <c r="Q190" s="152">
        <v>725.7</v>
      </c>
      <c r="R190" s="152">
        <v>49.44</v>
      </c>
      <c r="S190" s="151">
        <v>8491</v>
      </c>
      <c r="T190" s="151" t="s">
        <v>1718</v>
      </c>
      <c r="U190" s="151">
        <v>1666</v>
      </c>
      <c r="V190" s="151" t="s">
        <v>1718</v>
      </c>
      <c r="W190" s="151">
        <v>1722</v>
      </c>
      <c r="X190" s="151" t="s">
        <v>1718</v>
      </c>
      <c r="Z190" s="155">
        <f t="shared" si="44"/>
        <v>0.5</v>
      </c>
      <c r="AA190" s="156">
        <f t="shared" si="45"/>
        <v>0.84910000000000008</v>
      </c>
      <c r="AC190" s="150">
        <v>500</v>
      </c>
      <c r="AD190" s="151" t="s">
        <v>162</v>
      </c>
      <c r="AE190" s="152">
        <v>338.7</v>
      </c>
      <c r="AF190" s="152">
        <v>0.75149999999999995</v>
      </c>
      <c r="AG190" s="151">
        <v>1.97</v>
      </c>
      <c r="AH190" s="151" t="s">
        <v>1675</v>
      </c>
      <c r="AI190" s="151">
        <v>1879</v>
      </c>
      <c r="AJ190" s="151" t="s">
        <v>1718</v>
      </c>
      <c r="AK190" s="151">
        <v>2373</v>
      </c>
      <c r="AL190" s="151" t="s">
        <v>1718</v>
      </c>
      <c r="AN190" s="155">
        <f t="shared" si="46"/>
        <v>0.5</v>
      </c>
      <c r="AO190" s="156">
        <f t="shared" si="47"/>
        <v>1.97</v>
      </c>
      <c r="AQ190" s="150">
        <v>500</v>
      </c>
      <c r="AR190" s="151" t="s">
        <v>162</v>
      </c>
      <c r="AS190" s="152">
        <v>59.28</v>
      </c>
      <c r="AT190" s="152">
        <v>5.5219999999999998E-2</v>
      </c>
      <c r="AU190" s="151">
        <v>5.99</v>
      </c>
      <c r="AV190" s="151" t="s">
        <v>1675</v>
      </c>
      <c r="AW190" s="151">
        <v>3098</v>
      </c>
      <c r="AX190" s="151" t="s">
        <v>1718</v>
      </c>
      <c r="AY190" s="151">
        <v>4373</v>
      </c>
      <c r="AZ190" s="151" t="s">
        <v>1718</v>
      </c>
      <c r="BB190" s="155">
        <f t="shared" si="48"/>
        <v>0.5</v>
      </c>
      <c r="BC190" s="156">
        <f t="shared" si="49"/>
        <v>5.99</v>
      </c>
      <c r="BE190" s="150">
        <v>500</v>
      </c>
      <c r="BF190" s="151" t="s">
        <v>162</v>
      </c>
      <c r="BG190" s="152">
        <v>712.8</v>
      </c>
      <c r="BH190" s="152">
        <v>14.61</v>
      </c>
      <c r="BI190" s="151">
        <v>1.01</v>
      </c>
      <c r="BJ190" s="151" t="s">
        <v>1675</v>
      </c>
      <c r="BK190" s="151">
        <v>1484</v>
      </c>
      <c r="BL190" s="151" t="s">
        <v>1718</v>
      </c>
      <c r="BM190" s="151">
        <v>1698</v>
      </c>
      <c r="BN190" s="151" t="s">
        <v>1718</v>
      </c>
      <c r="BP190" s="155">
        <f t="shared" si="50"/>
        <v>0.5</v>
      </c>
      <c r="BQ190" s="156">
        <f t="shared" si="51"/>
        <v>1.01</v>
      </c>
      <c r="BS190" s="150">
        <v>500</v>
      </c>
      <c r="BT190" s="151" t="s">
        <v>162</v>
      </c>
      <c r="BU190" s="152">
        <v>745.9</v>
      </c>
      <c r="BV190" s="152">
        <v>41.56</v>
      </c>
      <c r="BW190" s="151">
        <v>8579</v>
      </c>
      <c r="BX190" s="151" t="s">
        <v>1718</v>
      </c>
      <c r="BY190" s="151">
        <v>1576</v>
      </c>
      <c r="BZ190" s="151" t="s">
        <v>1718</v>
      </c>
      <c r="CA190" s="151">
        <v>1664</v>
      </c>
      <c r="CB190" s="151" t="s">
        <v>1718</v>
      </c>
      <c r="CD190" s="155">
        <f t="shared" si="52"/>
        <v>0.5</v>
      </c>
      <c r="CE190" s="156">
        <f t="shared" si="53"/>
        <v>0.8579</v>
      </c>
      <c r="CG190" s="150">
        <v>500</v>
      </c>
      <c r="CH190" s="151" t="s">
        <v>162</v>
      </c>
      <c r="CI190" s="152">
        <v>645.4</v>
      </c>
      <c r="CJ190" s="152">
        <v>56.47</v>
      </c>
      <c r="CK190" s="151">
        <v>8901</v>
      </c>
      <c r="CL190" s="151" t="s">
        <v>1718</v>
      </c>
      <c r="CM190" s="151">
        <v>1730</v>
      </c>
      <c r="CN190" s="151" t="s">
        <v>1718</v>
      </c>
      <c r="CO190" s="151">
        <v>1766</v>
      </c>
      <c r="CP190" s="151" t="s">
        <v>1718</v>
      </c>
      <c r="CR190" s="155">
        <f t="shared" si="54"/>
        <v>0.5</v>
      </c>
      <c r="CS190" s="156">
        <f t="shared" si="55"/>
        <v>0.8901</v>
      </c>
      <c r="CU190" s="151">
        <v>500</v>
      </c>
      <c r="CV190" s="152" t="s">
        <v>162</v>
      </c>
      <c r="CW190" s="152">
        <v>705.6</v>
      </c>
      <c r="CX190" s="152">
        <v>254.9</v>
      </c>
      <c r="CY190" s="151">
        <v>4990</v>
      </c>
      <c r="CZ190" s="151" t="s">
        <v>1718</v>
      </c>
      <c r="DA190" s="151">
        <v>1105</v>
      </c>
      <c r="DB190" s="151" t="s">
        <v>1718</v>
      </c>
      <c r="DC190" s="151">
        <v>962</v>
      </c>
      <c r="DD190" t="s">
        <v>1718</v>
      </c>
      <c r="DF190" s="155">
        <f t="shared" si="56"/>
        <v>0.5</v>
      </c>
      <c r="DG190" s="156">
        <f t="shared" si="57"/>
        <v>0.499</v>
      </c>
      <c r="DI190" s="151">
        <v>500</v>
      </c>
      <c r="DJ190" s="152" t="s">
        <v>162</v>
      </c>
      <c r="DK190" s="152">
        <v>705.4</v>
      </c>
      <c r="DL190" s="152">
        <v>239.5</v>
      </c>
      <c r="DM190" s="151">
        <v>5066</v>
      </c>
      <c r="DN190" s="151" t="s">
        <v>1718</v>
      </c>
      <c r="DO190" s="151">
        <v>1075</v>
      </c>
      <c r="DP190" s="151" t="s">
        <v>1718</v>
      </c>
      <c r="DQ190" s="151">
        <v>942</v>
      </c>
      <c r="DR190" t="s">
        <v>1718</v>
      </c>
      <c r="DT190" s="155">
        <f t="shared" si="58"/>
        <v>0.5</v>
      </c>
      <c r="DU190" s="156">
        <f t="shared" si="59"/>
        <v>0.50660000000000005</v>
      </c>
    </row>
    <row r="191" spans="1:125" x14ac:dyDescent="0.2">
      <c r="A191" s="150">
        <v>550</v>
      </c>
      <c r="B191" s="151" t="s">
        <v>162</v>
      </c>
      <c r="C191" s="152">
        <v>663.4</v>
      </c>
      <c r="D191" s="152">
        <v>61.91</v>
      </c>
      <c r="E191" s="151">
        <v>9518</v>
      </c>
      <c r="F191" s="151" t="s">
        <v>1718</v>
      </c>
      <c r="G191" s="151">
        <v>1923</v>
      </c>
      <c r="H191" s="151" t="s">
        <v>1718</v>
      </c>
      <c r="I191" s="151">
        <v>1960</v>
      </c>
      <c r="J191" s="151" t="s">
        <v>1718</v>
      </c>
      <c r="L191" s="155">
        <f t="shared" si="42"/>
        <v>0.55000000000000004</v>
      </c>
      <c r="M191" s="156">
        <f t="shared" si="43"/>
        <v>0.95180000000000009</v>
      </c>
      <c r="O191" s="150">
        <v>550</v>
      </c>
      <c r="P191" s="151" t="s">
        <v>162</v>
      </c>
      <c r="Q191" s="152">
        <v>779.6</v>
      </c>
      <c r="R191" s="152">
        <v>46.34</v>
      </c>
      <c r="S191" s="151">
        <v>9078</v>
      </c>
      <c r="T191" s="151" t="s">
        <v>1718</v>
      </c>
      <c r="U191" s="151">
        <v>1712</v>
      </c>
      <c r="V191" s="151" t="s">
        <v>1718</v>
      </c>
      <c r="W191" s="151">
        <v>1796</v>
      </c>
      <c r="X191" s="151" t="s">
        <v>1718</v>
      </c>
      <c r="Z191" s="155">
        <f t="shared" si="44"/>
        <v>0.55000000000000004</v>
      </c>
      <c r="AA191" s="156">
        <f t="shared" si="45"/>
        <v>0.90780000000000005</v>
      </c>
      <c r="AC191" s="150">
        <v>550</v>
      </c>
      <c r="AD191" s="151" t="s">
        <v>162</v>
      </c>
      <c r="AE191" s="152">
        <v>337.9</v>
      </c>
      <c r="AF191" s="152">
        <v>0.69599999999999995</v>
      </c>
      <c r="AG191" s="151">
        <v>2.12</v>
      </c>
      <c r="AH191" s="151" t="s">
        <v>1675</v>
      </c>
      <c r="AI191" s="151">
        <v>1909</v>
      </c>
      <c r="AJ191" s="151" t="s">
        <v>1718</v>
      </c>
      <c r="AK191" s="151">
        <v>2427</v>
      </c>
      <c r="AL191" s="151" t="s">
        <v>1718</v>
      </c>
      <c r="AN191" s="155">
        <f t="shared" si="46"/>
        <v>0.55000000000000004</v>
      </c>
      <c r="AO191" s="156">
        <f t="shared" si="47"/>
        <v>2.12</v>
      </c>
      <c r="AQ191" s="150">
        <v>550</v>
      </c>
      <c r="AR191" s="151" t="s">
        <v>162</v>
      </c>
      <c r="AS191" s="152">
        <v>56.4</v>
      </c>
      <c r="AT191" s="152">
        <v>5.0999999999999997E-2</v>
      </c>
      <c r="AU191" s="151">
        <v>6.85</v>
      </c>
      <c r="AV191" s="151" t="s">
        <v>1675</v>
      </c>
      <c r="AW191" s="151">
        <v>3468</v>
      </c>
      <c r="AX191" s="151" t="s">
        <v>1718</v>
      </c>
      <c r="AY191" s="151">
        <v>4857</v>
      </c>
      <c r="AZ191" s="151" t="s">
        <v>1718</v>
      </c>
      <c r="BB191" s="155">
        <f t="shared" si="48"/>
        <v>0.55000000000000004</v>
      </c>
      <c r="BC191" s="156">
        <f t="shared" si="49"/>
        <v>6.85</v>
      </c>
      <c r="BE191" s="150">
        <v>550</v>
      </c>
      <c r="BF191" s="151" t="s">
        <v>162</v>
      </c>
      <c r="BG191" s="152">
        <v>752.8</v>
      </c>
      <c r="BH191" s="152">
        <v>13.62</v>
      </c>
      <c r="BI191" s="151">
        <v>1.07</v>
      </c>
      <c r="BJ191" s="151" t="s">
        <v>1675</v>
      </c>
      <c r="BK191" s="151">
        <v>1513</v>
      </c>
      <c r="BL191" s="151" t="s">
        <v>1718</v>
      </c>
      <c r="BM191" s="151">
        <v>1751</v>
      </c>
      <c r="BN191" s="151" t="s">
        <v>1718</v>
      </c>
      <c r="BP191" s="155">
        <f t="shared" si="50"/>
        <v>0.55000000000000004</v>
      </c>
      <c r="BQ191" s="156">
        <f t="shared" si="51"/>
        <v>1.07</v>
      </c>
      <c r="BS191" s="150">
        <v>550</v>
      </c>
      <c r="BT191" s="151" t="s">
        <v>162</v>
      </c>
      <c r="BU191" s="152">
        <v>791.5</v>
      </c>
      <c r="BV191" s="152">
        <v>38.909999999999997</v>
      </c>
      <c r="BW191" s="151">
        <v>9165</v>
      </c>
      <c r="BX191" s="151" t="s">
        <v>1718</v>
      </c>
      <c r="BY191" s="151">
        <v>1616</v>
      </c>
      <c r="BZ191" s="151" t="s">
        <v>1718</v>
      </c>
      <c r="CA191" s="151">
        <v>1729</v>
      </c>
      <c r="CB191" s="151" t="s">
        <v>1718</v>
      </c>
      <c r="CD191" s="155">
        <f t="shared" si="52"/>
        <v>0.55000000000000004</v>
      </c>
      <c r="CE191" s="156">
        <f t="shared" si="53"/>
        <v>0.91650000000000009</v>
      </c>
      <c r="CG191" s="150">
        <v>550</v>
      </c>
      <c r="CH191" s="151" t="s">
        <v>162</v>
      </c>
      <c r="CI191" s="152">
        <v>694.2</v>
      </c>
      <c r="CJ191" s="152">
        <v>52.96</v>
      </c>
      <c r="CK191" s="151">
        <v>9548</v>
      </c>
      <c r="CL191" s="151" t="s">
        <v>1718</v>
      </c>
      <c r="CM191" s="151">
        <v>1784</v>
      </c>
      <c r="CN191" s="151" t="s">
        <v>1718</v>
      </c>
      <c r="CO191" s="151">
        <v>1850</v>
      </c>
      <c r="CP191" s="151" t="s">
        <v>1718</v>
      </c>
      <c r="CR191" s="155">
        <f t="shared" si="54"/>
        <v>0.55000000000000004</v>
      </c>
      <c r="CS191" s="156">
        <f t="shared" si="55"/>
        <v>0.95480000000000009</v>
      </c>
      <c r="CU191" s="151">
        <v>550</v>
      </c>
      <c r="CV191" s="152" t="s">
        <v>162</v>
      </c>
      <c r="CW191" s="152">
        <v>741.9</v>
      </c>
      <c r="CX191" s="152">
        <v>241.7</v>
      </c>
      <c r="CY191" s="151">
        <v>5463</v>
      </c>
      <c r="CZ191" s="151" t="s">
        <v>1718</v>
      </c>
      <c r="DA191" s="151">
        <v>1170</v>
      </c>
      <c r="DB191" s="151" t="s">
        <v>1718</v>
      </c>
      <c r="DC191" s="151">
        <v>1035</v>
      </c>
      <c r="DD191" t="s">
        <v>1718</v>
      </c>
      <c r="DF191" s="155">
        <f t="shared" si="56"/>
        <v>0.55000000000000004</v>
      </c>
      <c r="DG191" s="156">
        <f t="shared" si="57"/>
        <v>0.54630000000000001</v>
      </c>
      <c r="DI191" s="151">
        <v>550</v>
      </c>
      <c r="DJ191" s="152" t="s">
        <v>162</v>
      </c>
      <c r="DK191" s="152">
        <v>740.2</v>
      </c>
      <c r="DL191" s="152">
        <v>226.9</v>
      </c>
      <c r="DM191" s="151">
        <v>5550</v>
      </c>
      <c r="DN191" s="151" t="s">
        <v>1718</v>
      </c>
      <c r="DO191" s="151">
        <v>1139</v>
      </c>
      <c r="DP191" s="151" t="s">
        <v>1718</v>
      </c>
      <c r="DQ191" s="151">
        <v>1014</v>
      </c>
      <c r="DR191" t="s">
        <v>1718</v>
      </c>
      <c r="DT191" s="155">
        <f t="shared" si="58"/>
        <v>0.55000000000000004</v>
      </c>
      <c r="DU191" s="156">
        <f t="shared" si="59"/>
        <v>0.55500000000000005</v>
      </c>
    </row>
    <row r="192" spans="1:125" x14ac:dyDescent="0.2">
      <c r="A192" s="150">
        <v>600</v>
      </c>
      <c r="B192" s="151" t="s">
        <v>162</v>
      </c>
      <c r="C192" s="152">
        <v>708.7</v>
      </c>
      <c r="D192" s="152">
        <v>58.39</v>
      </c>
      <c r="E192" s="151">
        <v>1.01</v>
      </c>
      <c r="F192" s="151" t="s">
        <v>1675</v>
      </c>
      <c r="G192" s="151">
        <v>1977</v>
      </c>
      <c r="H192" s="151" t="s">
        <v>1718</v>
      </c>
      <c r="I192" s="151">
        <v>2043</v>
      </c>
      <c r="J192" s="151" t="s">
        <v>1718</v>
      </c>
      <c r="L192" s="155">
        <f t="shared" si="42"/>
        <v>0.6</v>
      </c>
      <c r="M192" s="156">
        <f t="shared" si="43"/>
        <v>1.01</v>
      </c>
      <c r="O192" s="150">
        <v>600</v>
      </c>
      <c r="P192" s="151" t="s">
        <v>162</v>
      </c>
      <c r="Q192" s="152">
        <v>831.2</v>
      </c>
      <c r="R192" s="152">
        <v>43.65</v>
      </c>
      <c r="S192" s="151">
        <v>9633</v>
      </c>
      <c r="T192" s="151" t="s">
        <v>1718</v>
      </c>
      <c r="U192" s="151">
        <v>1751</v>
      </c>
      <c r="V192" s="151" t="s">
        <v>1718</v>
      </c>
      <c r="W192" s="151">
        <v>1861</v>
      </c>
      <c r="X192" s="151" t="s">
        <v>1718</v>
      </c>
      <c r="Z192" s="155">
        <f t="shared" si="44"/>
        <v>0.6</v>
      </c>
      <c r="AA192" s="156">
        <f t="shared" si="45"/>
        <v>0.96330000000000005</v>
      </c>
      <c r="AC192" s="150">
        <v>600</v>
      </c>
      <c r="AD192" s="151" t="s">
        <v>162</v>
      </c>
      <c r="AE192" s="152">
        <v>336.1</v>
      </c>
      <c r="AF192" s="152">
        <v>0.64870000000000005</v>
      </c>
      <c r="AG192" s="151">
        <v>2.2599999999999998</v>
      </c>
      <c r="AH192" s="151" t="s">
        <v>1675</v>
      </c>
      <c r="AI192" s="151">
        <v>1938</v>
      </c>
      <c r="AJ192" s="151" t="s">
        <v>1718</v>
      </c>
      <c r="AK192" s="151">
        <v>2478</v>
      </c>
      <c r="AL192" s="151" t="s">
        <v>1718</v>
      </c>
      <c r="AN192" s="155">
        <f t="shared" si="46"/>
        <v>0.6</v>
      </c>
      <c r="AO192" s="156">
        <f t="shared" si="47"/>
        <v>2.2599999999999998</v>
      </c>
      <c r="AQ192" s="150">
        <v>600</v>
      </c>
      <c r="AR192" s="151" t="s">
        <v>162</v>
      </c>
      <c r="AS192" s="152">
        <v>53.87</v>
      </c>
      <c r="AT192" s="152">
        <v>4.743E-2</v>
      </c>
      <c r="AU192" s="151">
        <v>7.75</v>
      </c>
      <c r="AV192" s="151" t="s">
        <v>1675</v>
      </c>
      <c r="AW192" s="151">
        <v>3838</v>
      </c>
      <c r="AX192" s="151" t="s">
        <v>1718</v>
      </c>
      <c r="AY192" s="151">
        <v>5360</v>
      </c>
      <c r="AZ192" s="151" t="s">
        <v>1718</v>
      </c>
      <c r="BB192" s="155">
        <f t="shared" si="48"/>
        <v>0.6</v>
      </c>
      <c r="BC192" s="156">
        <f t="shared" si="49"/>
        <v>7.75</v>
      </c>
      <c r="BE192" s="150">
        <v>600</v>
      </c>
      <c r="BF192" s="151" t="s">
        <v>162</v>
      </c>
      <c r="BG192" s="152">
        <v>789.8</v>
      </c>
      <c r="BH192" s="152">
        <v>12.77</v>
      </c>
      <c r="BI192" s="151">
        <v>1.1299999999999999</v>
      </c>
      <c r="BJ192" s="151" t="s">
        <v>1675</v>
      </c>
      <c r="BK192" s="151">
        <v>1538</v>
      </c>
      <c r="BL192" s="151" t="s">
        <v>1718</v>
      </c>
      <c r="BM192" s="151">
        <v>1799</v>
      </c>
      <c r="BN192" s="151" t="s">
        <v>1718</v>
      </c>
      <c r="BP192" s="155">
        <f t="shared" si="50"/>
        <v>0.6</v>
      </c>
      <c r="BQ192" s="156">
        <f t="shared" si="51"/>
        <v>1.1299999999999999</v>
      </c>
      <c r="BS192" s="150">
        <v>600</v>
      </c>
      <c r="BT192" s="151" t="s">
        <v>162</v>
      </c>
      <c r="BU192" s="152">
        <v>835.1</v>
      </c>
      <c r="BV192" s="152">
        <v>36.619999999999997</v>
      </c>
      <c r="BW192" s="151">
        <v>9725</v>
      </c>
      <c r="BX192" s="151" t="s">
        <v>1718</v>
      </c>
      <c r="BY192" s="151">
        <v>1651</v>
      </c>
      <c r="BZ192" s="151" t="s">
        <v>1718</v>
      </c>
      <c r="CA192" s="151">
        <v>1788</v>
      </c>
      <c r="CB192" s="151" t="s">
        <v>1718</v>
      </c>
      <c r="CD192" s="155">
        <f t="shared" si="52"/>
        <v>0.6</v>
      </c>
      <c r="CE192" s="156">
        <f t="shared" si="53"/>
        <v>0.97250000000000003</v>
      </c>
      <c r="CG192" s="150">
        <v>600</v>
      </c>
      <c r="CH192" s="151" t="s">
        <v>162</v>
      </c>
      <c r="CI192" s="152">
        <v>741.6</v>
      </c>
      <c r="CJ192" s="152">
        <v>49.9</v>
      </c>
      <c r="CK192" s="151">
        <v>1.02</v>
      </c>
      <c r="CL192" s="151" t="s">
        <v>1675</v>
      </c>
      <c r="CM192" s="151">
        <v>1830</v>
      </c>
      <c r="CN192" s="151" t="s">
        <v>1718</v>
      </c>
      <c r="CO192" s="151">
        <v>1925</v>
      </c>
      <c r="CP192" s="151" t="s">
        <v>1718</v>
      </c>
      <c r="CR192" s="155">
        <f t="shared" si="54"/>
        <v>0.6</v>
      </c>
      <c r="CS192" s="156">
        <f t="shared" si="55"/>
        <v>1.02</v>
      </c>
      <c r="CU192" s="151">
        <v>600</v>
      </c>
      <c r="CV192" s="152" t="s">
        <v>162</v>
      </c>
      <c r="CW192" s="152">
        <v>778.3</v>
      </c>
      <c r="CX192" s="152">
        <v>230</v>
      </c>
      <c r="CY192" s="151">
        <v>5926</v>
      </c>
      <c r="CZ192" s="151" t="s">
        <v>1718</v>
      </c>
      <c r="DA192" s="151">
        <v>1231</v>
      </c>
      <c r="DB192" s="151" t="s">
        <v>1718</v>
      </c>
      <c r="DC192" s="151">
        <v>1105</v>
      </c>
      <c r="DD192" t="s">
        <v>1718</v>
      </c>
      <c r="DF192" s="155">
        <f t="shared" si="56"/>
        <v>0.6</v>
      </c>
      <c r="DG192" s="156">
        <f t="shared" si="57"/>
        <v>0.59260000000000002</v>
      </c>
      <c r="DI192" s="151">
        <v>600</v>
      </c>
      <c r="DJ192" s="152" t="s">
        <v>162</v>
      </c>
      <c r="DK192" s="152">
        <v>775.4</v>
      </c>
      <c r="DL192" s="152">
        <v>215.8</v>
      </c>
      <c r="DM192" s="151">
        <v>6024</v>
      </c>
      <c r="DN192" s="151" t="s">
        <v>1718</v>
      </c>
      <c r="DO192" s="151">
        <v>1198</v>
      </c>
      <c r="DP192" s="151" t="s">
        <v>1718</v>
      </c>
      <c r="DQ192" s="151">
        <v>1083</v>
      </c>
      <c r="DR192" t="s">
        <v>1718</v>
      </c>
      <c r="DT192" s="155">
        <f t="shared" si="58"/>
        <v>0.6</v>
      </c>
      <c r="DU192" s="156">
        <f t="shared" si="59"/>
        <v>0.60240000000000005</v>
      </c>
    </row>
    <row r="193" spans="1:125" x14ac:dyDescent="0.2">
      <c r="A193" s="150">
        <v>650</v>
      </c>
      <c r="B193" s="151" t="s">
        <v>162</v>
      </c>
      <c r="C193" s="152">
        <v>753.1</v>
      </c>
      <c r="D193" s="152">
        <v>55.3</v>
      </c>
      <c r="E193" s="151">
        <v>1.07</v>
      </c>
      <c r="F193" s="151" t="s">
        <v>1675</v>
      </c>
      <c r="G193" s="151">
        <v>2024</v>
      </c>
      <c r="H193" s="151" t="s">
        <v>1718</v>
      </c>
      <c r="I193" s="151">
        <v>2119</v>
      </c>
      <c r="J193" s="151" t="s">
        <v>1718</v>
      </c>
      <c r="L193" s="155">
        <f t="shared" si="42"/>
        <v>0.65</v>
      </c>
      <c r="M193" s="156">
        <f t="shared" si="43"/>
        <v>1.07</v>
      </c>
      <c r="O193" s="150">
        <v>650</v>
      </c>
      <c r="P193" s="151" t="s">
        <v>162</v>
      </c>
      <c r="Q193" s="152">
        <v>880.5</v>
      </c>
      <c r="R193" s="152">
        <v>41.28</v>
      </c>
      <c r="S193" s="151">
        <v>1.02</v>
      </c>
      <c r="T193" s="151" t="s">
        <v>1675</v>
      </c>
      <c r="U193" s="151">
        <v>1786</v>
      </c>
      <c r="V193" s="151" t="s">
        <v>1718</v>
      </c>
      <c r="W193" s="151">
        <v>1921</v>
      </c>
      <c r="X193" s="151" t="s">
        <v>1718</v>
      </c>
      <c r="Z193" s="155">
        <f t="shared" si="44"/>
        <v>0.65</v>
      </c>
      <c r="AA193" s="156">
        <f t="shared" si="45"/>
        <v>1.02</v>
      </c>
      <c r="AC193" s="150">
        <v>650</v>
      </c>
      <c r="AD193" s="151" t="s">
        <v>162</v>
      </c>
      <c r="AE193" s="152">
        <v>333.5</v>
      </c>
      <c r="AF193" s="152">
        <v>0.6079</v>
      </c>
      <c r="AG193" s="151">
        <v>2.41</v>
      </c>
      <c r="AH193" s="151" t="s">
        <v>1675</v>
      </c>
      <c r="AI193" s="151">
        <v>1967</v>
      </c>
      <c r="AJ193" s="151" t="s">
        <v>1718</v>
      </c>
      <c r="AK193" s="151">
        <v>2528</v>
      </c>
      <c r="AL193" s="151" t="s">
        <v>1718</v>
      </c>
      <c r="AN193" s="155">
        <f t="shared" si="46"/>
        <v>0.65</v>
      </c>
      <c r="AO193" s="156">
        <f t="shared" si="47"/>
        <v>2.41</v>
      </c>
      <c r="AQ193" s="150">
        <v>650</v>
      </c>
      <c r="AR193" s="151" t="s">
        <v>162</v>
      </c>
      <c r="AS193" s="152">
        <v>51.61</v>
      </c>
      <c r="AT193" s="152">
        <v>4.4350000000000001E-2</v>
      </c>
      <c r="AU193" s="151">
        <v>8.69</v>
      </c>
      <c r="AV193" s="151" t="s">
        <v>1675</v>
      </c>
      <c r="AW193" s="151">
        <v>4209</v>
      </c>
      <c r="AX193" s="151" t="s">
        <v>1718</v>
      </c>
      <c r="AY193" s="151">
        <v>5881</v>
      </c>
      <c r="AZ193" s="151" t="s">
        <v>1718</v>
      </c>
      <c r="BB193" s="155">
        <f t="shared" si="48"/>
        <v>0.65</v>
      </c>
      <c r="BC193" s="156">
        <f t="shared" si="49"/>
        <v>8.69</v>
      </c>
      <c r="BE193" s="150">
        <v>650</v>
      </c>
      <c r="BF193" s="151" t="s">
        <v>162</v>
      </c>
      <c r="BG193" s="152">
        <v>824</v>
      </c>
      <c r="BH193" s="152">
        <v>12.03</v>
      </c>
      <c r="BI193" s="151">
        <v>1.19</v>
      </c>
      <c r="BJ193" s="151" t="s">
        <v>1675</v>
      </c>
      <c r="BK193" s="151">
        <v>1561</v>
      </c>
      <c r="BL193" s="151" t="s">
        <v>1718</v>
      </c>
      <c r="BM193" s="151">
        <v>1842</v>
      </c>
      <c r="BN193" s="151" t="s">
        <v>1718</v>
      </c>
      <c r="BP193" s="155">
        <f t="shared" si="50"/>
        <v>0.65</v>
      </c>
      <c r="BQ193" s="156">
        <f t="shared" si="51"/>
        <v>1.19</v>
      </c>
      <c r="BS193" s="150">
        <v>650</v>
      </c>
      <c r="BT193" s="151" t="s">
        <v>162</v>
      </c>
      <c r="BU193" s="152">
        <v>876.9</v>
      </c>
      <c r="BV193" s="152">
        <v>34.61</v>
      </c>
      <c r="BW193" s="151">
        <v>1.03</v>
      </c>
      <c r="BX193" s="151" t="s">
        <v>1675</v>
      </c>
      <c r="BY193" s="151">
        <v>1682</v>
      </c>
      <c r="BZ193" s="151" t="s">
        <v>1718</v>
      </c>
      <c r="CA193" s="151">
        <v>1841</v>
      </c>
      <c r="CB193" s="151" t="s">
        <v>1718</v>
      </c>
      <c r="CD193" s="155">
        <f t="shared" si="52"/>
        <v>0.65</v>
      </c>
      <c r="CE193" s="156">
        <f t="shared" si="53"/>
        <v>1.03</v>
      </c>
      <c r="CG193" s="150">
        <v>650</v>
      </c>
      <c r="CH193" s="151" t="s">
        <v>162</v>
      </c>
      <c r="CI193" s="152">
        <v>787.5</v>
      </c>
      <c r="CJ193" s="152">
        <v>47.22</v>
      </c>
      <c r="CK193" s="151">
        <v>1.07</v>
      </c>
      <c r="CL193" s="151" t="s">
        <v>1675</v>
      </c>
      <c r="CM193" s="151">
        <v>1871</v>
      </c>
      <c r="CN193" s="151" t="s">
        <v>1718</v>
      </c>
      <c r="CO193" s="151">
        <v>1993</v>
      </c>
      <c r="CP193" s="151" t="s">
        <v>1718</v>
      </c>
      <c r="CR193" s="155">
        <f t="shared" si="54"/>
        <v>0.65</v>
      </c>
      <c r="CS193" s="156">
        <f t="shared" si="55"/>
        <v>1.07</v>
      </c>
      <c r="CU193" s="151">
        <v>650</v>
      </c>
      <c r="CV193" s="152" t="s">
        <v>162</v>
      </c>
      <c r="CW193" s="152">
        <v>814.8</v>
      </c>
      <c r="CX193" s="152">
        <v>219.5</v>
      </c>
      <c r="CY193" s="151">
        <v>6380</v>
      </c>
      <c r="CZ193" s="151" t="s">
        <v>1718</v>
      </c>
      <c r="DA193" s="151">
        <v>1287</v>
      </c>
      <c r="DB193" s="151" t="s">
        <v>1718</v>
      </c>
      <c r="DC193" s="151">
        <v>1172</v>
      </c>
      <c r="DD193" t="s">
        <v>1718</v>
      </c>
      <c r="DF193" s="155">
        <f t="shared" si="56"/>
        <v>0.65</v>
      </c>
      <c r="DG193" s="156">
        <f t="shared" si="57"/>
        <v>0.63800000000000001</v>
      </c>
      <c r="DI193" s="151">
        <v>650</v>
      </c>
      <c r="DJ193" s="152" t="s">
        <v>162</v>
      </c>
      <c r="DK193" s="152">
        <v>810.7</v>
      </c>
      <c r="DL193" s="152">
        <v>205.9</v>
      </c>
      <c r="DM193" s="151">
        <v>6488</v>
      </c>
      <c r="DN193" s="151" t="s">
        <v>1718</v>
      </c>
      <c r="DO193" s="151">
        <v>1253</v>
      </c>
      <c r="DP193" s="151" t="s">
        <v>1718</v>
      </c>
      <c r="DQ193" s="151">
        <v>1149</v>
      </c>
      <c r="DR193" t="s">
        <v>1718</v>
      </c>
      <c r="DT193" s="155">
        <f t="shared" si="58"/>
        <v>0.65</v>
      </c>
      <c r="DU193" s="156">
        <f t="shared" si="59"/>
        <v>0.64880000000000004</v>
      </c>
    </row>
    <row r="194" spans="1:125" x14ac:dyDescent="0.2">
      <c r="A194" s="150">
        <v>700</v>
      </c>
      <c r="B194" s="151" t="s">
        <v>162</v>
      </c>
      <c r="C194" s="152">
        <v>796.5</v>
      </c>
      <c r="D194" s="152">
        <v>52.55</v>
      </c>
      <c r="E194" s="151">
        <v>1.1299999999999999</v>
      </c>
      <c r="F194" s="151" t="s">
        <v>1675</v>
      </c>
      <c r="G194" s="151">
        <v>2066</v>
      </c>
      <c r="H194" s="151" t="s">
        <v>1718</v>
      </c>
      <c r="I194" s="151">
        <v>2188</v>
      </c>
      <c r="J194" s="151" t="s">
        <v>1718</v>
      </c>
      <c r="L194" s="155">
        <f t="shared" si="42"/>
        <v>0.70000000000000007</v>
      </c>
      <c r="M194" s="156">
        <f t="shared" si="43"/>
        <v>1.1299999999999999</v>
      </c>
      <c r="O194" s="150">
        <v>700</v>
      </c>
      <c r="P194" s="151" t="s">
        <v>162</v>
      </c>
      <c r="Q194" s="152">
        <v>927.4</v>
      </c>
      <c r="R194" s="152">
        <v>39.19</v>
      </c>
      <c r="S194" s="151">
        <v>1.07</v>
      </c>
      <c r="T194" s="151" t="s">
        <v>1675</v>
      </c>
      <c r="U194" s="151">
        <v>1816</v>
      </c>
      <c r="V194" s="151" t="s">
        <v>1718</v>
      </c>
      <c r="W194" s="151">
        <v>1974</v>
      </c>
      <c r="X194" s="151" t="s">
        <v>1718</v>
      </c>
      <c r="Z194" s="155">
        <f t="shared" si="44"/>
        <v>0.70000000000000007</v>
      </c>
      <c r="AA194" s="156">
        <f t="shared" si="45"/>
        <v>1.07</v>
      </c>
      <c r="AC194" s="150">
        <v>700</v>
      </c>
      <c r="AD194" s="151" t="s">
        <v>162</v>
      </c>
      <c r="AE194" s="152">
        <v>330.3</v>
      </c>
      <c r="AF194" s="152">
        <v>0.57230000000000003</v>
      </c>
      <c r="AG194" s="151">
        <v>2.56</v>
      </c>
      <c r="AH194" s="151" t="s">
        <v>1675</v>
      </c>
      <c r="AI194" s="151">
        <v>1994</v>
      </c>
      <c r="AJ194" s="151" t="s">
        <v>1718</v>
      </c>
      <c r="AK194" s="151">
        <v>2577</v>
      </c>
      <c r="AL194" s="151" t="s">
        <v>1718</v>
      </c>
      <c r="AN194" s="155">
        <f t="shared" si="46"/>
        <v>0.70000000000000007</v>
      </c>
      <c r="AO194" s="156">
        <f t="shared" si="47"/>
        <v>2.56</v>
      </c>
      <c r="AQ194" s="150">
        <v>700</v>
      </c>
      <c r="AR194" s="151" t="s">
        <v>162</v>
      </c>
      <c r="AS194" s="152">
        <v>49.59</v>
      </c>
      <c r="AT194" s="152">
        <v>4.1669999999999999E-2</v>
      </c>
      <c r="AU194" s="151">
        <v>9.67</v>
      </c>
      <c r="AV194" s="151" t="s">
        <v>1675</v>
      </c>
      <c r="AW194" s="151">
        <v>4582</v>
      </c>
      <c r="AX194" s="151" t="s">
        <v>1718</v>
      </c>
      <c r="AY194" s="151">
        <v>6418</v>
      </c>
      <c r="AZ194" s="151" t="s">
        <v>1718</v>
      </c>
      <c r="BB194" s="155">
        <f t="shared" si="48"/>
        <v>0.70000000000000007</v>
      </c>
      <c r="BC194" s="156">
        <f t="shared" si="49"/>
        <v>9.67</v>
      </c>
      <c r="BE194" s="150">
        <v>700</v>
      </c>
      <c r="BF194" s="151" t="s">
        <v>162</v>
      </c>
      <c r="BG194" s="152">
        <v>855.5</v>
      </c>
      <c r="BH194" s="152">
        <v>11.38</v>
      </c>
      <c r="BI194" s="151">
        <v>1.25</v>
      </c>
      <c r="BJ194" s="151" t="s">
        <v>1675</v>
      </c>
      <c r="BK194" s="151">
        <v>1581</v>
      </c>
      <c r="BL194" s="151" t="s">
        <v>1718</v>
      </c>
      <c r="BM194" s="151">
        <v>1881</v>
      </c>
      <c r="BN194" s="151" t="s">
        <v>1718</v>
      </c>
      <c r="BP194" s="155">
        <f t="shared" si="50"/>
        <v>0.70000000000000007</v>
      </c>
      <c r="BQ194" s="156">
        <f t="shared" si="51"/>
        <v>1.25</v>
      </c>
      <c r="BS194" s="150">
        <v>700</v>
      </c>
      <c r="BT194" s="151" t="s">
        <v>162</v>
      </c>
      <c r="BU194" s="152">
        <v>917</v>
      </c>
      <c r="BV194" s="152">
        <v>32.840000000000003</v>
      </c>
      <c r="BW194" s="151">
        <v>1.08</v>
      </c>
      <c r="BX194" s="151" t="s">
        <v>1675</v>
      </c>
      <c r="BY194" s="151">
        <v>1710</v>
      </c>
      <c r="BZ194" s="151" t="s">
        <v>1718</v>
      </c>
      <c r="CA194" s="151">
        <v>1890</v>
      </c>
      <c r="CB194" s="151" t="s">
        <v>1718</v>
      </c>
      <c r="CD194" s="155">
        <f t="shared" si="52"/>
        <v>0.70000000000000007</v>
      </c>
      <c r="CE194" s="156">
        <f t="shared" si="53"/>
        <v>1.08</v>
      </c>
      <c r="CG194" s="150">
        <v>700</v>
      </c>
      <c r="CH194" s="151" t="s">
        <v>162</v>
      </c>
      <c r="CI194" s="152">
        <v>831.6</v>
      </c>
      <c r="CJ194" s="152">
        <v>44.85</v>
      </c>
      <c r="CK194" s="151">
        <v>1.1299999999999999</v>
      </c>
      <c r="CL194" s="151" t="s">
        <v>1675</v>
      </c>
      <c r="CM194" s="151">
        <v>1907</v>
      </c>
      <c r="CN194" s="151" t="s">
        <v>1718</v>
      </c>
      <c r="CO194" s="151">
        <v>2055</v>
      </c>
      <c r="CP194" s="151" t="s">
        <v>1718</v>
      </c>
      <c r="CR194" s="155">
        <f t="shared" si="54"/>
        <v>0.70000000000000007</v>
      </c>
      <c r="CS194" s="156">
        <f t="shared" si="55"/>
        <v>1.1299999999999999</v>
      </c>
      <c r="CU194" s="151">
        <v>700</v>
      </c>
      <c r="CV194" s="152" t="s">
        <v>162</v>
      </c>
      <c r="CW194" s="152">
        <v>851.3</v>
      </c>
      <c r="CX194" s="152">
        <v>210.1</v>
      </c>
      <c r="CY194" s="151">
        <v>6823</v>
      </c>
      <c r="CZ194" s="151" t="s">
        <v>1718</v>
      </c>
      <c r="DA194" s="151">
        <v>1339</v>
      </c>
      <c r="DB194" s="151" t="s">
        <v>1718</v>
      </c>
      <c r="DC194" s="151">
        <v>1235</v>
      </c>
      <c r="DD194" t="s">
        <v>1718</v>
      </c>
      <c r="DF194" s="155">
        <f t="shared" si="56"/>
        <v>0.70000000000000007</v>
      </c>
      <c r="DG194" s="156">
        <f t="shared" si="57"/>
        <v>0.68230000000000002</v>
      </c>
      <c r="DI194" s="151">
        <v>700</v>
      </c>
      <c r="DJ194" s="152" t="s">
        <v>162</v>
      </c>
      <c r="DK194" s="152">
        <v>845.9</v>
      </c>
      <c r="DL194" s="152">
        <v>196.9</v>
      </c>
      <c r="DM194" s="151">
        <v>6942</v>
      </c>
      <c r="DN194" s="151" t="s">
        <v>1718</v>
      </c>
      <c r="DO194" s="151">
        <v>1304</v>
      </c>
      <c r="DP194" s="151" t="s">
        <v>1718</v>
      </c>
      <c r="DQ194" s="151">
        <v>1212</v>
      </c>
      <c r="DR194" t="s">
        <v>1718</v>
      </c>
      <c r="DT194" s="155">
        <f t="shared" si="58"/>
        <v>0.70000000000000007</v>
      </c>
      <c r="DU194" s="156">
        <f t="shared" si="59"/>
        <v>0.69420000000000004</v>
      </c>
    </row>
    <row r="195" spans="1:125" x14ac:dyDescent="0.2">
      <c r="A195" s="150">
        <v>800</v>
      </c>
      <c r="B195" s="151" t="s">
        <v>162</v>
      </c>
      <c r="C195" s="152">
        <v>880.3</v>
      </c>
      <c r="D195" s="152">
        <v>47.89</v>
      </c>
      <c r="E195" s="151">
        <v>1.24</v>
      </c>
      <c r="F195" s="151" t="s">
        <v>1675</v>
      </c>
      <c r="G195" s="151">
        <v>2140</v>
      </c>
      <c r="H195" s="151" t="s">
        <v>1718</v>
      </c>
      <c r="I195" s="151">
        <v>2309</v>
      </c>
      <c r="J195" s="151" t="s">
        <v>1718</v>
      </c>
      <c r="L195" s="155">
        <f t="shared" si="42"/>
        <v>0.8</v>
      </c>
      <c r="M195" s="156">
        <f t="shared" si="43"/>
        <v>1.24</v>
      </c>
      <c r="O195" s="150">
        <v>800</v>
      </c>
      <c r="P195" s="151" t="s">
        <v>162</v>
      </c>
      <c r="Q195" s="152">
        <v>1014</v>
      </c>
      <c r="R195" s="152">
        <v>35.65</v>
      </c>
      <c r="S195" s="151">
        <v>1.1599999999999999</v>
      </c>
      <c r="T195" s="151" t="s">
        <v>1675</v>
      </c>
      <c r="U195" s="151">
        <v>1870</v>
      </c>
      <c r="V195" s="151" t="s">
        <v>1718</v>
      </c>
      <c r="W195" s="151">
        <v>2068</v>
      </c>
      <c r="X195" s="151" t="s">
        <v>1718</v>
      </c>
      <c r="Z195" s="155">
        <f t="shared" si="44"/>
        <v>0.8</v>
      </c>
      <c r="AA195" s="156">
        <f t="shared" si="45"/>
        <v>1.1599999999999999</v>
      </c>
      <c r="AC195" s="150">
        <v>800</v>
      </c>
      <c r="AD195" s="151" t="s">
        <v>162</v>
      </c>
      <c r="AE195" s="152">
        <v>322.8</v>
      </c>
      <c r="AF195" s="152">
        <v>0.5131</v>
      </c>
      <c r="AG195" s="151">
        <v>2.86</v>
      </c>
      <c r="AH195" s="151" t="s">
        <v>1675</v>
      </c>
      <c r="AI195" s="151">
        <v>2071</v>
      </c>
      <c r="AJ195" s="151" t="s">
        <v>1718</v>
      </c>
      <c r="AK195" s="151">
        <v>2671</v>
      </c>
      <c r="AL195" s="151" t="s">
        <v>1718</v>
      </c>
      <c r="AN195" s="155">
        <f t="shared" si="46"/>
        <v>0.8</v>
      </c>
      <c r="AO195" s="156">
        <f t="shared" si="47"/>
        <v>2.86</v>
      </c>
      <c r="AQ195" s="150">
        <v>800</v>
      </c>
      <c r="AR195" s="151" t="s">
        <v>162</v>
      </c>
      <c r="AS195" s="152">
        <v>46.11</v>
      </c>
      <c r="AT195" s="152">
        <v>3.7240000000000002E-2</v>
      </c>
      <c r="AU195" s="151">
        <v>11.74</v>
      </c>
      <c r="AV195" s="151" t="s">
        <v>1675</v>
      </c>
      <c r="AW195" s="151">
        <v>5719</v>
      </c>
      <c r="AX195" s="151" t="s">
        <v>1718</v>
      </c>
      <c r="AY195" s="151">
        <v>7542</v>
      </c>
      <c r="AZ195" s="151" t="s">
        <v>1718</v>
      </c>
      <c r="BB195" s="155">
        <f t="shared" si="48"/>
        <v>0.8</v>
      </c>
      <c r="BC195" s="156">
        <f t="shared" si="49"/>
        <v>11.74</v>
      </c>
      <c r="BE195" s="150">
        <v>800</v>
      </c>
      <c r="BF195" s="151" t="s">
        <v>162</v>
      </c>
      <c r="BG195" s="152">
        <v>911.2</v>
      </c>
      <c r="BH195" s="152">
        <v>10.29</v>
      </c>
      <c r="BI195" s="151">
        <v>1.36</v>
      </c>
      <c r="BJ195" s="151" t="s">
        <v>1675</v>
      </c>
      <c r="BK195" s="151">
        <v>1619</v>
      </c>
      <c r="BL195" s="151" t="s">
        <v>1718</v>
      </c>
      <c r="BM195" s="151">
        <v>1951</v>
      </c>
      <c r="BN195" s="151" t="s">
        <v>1718</v>
      </c>
      <c r="BP195" s="155">
        <f t="shared" si="50"/>
        <v>0.8</v>
      </c>
      <c r="BQ195" s="156">
        <f t="shared" si="51"/>
        <v>1.36</v>
      </c>
      <c r="BS195" s="150">
        <v>800</v>
      </c>
      <c r="BT195" s="151" t="s">
        <v>162</v>
      </c>
      <c r="BU195" s="152">
        <v>993</v>
      </c>
      <c r="BV195" s="152">
        <v>29.84</v>
      </c>
      <c r="BW195" s="151">
        <v>1.18</v>
      </c>
      <c r="BX195" s="151" t="s">
        <v>1675</v>
      </c>
      <c r="BY195" s="151">
        <v>1760</v>
      </c>
      <c r="BZ195" s="151" t="s">
        <v>1718</v>
      </c>
      <c r="CA195" s="151">
        <v>1976</v>
      </c>
      <c r="CB195" s="151" t="s">
        <v>1718</v>
      </c>
      <c r="CD195" s="155">
        <f t="shared" si="52"/>
        <v>0.8</v>
      </c>
      <c r="CE195" s="156">
        <f t="shared" si="53"/>
        <v>1.18</v>
      </c>
      <c r="CG195" s="150">
        <v>800</v>
      </c>
      <c r="CH195" s="151" t="s">
        <v>162</v>
      </c>
      <c r="CI195" s="152">
        <v>914.7</v>
      </c>
      <c r="CJ195" s="152">
        <v>40.82</v>
      </c>
      <c r="CK195" s="151">
        <v>1.23</v>
      </c>
      <c r="CL195" s="151" t="s">
        <v>1675</v>
      </c>
      <c r="CM195" s="151">
        <v>1971</v>
      </c>
      <c r="CN195" s="151" t="s">
        <v>1718</v>
      </c>
      <c r="CO195" s="151">
        <v>2163</v>
      </c>
      <c r="CP195" s="151" t="s">
        <v>1718</v>
      </c>
      <c r="CR195" s="155">
        <f t="shared" si="54"/>
        <v>0.8</v>
      </c>
      <c r="CS195" s="156">
        <f t="shared" si="55"/>
        <v>1.23</v>
      </c>
      <c r="CU195" s="151">
        <v>800</v>
      </c>
      <c r="CV195" s="152" t="s">
        <v>162</v>
      </c>
      <c r="CW195" s="152">
        <v>924.1</v>
      </c>
      <c r="CX195" s="152">
        <v>193.8</v>
      </c>
      <c r="CY195" s="151">
        <v>7681</v>
      </c>
      <c r="CZ195" s="151" t="s">
        <v>1718</v>
      </c>
      <c r="DA195" s="151">
        <v>1434</v>
      </c>
      <c r="DB195" s="151" t="s">
        <v>1718</v>
      </c>
      <c r="DC195" s="151">
        <v>1355</v>
      </c>
      <c r="DD195" t="s">
        <v>1718</v>
      </c>
      <c r="DF195" s="155">
        <f t="shared" si="56"/>
        <v>0.8</v>
      </c>
      <c r="DG195" s="156">
        <f t="shared" si="57"/>
        <v>0.7681</v>
      </c>
      <c r="DI195" s="151">
        <v>800</v>
      </c>
      <c r="DJ195" s="152" t="s">
        <v>162</v>
      </c>
      <c r="DK195" s="152">
        <v>915.5</v>
      </c>
      <c r="DL195" s="152">
        <v>181.5</v>
      </c>
      <c r="DM195" s="151">
        <v>7820</v>
      </c>
      <c r="DN195" s="151" t="s">
        <v>1718</v>
      </c>
      <c r="DO195" s="151">
        <v>1398</v>
      </c>
      <c r="DP195" s="151" t="s">
        <v>1718</v>
      </c>
      <c r="DQ195" s="151">
        <v>1330</v>
      </c>
      <c r="DR195" t="s">
        <v>1718</v>
      </c>
      <c r="DT195" s="155">
        <f t="shared" si="58"/>
        <v>0.8</v>
      </c>
      <c r="DU195" s="156">
        <f t="shared" si="59"/>
        <v>0.78200000000000003</v>
      </c>
    </row>
    <row r="196" spans="1:125" x14ac:dyDescent="0.2">
      <c r="A196" s="150">
        <v>900</v>
      </c>
      <c r="B196" s="151" t="s">
        <v>162</v>
      </c>
      <c r="C196" s="152">
        <v>960</v>
      </c>
      <c r="D196" s="152">
        <v>44.07</v>
      </c>
      <c r="E196" s="151">
        <v>1.34</v>
      </c>
      <c r="F196" s="151" t="s">
        <v>1675</v>
      </c>
      <c r="G196" s="151">
        <v>2199</v>
      </c>
      <c r="H196" s="151" t="s">
        <v>1718</v>
      </c>
      <c r="I196" s="151">
        <v>2412</v>
      </c>
      <c r="J196" s="151" t="s">
        <v>1718</v>
      </c>
      <c r="L196" s="155">
        <f t="shared" si="42"/>
        <v>0.9</v>
      </c>
      <c r="M196" s="156">
        <f t="shared" si="43"/>
        <v>1.34</v>
      </c>
      <c r="O196" s="150">
        <v>900</v>
      </c>
      <c r="P196" s="151" t="s">
        <v>162</v>
      </c>
      <c r="Q196" s="152">
        <v>1093</v>
      </c>
      <c r="R196" s="152">
        <v>32.76</v>
      </c>
      <c r="S196" s="151">
        <v>1.25</v>
      </c>
      <c r="T196" s="151" t="s">
        <v>1675</v>
      </c>
      <c r="U196" s="151">
        <v>1915</v>
      </c>
      <c r="V196" s="151" t="s">
        <v>1718</v>
      </c>
      <c r="W196" s="151">
        <v>2147</v>
      </c>
      <c r="X196" s="151" t="s">
        <v>1718</v>
      </c>
      <c r="Z196" s="155">
        <f t="shared" si="44"/>
        <v>0.9</v>
      </c>
      <c r="AA196" s="156">
        <f t="shared" si="45"/>
        <v>1.25</v>
      </c>
      <c r="AC196" s="150">
        <v>900</v>
      </c>
      <c r="AD196" s="151" t="s">
        <v>162</v>
      </c>
      <c r="AE196" s="152">
        <v>314.5</v>
      </c>
      <c r="AF196" s="152">
        <v>0.4657</v>
      </c>
      <c r="AG196" s="151">
        <v>3.17</v>
      </c>
      <c r="AH196" s="151" t="s">
        <v>1675</v>
      </c>
      <c r="AI196" s="151">
        <v>2147</v>
      </c>
      <c r="AJ196" s="151" t="s">
        <v>1718</v>
      </c>
      <c r="AK196" s="151">
        <v>2764</v>
      </c>
      <c r="AL196" s="151" t="s">
        <v>1718</v>
      </c>
      <c r="AN196" s="155">
        <f t="shared" si="46"/>
        <v>0.9</v>
      </c>
      <c r="AO196" s="156">
        <f t="shared" si="47"/>
        <v>3.17</v>
      </c>
      <c r="AQ196" s="150">
        <v>900</v>
      </c>
      <c r="AR196" s="151" t="s">
        <v>162</v>
      </c>
      <c r="AS196" s="152">
        <v>43.2</v>
      </c>
      <c r="AT196" s="152">
        <v>3.3709999999999997E-2</v>
      </c>
      <c r="AU196" s="151">
        <v>13.97</v>
      </c>
      <c r="AV196" s="151" t="s">
        <v>1675</v>
      </c>
      <c r="AW196" s="151">
        <v>6806</v>
      </c>
      <c r="AX196" s="151" t="s">
        <v>1718</v>
      </c>
      <c r="AY196" s="151">
        <v>8728</v>
      </c>
      <c r="AZ196" s="151" t="s">
        <v>1718</v>
      </c>
      <c r="BB196" s="155">
        <f t="shared" si="48"/>
        <v>0.9</v>
      </c>
      <c r="BC196" s="156">
        <f t="shared" si="49"/>
        <v>13.97</v>
      </c>
      <c r="BE196" s="150">
        <v>900</v>
      </c>
      <c r="BF196" s="151" t="s">
        <v>162</v>
      </c>
      <c r="BG196" s="152">
        <v>958.4</v>
      </c>
      <c r="BH196" s="152">
        <v>9.4079999999999995</v>
      </c>
      <c r="BI196" s="151">
        <v>1.46</v>
      </c>
      <c r="BJ196" s="151" t="s">
        <v>1675</v>
      </c>
      <c r="BK196" s="151">
        <v>1652</v>
      </c>
      <c r="BL196" s="151" t="s">
        <v>1718</v>
      </c>
      <c r="BM196" s="151">
        <v>2011</v>
      </c>
      <c r="BN196" s="151" t="s">
        <v>1718</v>
      </c>
      <c r="BP196" s="155">
        <f t="shared" si="50"/>
        <v>0.9</v>
      </c>
      <c r="BQ196" s="156">
        <f t="shared" si="51"/>
        <v>1.46</v>
      </c>
      <c r="BS196" s="150">
        <v>900</v>
      </c>
      <c r="BT196" s="151" t="s">
        <v>162</v>
      </c>
      <c r="BU196" s="152">
        <v>1064</v>
      </c>
      <c r="BV196" s="152">
        <v>27.39</v>
      </c>
      <c r="BW196" s="151">
        <v>1.27</v>
      </c>
      <c r="BX196" s="151" t="s">
        <v>1675</v>
      </c>
      <c r="BY196" s="151">
        <v>1801</v>
      </c>
      <c r="BZ196" s="151" t="s">
        <v>1718</v>
      </c>
      <c r="CA196" s="151">
        <v>2050</v>
      </c>
      <c r="CB196" s="151" t="s">
        <v>1718</v>
      </c>
      <c r="CD196" s="155">
        <f t="shared" si="52"/>
        <v>0.9</v>
      </c>
      <c r="CE196" s="156">
        <f t="shared" si="53"/>
        <v>1.27</v>
      </c>
      <c r="CG196" s="150">
        <v>900</v>
      </c>
      <c r="CH196" s="151" t="s">
        <v>162</v>
      </c>
      <c r="CI196" s="152">
        <v>990.9</v>
      </c>
      <c r="CJ196" s="152">
        <v>37.53</v>
      </c>
      <c r="CK196" s="151">
        <v>1.33</v>
      </c>
      <c r="CL196" s="151" t="s">
        <v>1675</v>
      </c>
      <c r="CM196" s="151">
        <v>2023</v>
      </c>
      <c r="CN196" s="151" t="s">
        <v>1718</v>
      </c>
      <c r="CO196" s="151">
        <v>2255</v>
      </c>
      <c r="CP196" s="151" t="s">
        <v>1718</v>
      </c>
      <c r="CR196" s="155">
        <f t="shared" si="54"/>
        <v>0.9</v>
      </c>
      <c r="CS196" s="156">
        <f t="shared" si="55"/>
        <v>1.33</v>
      </c>
      <c r="CU196" s="151">
        <v>900</v>
      </c>
      <c r="CV196" s="152" t="s">
        <v>162</v>
      </c>
      <c r="CW196" s="152">
        <v>996.2</v>
      </c>
      <c r="CX196" s="152">
        <v>180.1</v>
      </c>
      <c r="CY196" s="151">
        <v>8500</v>
      </c>
      <c r="CZ196" s="151" t="s">
        <v>1718</v>
      </c>
      <c r="DA196" s="151">
        <v>1517</v>
      </c>
      <c r="DB196" s="151" t="s">
        <v>1718</v>
      </c>
      <c r="DC196" s="151">
        <v>1464</v>
      </c>
      <c r="DD196" t="s">
        <v>1718</v>
      </c>
      <c r="DF196" s="155">
        <f t="shared" si="56"/>
        <v>0.9</v>
      </c>
      <c r="DG196" s="156">
        <f t="shared" si="57"/>
        <v>0.85000000000000009</v>
      </c>
      <c r="DI196" s="151">
        <v>900</v>
      </c>
      <c r="DJ196" s="152" t="s">
        <v>162</v>
      </c>
      <c r="DK196" s="152">
        <v>983.5</v>
      </c>
      <c r="DL196" s="152">
        <v>168.6</v>
      </c>
      <c r="DM196" s="151">
        <v>8659</v>
      </c>
      <c r="DN196" s="151" t="s">
        <v>1718</v>
      </c>
      <c r="DO196" s="151">
        <v>1479</v>
      </c>
      <c r="DP196" s="151" t="s">
        <v>1718</v>
      </c>
      <c r="DQ196" s="151">
        <v>1437</v>
      </c>
      <c r="DR196" t="s">
        <v>1718</v>
      </c>
      <c r="DT196" s="155">
        <f t="shared" si="58"/>
        <v>0.9</v>
      </c>
      <c r="DU196" s="156">
        <f t="shared" si="59"/>
        <v>0.8659</v>
      </c>
    </row>
    <row r="197" spans="1:125" x14ac:dyDescent="0.2">
      <c r="A197" s="150">
        <v>1</v>
      </c>
      <c r="B197" s="151" t="s">
        <v>593</v>
      </c>
      <c r="C197" s="152">
        <v>1036</v>
      </c>
      <c r="D197" s="152">
        <v>40.869999999999997</v>
      </c>
      <c r="E197" s="151">
        <v>1.43</v>
      </c>
      <c r="F197" s="151" t="s">
        <v>1675</v>
      </c>
      <c r="G197" s="151">
        <v>2249</v>
      </c>
      <c r="H197" s="151" t="s">
        <v>1718</v>
      </c>
      <c r="I197" s="151">
        <v>2501</v>
      </c>
      <c r="J197" s="151" t="s">
        <v>1718</v>
      </c>
      <c r="L197" s="155">
        <f t="shared" si="42"/>
        <v>1</v>
      </c>
      <c r="M197" s="156">
        <f t="shared" si="43"/>
        <v>1.43</v>
      </c>
      <c r="O197" s="150">
        <v>1</v>
      </c>
      <c r="P197" s="151" t="s">
        <v>593</v>
      </c>
      <c r="Q197" s="152">
        <v>1163</v>
      </c>
      <c r="R197" s="152">
        <v>30.35</v>
      </c>
      <c r="S197" s="151">
        <v>1.33</v>
      </c>
      <c r="T197" s="151" t="s">
        <v>1675</v>
      </c>
      <c r="U197" s="151">
        <v>1952</v>
      </c>
      <c r="V197" s="151" t="s">
        <v>1718</v>
      </c>
      <c r="W197" s="151">
        <v>2216</v>
      </c>
      <c r="X197" s="151" t="s">
        <v>1718</v>
      </c>
      <c r="Z197" s="155">
        <f t="shared" si="44"/>
        <v>1</v>
      </c>
      <c r="AA197" s="156">
        <f t="shared" si="45"/>
        <v>1.33</v>
      </c>
      <c r="AC197" s="150">
        <v>1</v>
      </c>
      <c r="AD197" s="151" t="s">
        <v>593</v>
      </c>
      <c r="AE197" s="152">
        <v>305.89999999999998</v>
      </c>
      <c r="AF197" s="152">
        <v>0.4269</v>
      </c>
      <c r="AG197" s="151">
        <v>3.49</v>
      </c>
      <c r="AH197" s="151" t="s">
        <v>1675</v>
      </c>
      <c r="AI197" s="151">
        <v>2223</v>
      </c>
      <c r="AJ197" s="151" t="s">
        <v>1718</v>
      </c>
      <c r="AK197" s="151">
        <v>2855</v>
      </c>
      <c r="AL197" s="151" t="s">
        <v>1718</v>
      </c>
      <c r="AN197" s="155">
        <f t="shared" si="46"/>
        <v>1</v>
      </c>
      <c r="AO197" s="156">
        <f t="shared" si="47"/>
        <v>3.49</v>
      </c>
      <c r="AQ197" s="150">
        <v>1</v>
      </c>
      <c r="AR197" s="151" t="s">
        <v>593</v>
      </c>
      <c r="AS197" s="152">
        <v>40.729999999999997</v>
      </c>
      <c r="AT197" s="152">
        <v>3.082E-2</v>
      </c>
      <c r="AU197" s="151">
        <v>16.329999999999998</v>
      </c>
      <c r="AV197" s="151" t="s">
        <v>1675</v>
      </c>
      <c r="AW197" s="151">
        <v>7871</v>
      </c>
      <c r="AX197" s="151" t="s">
        <v>1718</v>
      </c>
      <c r="AY197" s="151">
        <v>9972</v>
      </c>
      <c r="AZ197" s="151" t="s">
        <v>1718</v>
      </c>
      <c r="BB197" s="155">
        <f t="shared" si="48"/>
        <v>1</v>
      </c>
      <c r="BC197" s="156">
        <f t="shared" si="49"/>
        <v>16.329999999999998</v>
      </c>
      <c r="BE197" s="150">
        <v>1</v>
      </c>
      <c r="BF197" s="151" t="s">
        <v>593</v>
      </c>
      <c r="BG197" s="152">
        <v>998.2</v>
      </c>
      <c r="BH197" s="152">
        <v>8.6769999999999996</v>
      </c>
      <c r="BI197" s="151">
        <v>1.56</v>
      </c>
      <c r="BJ197" s="151" t="s">
        <v>1675</v>
      </c>
      <c r="BK197" s="151">
        <v>1680</v>
      </c>
      <c r="BL197" s="151" t="s">
        <v>1718</v>
      </c>
      <c r="BM197" s="151">
        <v>2064</v>
      </c>
      <c r="BN197" s="151" t="s">
        <v>1718</v>
      </c>
      <c r="BP197" s="155">
        <f t="shared" si="50"/>
        <v>1</v>
      </c>
      <c r="BQ197" s="156">
        <f t="shared" si="51"/>
        <v>1.56</v>
      </c>
      <c r="BS197" s="150">
        <v>1</v>
      </c>
      <c r="BT197" s="151" t="s">
        <v>593</v>
      </c>
      <c r="BU197" s="152">
        <v>1130</v>
      </c>
      <c r="BV197" s="152">
        <v>25.35</v>
      </c>
      <c r="BW197" s="151">
        <v>1.35</v>
      </c>
      <c r="BX197" s="151" t="s">
        <v>1675</v>
      </c>
      <c r="BY197" s="151">
        <v>1836</v>
      </c>
      <c r="BZ197" s="151" t="s">
        <v>1718</v>
      </c>
      <c r="CA197" s="151">
        <v>2115</v>
      </c>
      <c r="CB197" s="151" t="s">
        <v>1718</v>
      </c>
      <c r="CD197" s="155">
        <f t="shared" si="52"/>
        <v>1</v>
      </c>
      <c r="CE197" s="156">
        <f t="shared" si="53"/>
        <v>1.35</v>
      </c>
      <c r="CG197" s="150">
        <v>1</v>
      </c>
      <c r="CH197" s="151" t="s">
        <v>593</v>
      </c>
      <c r="CI197" s="152">
        <v>1061</v>
      </c>
      <c r="CJ197" s="152">
        <v>34.78</v>
      </c>
      <c r="CK197" s="151">
        <v>1.42</v>
      </c>
      <c r="CL197" s="151" t="s">
        <v>1675</v>
      </c>
      <c r="CM197" s="151">
        <v>2066</v>
      </c>
      <c r="CN197" s="151" t="s">
        <v>1718</v>
      </c>
      <c r="CO197" s="151">
        <v>2334</v>
      </c>
      <c r="CP197" s="151" t="s">
        <v>1718</v>
      </c>
      <c r="CR197" s="155">
        <f t="shared" si="54"/>
        <v>1</v>
      </c>
      <c r="CS197" s="156">
        <f t="shared" si="55"/>
        <v>1.42</v>
      </c>
      <c r="CU197" s="151">
        <v>1</v>
      </c>
      <c r="CV197" s="152" t="s">
        <v>593</v>
      </c>
      <c r="CW197" s="152">
        <v>1067</v>
      </c>
      <c r="CX197" s="152">
        <v>168.5</v>
      </c>
      <c r="CY197" s="151">
        <v>9284</v>
      </c>
      <c r="CZ197" s="151" t="s">
        <v>1718</v>
      </c>
      <c r="DA197" s="151">
        <v>1590</v>
      </c>
      <c r="DB197" s="151" t="s">
        <v>1718</v>
      </c>
      <c r="DC197" s="151">
        <v>1563</v>
      </c>
      <c r="DD197" t="s">
        <v>1718</v>
      </c>
      <c r="DF197" s="155">
        <f t="shared" si="56"/>
        <v>1</v>
      </c>
      <c r="DG197" s="156">
        <f t="shared" si="57"/>
        <v>0.9284</v>
      </c>
      <c r="DI197" s="151">
        <v>1</v>
      </c>
      <c r="DJ197" s="152" t="s">
        <v>593</v>
      </c>
      <c r="DK197" s="152">
        <v>1049</v>
      </c>
      <c r="DL197" s="152">
        <v>157.69999999999999</v>
      </c>
      <c r="DM197" s="151">
        <v>9463</v>
      </c>
      <c r="DN197" s="151" t="s">
        <v>1718</v>
      </c>
      <c r="DO197" s="151">
        <v>1551</v>
      </c>
      <c r="DP197" s="151" t="s">
        <v>1718</v>
      </c>
      <c r="DQ197" s="151">
        <v>1536</v>
      </c>
      <c r="DR197" t="s">
        <v>1718</v>
      </c>
      <c r="DT197" s="155">
        <f t="shared" si="58"/>
        <v>1</v>
      </c>
      <c r="DU197" s="156">
        <f t="shared" si="59"/>
        <v>0.94630000000000003</v>
      </c>
    </row>
    <row r="198" spans="1:125" x14ac:dyDescent="0.2">
      <c r="A198" s="150">
        <v>1.1000000000000001</v>
      </c>
      <c r="B198" s="151" t="s">
        <v>593</v>
      </c>
      <c r="C198" s="152">
        <v>1107</v>
      </c>
      <c r="D198" s="152">
        <v>38.159999999999997</v>
      </c>
      <c r="E198" s="151">
        <v>1.52</v>
      </c>
      <c r="F198" s="151" t="s">
        <v>1675</v>
      </c>
      <c r="G198" s="151">
        <v>2291</v>
      </c>
      <c r="H198" s="151" t="s">
        <v>1718</v>
      </c>
      <c r="I198" s="151">
        <v>2579</v>
      </c>
      <c r="J198" s="151" t="s">
        <v>1718</v>
      </c>
      <c r="L198" s="155">
        <f t="shared" si="42"/>
        <v>1.1000000000000001</v>
      </c>
      <c r="M198" s="156">
        <f t="shared" si="43"/>
        <v>1.52</v>
      </c>
      <c r="O198" s="150">
        <v>1.1000000000000001</v>
      </c>
      <c r="P198" s="151" t="s">
        <v>593</v>
      </c>
      <c r="Q198" s="152">
        <v>1226</v>
      </c>
      <c r="R198" s="152">
        <v>28.3</v>
      </c>
      <c r="S198" s="151">
        <v>1.41</v>
      </c>
      <c r="T198" s="151" t="s">
        <v>1675</v>
      </c>
      <c r="U198" s="151">
        <v>1984</v>
      </c>
      <c r="V198" s="151" t="s">
        <v>1718</v>
      </c>
      <c r="W198" s="151">
        <v>2277</v>
      </c>
      <c r="X198" s="151" t="s">
        <v>1718</v>
      </c>
      <c r="Z198" s="155">
        <f t="shared" si="44"/>
        <v>1.1000000000000001</v>
      </c>
      <c r="AA198" s="156">
        <f t="shared" si="45"/>
        <v>1.41</v>
      </c>
      <c r="AC198" s="150">
        <v>1.1000000000000001</v>
      </c>
      <c r="AD198" s="151" t="s">
        <v>593</v>
      </c>
      <c r="AE198" s="152">
        <v>297.3</v>
      </c>
      <c r="AF198" s="152">
        <v>0.39450000000000002</v>
      </c>
      <c r="AG198" s="151">
        <v>3.82</v>
      </c>
      <c r="AH198" s="151" t="s">
        <v>1675</v>
      </c>
      <c r="AI198" s="151">
        <v>2300</v>
      </c>
      <c r="AJ198" s="151" t="s">
        <v>1718</v>
      </c>
      <c r="AK198" s="151">
        <v>2947</v>
      </c>
      <c r="AL198" s="151" t="s">
        <v>1718</v>
      </c>
      <c r="AN198" s="155">
        <f t="shared" si="46"/>
        <v>1.1000000000000001</v>
      </c>
      <c r="AO198" s="156">
        <f t="shared" si="47"/>
        <v>3.82</v>
      </c>
      <c r="AQ198" s="150">
        <v>1.1000000000000001</v>
      </c>
      <c r="AR198" s="151" t="s">
        <v>593</v>
      </c>
      <c r="AS198" s="152">
        <v>38.590000000000003</v>
      </c>
      <c r="AT198" s="152">
        <v>2.8420000000000001E-2</v>
      </c>
      <c r="AU198" s="151">
        <v>18.84</v>
      </c>
      <c r="AV198" s="151" t="s">
        <v>1675</v>
      </c>
      <c r="AW198" s="151">
        <v>8926</v>
      </c>
      <c r="AX198" s="151" t="s">
        <v>1718</v>
      </c>
      <c r="AY198" s="151">
        <v>1.1299999999999999</v>
      </c>
      <c r="AZ198" s="151" t="s">
        <v>1675</v>
      </c>
      <c r="BB198" s="155">
        <f t="shared" si="48"/>
        <v>1.1000000000000001</v>
      </c>
      <c r="BC198" s="156">
        <f t="shared" si="49"/>
        <v>18.84</v>
      </c>
      <c r="BE198" s="150">
        <v>1.1000000000000001</v>
      </c>
      <c r="BF198" s="151" t="s">
        <v>593</v>
      </c>
      <c r="BG198" s="152">
        <v>1032</v>
      </c>
      <c r="BH198" s="152">
        <v>8.06</v>
      </c>
      <c r="BI198" s="151">
        <v>1.66</v>
      </c>
      <c r="BJ198" s="151" t="s">
        <v>1675</v>
      </c>
      <c r="BK198" s="151">
        <v>1705</v>
      </c>
      <c r="BL198" s="151" t="s">
        <v>1718</v>
      </c>
      <c r="BM198" s="151">
        <v>2112</v>
      </c>
      <c r="BN198" s="151" t="s">
        <v>1718</v>
      </c>
      <c r="BP198" s="155">
        <f t="shared" si="50"/>
        <v>1.1000000000000001</v>
      </c>
      <c r="BQ198" s="156">
        <f t="shared" si="51"/>
        <v>1.66</v>
      </c>
      <c r="BS198" s="150">
        <v>1.1000000000000001</v>
      </c>
      <c r="BT198" s="151" t="s">
        <v>593</v>
      </c>
      <c r="BU198" s="152">
        <v>1193</v>
      </c>
      <c r="BV198" s="152">
        <v>23.63</v>
      </c>
      <c r="BW198" s="151">
        <v>1.44</v>
      </c>
      <c r="BX198" s="151" t="s">
        <v>1675</v>
      </c>
      <c r="BY198" s="151">
        <v>1866</v>
      </c>
      <c r="BZ198" s="151" t="s">
        <v>1718</v>
      </c>
      <c r="CA198" s="151">
        <v>2172</v>
      </c>
      <c r="CB198" s="151" t="s">
        <v>1718</v>
      </c>
      <c r="CD198" s="155">
        <f t="shared" si="52"/>
        <v>1.1000000000000001</v>
      </c>
      <c r="CE198" s="156">
        <f t="shared" si="53"/>
        <v>1.44</v>
      </c>
      <c r="CG198" s="150">
        <v>1.1000000000000001</v>
      </c>
      <c r="CH198" s="151" t="s">
        <v>593</v>
      </c>
      <c r="CI198" s="152">
        <v>1124</v>
      </c>
      <c r="CJ198" s="152">
        <v>32.450000000000003</v>
      </c>
      <c r="CK198" s="151">
        <v>1.51</v>
      </c>
      <c r="CL198" s="151" t="s">
        <v>1675</v>
      </c>
      <c r="CM198" s="151">
        <v>2104</v>
      </c>
      <c r="CN198" s="151" t="s">
        <v>1718</v>
      </c>
      <c r="CO198" s="151">
        <v>2404</v>
      </c>
      <c r="CP198" s="151" t="s">
        <v>1718</v>
      </c>
      <c r="CR198" s="155">
        <f t="shared" si="54"/>
        <v>1.1000000000000001</v>
      </c>
      <c r="CS198" s="156">
        <f t="shared" si="55"/>
        <v>1.51</v>
      </c>
      <c r="CU198" s="151">
        <v>1.1000000000000001</v>
      </c>
      <c r="CV198" s="152" t="s">
        <v>593</v>
      </c>
      <c r="CW198" s="152">
        <v>1137</v>
      </c>
      <c r="CX198" s="152">
        <v>158.5</v>
      </c>
      <c r="CY198" s="151">
        <v>1</v>
      </c>
      <c r="CZ198" s="151" t="s">
        <v>1675</v>
      </c>
      <c r="DA198" s="151">
        <v>1654</v>
      </c>
      <c r="DB198" s="151" t="s">
        <v>1718</v>
      </c>
      <c r="DC198" s="151">
        <v>1654</v>
      </c>
      <c r="DD198" t="s">
        <v>1718</v>
      </c>
      <c r="DF198" s="155">
        <f t="shared" si="56"/>
        <v>1.1000000000000001</v>
      </c>
      <c r="DG198" s="156">
        <f t="shared" si="57"/>
        <v>1</v>
      </c>
      <c r="DI198" s="151">
        <v>1.1000000000000001</v>
      </c>
      <c r="DJ198" s="152" t="s">
        <v>593</v>
      </c>
      <c r="DK198" s="152">
        <v>1113</v>
      </c>
      <c r="DL198" s="152">
        <v>148.30000000000001</v>
      </c>
      <c r="DM198" s="151">
        <v>1.02</v>
      </c>
      <c r="DN198" s="151" t="s">
        <v>1675</v>
      </c>
      <c r="DO198" s="151">
        <v>1615</v>
      </c>
      <c r="DP198" s="151" t="s">
        <v>1718</v>
      </c>
      <c r="DQ198" s="151">
        <v>1626</v>
      </c>
      <c r="DR198" t="s">
        <v>1718</v>
      </c>
      <c r="DT198" s="155">
        <f t="shared" si="58"/>
        <v>1.1000000000000001</v>
      </c>
      <c r="DU198" s="156">
        <f t="shared" si="59"/>
        <v>1.02</v>
      </c>
    </row>
    <row r="199" spans="1:125" x14ac:dyDescent="0.2">
      <c r="A199" s="150">
        <v>1.2</v>
      </c>
      <c r="B199" s="151" t="s">
        <v>593</v>
      </c>
      <c r="C199" s="152">
        <v>1175</v>
      </c>
      <c r="D199" s="152">
        <v>35.82</v>
      </c>
      <c r="E199" s="151">
        <v>1.6</v>
      </c>
      <c r="F199" s="151" t="s">
        <v>1675</v>
      </c>
      <c r="G199" s="151">
        <v>2327</v>
      </c>
      <c r="H199" s="151" t="s">
        <v>1718</v>
      </c>
      <c r="I199" s="151">
        <v>2647</v>
      </c>
      <c r="J199" s="151" t="s">
        <v>1718</v>
      </c>
      <c r="L199" s="155">
        <f t="shared" si="42"/>
        <v>1.2</v>
      </c>
      <c r="M199" s="156">
        <f t="shared" si="43"/>
        <v>1.6</v>
      </c>
      <c r="O199" s="150">
        <v>1.2</v>
      </c>
      <c r="P199" s="151" t="s">
        <v>593</v>
      </c>
      <c r="Q199" s="152">
        <v>1283</v>
      </c>
      <c r="R199" s="152">
        <v>26.54</v>
      </c>
      <c r="S199" s="151">
        <v>1.49</v>
      </c>
      <c r="T199" s="151" t="s">
        <v>1675</v>
      </c>
      <c r="U199" s="151">
        <v>2012</v>
      </c>
      <c r="V199" s="151" t="s">
        <v>1718</v>
      </c>
      <c r="W199" s="151">
        <v>2332</v>
      </c>
      <c r="X199" s="151" t="s">
        <v>1718</v>
      </c>
      <c r="Z199" s="155">
        <f t="shared" si="44"/>
        <v>1.2</v>
      </c>
      <c r="AA199" s="156">
        <f t="shared" si="45"/>
        <v>1.49</v>
      </c>
      <c r="AC199" s="150">
        <v>1.2</v>
      </c>
      <c r="AD199" s="151" t="s">
        <v>593</v>
      </c>
      <c r="AE199" s="152">
        <v>288.89999999999998</v>
      </c>
      <c r="AF199" s="152">
        <v>0.36699999999999999</v>
      </c>
      <c r="AG199" s="151">
        <v>4.16</v>
      </c>
      <c r="AH199" s="151" t="s">
        <v>1675</v>
      </c>
      <c r="AI199" s="151">
        <v>2377</v>
      </c>
      <c r="AJ199" s="151" t="s">
        <v>1718</v>
      </c>
      <c r="AK199" s="151">
        <v>3039</v>
      </c>
      <c r="AL199" s="151" t="s">
        <v>1718</v>
      </c>
      <c r="AN199" s="155">
        <f t="shared" si="46"/>
        <v>1.2</v>
      </c>
      <c r="AO199" s="156">
        <f t="shared" si="47"/>
        <v>4.16</v>
      </c>
      <c r="AQ199" s="150">
        <v>1.2</v>
      </c>
      <c r="AR199" s="151" t="s">
        <v>593</v>
      </c>
      <c r="AS199" s="152">
        <v>36.450000000000003</v>
      </c>
      <c r="AT199" s="152">
        <v>2.639E-2</v>
      </c>
      <c r="AU199" s="151">
        <v>21.48</v>
      </c>
      <c r="AV199" s="151" t="s">
        <v>1675</v>
      </c>
      <c r="AW199" s="151">
        <v>9986</v>
      </c>
      <c r="AX199" s="151" t="s">
        <v>1718</v>
      </c>
      <c r="AY199" s="151">
        <v>1.26</v>
      </c>
      <c r="AZ199" s="151" t="s">
        <v>1675</v>
      </c>
      <c r="BB199" s="155">
        <f t="shared" si="48"/>
        <v>1.2</v>
      </c>
      <c r="BC199" s="156">
        <f t="shared" si="49"/>
        <v>21.48</v>
      </c>
      <c r="BE199" s="150">
        <v>1.2</v>
      </c>
      <c r="BF199" s="151" t="s">
        <v>593</v>
      </c>
      <c r="BG199" s="152">
        <v>1060</v>
      </c>
      <c r="BH199" s="152">
        <v>7.5330000000000004</v>
      </c>
      <c r="BI199" s="151">
        <v>1.75</v>
      </c>
      <c r="BJ199" s="151" t="s">
        <v>1675</v>
      </c>
      <c r="BK199" s="151">
        <v>1728</v>
      </c>
      <c r="BL199" s="151" t="s">
        <v>1718</v>
      </c>
      <c r="BM199" s="151">
        <v>2155</v>
      </c>
      <c r="BN199" s="151" t="s">
        <v>1718</v>
      </c>
      <c r="BP199" s="155">
        <f t="shared" si="50"/>
        <v>1.2</v>
      </c>
      <c r="BQ199" s="156">
        <f t="shared" si="51"/>
        <v>1.75</v>
      </c>
      <c r="BS199" s="150">
        <v>1.2</v>
      </c>
      <c r="BT199" s="151" t="s">
        <v>593</v>
      </c>
      <c r="BU199" s="152">
        <v>1251</v>
      </c>
      <c r="BV199" s="152">
        <v>22.14</v>
      </c>
      <c r="BW199" s="151">
        <v>1.51</v>
      </c>
      <c r="BX199" s="151" t="s">
        <v>1675</v>
      </c>
      <c r="BY199" s="151">
        <v>1892</v>
      </c>
      <c r="BZ199" s="151" t="s">
        <v>1718</v>
      </c>
      <c r="CA199" s="151">
        <v>2223</v>
      </c>
      <c r="CB199" s="151" t="s">
        <v>1718</v>
      </c>
      <c r="CD199" s="155">
        <f t="shared" si="52"/>
        <v>1.2</v>
      </c>
      <c r="CE199" s="156">
        <f t="shared" si="53"/>
        <v>1.51</v>
      </c>
      <c r="CG199" s="150">
        <v>1.2</v>
      </c>
      <c r="CH199" s="151" t="s">
        <v>593</v>
      </c>
      <c r="CI199" s="152">
        <v>1182</v>
      </c>
      <c r="CJ199" s="152">
        <v>30.44</v>
      </c>
      <c r="CK199" s="151">
        <v>1.59</v>
      </c>
      <c r="CL199" s="151" t="s">
        <v>1675</v>
      </c>
      <c r="CM199" s="151">
        <v>2136</v>
      </c>
      <c r="CN199" s="151" t="s">
        <v>1718</v>
      </c>
      <c r="CO199" s="151">
        <v>2466</v>
      </c>
      <c r="CP199" s="151" t="s">
        <v>1718</v>
      </c>
      <c r="CR199" s="155">
        <f t="shared" si="54"/>
        <v>1.2</v>
      </c>
      <c r="CS199" s="156">
        <f t="shared" si="55"/>
        <v>1.59</v>
      </c>
      <c r="CU199" s="151">
        <v>1.2</v>
      </c>
      <c r="CV199" s="152" t="s">
        <v>593</v>
      </c>
      <c r="CW199" s="152">
        <v>1205</v>
      </c>
      <c r="CX199" s="152">
        <v>149.80000000000001</v>
      </c>
      <c r="CY199" s="151">
        <v>1.08</v>
      </c>
      <c r="CZ199" s="151" t="s">
        <v>1675</v>
      </c>
      <c r="DA199" s="151">
        <v>1711</v>
      </c>
      <c r="DB199" s="151" t="s">
        <v>1718</v>
      </c>
      <c r="DC199" s="151">
        <v>1738</v>
      </c>
      <c r="DD199" t="s">
        <v>1718</v>
      </c>
      <c r="DF199" s="155">
        <f t="shared" si="56"/>
        <v>1.2</v>
      </c>
      <c r="DG199" s="156">
        <f t="shared" si="57"/>
        <v>1.08</v>
      </c>
      <c r="DI199" s="151">
        <v>1.2</v>
      </c>
      <c r="DJ199" s="152" t="s">
        <v>593</v>
      </c>
      <c r="DK199" s="152">
        <v>1174</v>
      </c>
      <c r="DL199" s="152">
        <v>140</v>
      </c>
      <c r="DM199" s="151">
        <v>1.1000000000000001</v>
      </c>
      <c r="DN199" s="151" t="s">
        <v>1675</v>
      </c>
      <c r="DO199" s="151">
        <v>1671</v>
      </c>
      <c r="DP199" s="151" t="s">
        <v>1718</v>
      </c>
      <c r="DQ199" s="151">
        <v>1710</v>
      </c>
      <c r="DR199" t="s">
        <v>1718</v>
      </c>
      <c r="DT199" s="155">
        <f t="shared" si="58"/>
        <v>1.2</v>
      </c>
      <c r="DU199" s="156">
        <f t="shared" si="59"/>
        <v>1.1000000000000001</v>
      </c>
    </row>
    <row r="200" spans="1:125" x14ac:dyDescent="0.2">
      <c r="A200" s="150">
        <v>1.3</v>
      </c>
      <c r="B200" s="151" t="s">
        <v>593</v>
      </c>
      <c r="C200" s="152">
        <v>1239</v>
      </c>
      <c r="D200" s="152">
        <v>33.770000000000003</v>
      </c>
      <c r="E200" s="151">
        <v>1.68</v>
      </c>
      <c r="F200" s="151" t="s">
        <v>1675</v>
      </c>
      <c r="G200" s="151">
        <v>2359</v>
      </c>
      <c r="H200" s="151" t="s">
        <v>1718</v>
      </c>
      <c r="I200" s="151">
        <v>2708</v>
      </c>
      <c r="J200" s="151" t="s">
        <v>1718</v>
      </c>
      <c r="L200" s="155">
        <f t="shared" si="42"/>
        <v>1.3</v>
      </c>
      <c r="M200" s="156">
        <f t="shared" si="43"/>
        <v>1.68</v>
      </c>
      <c r="O200" s="150">
        <v>1.3</v>
      </c>
      <c r="P200" s="151" t="s">
        <v>593</v>
      </c>
      <c r="Q200" s="152">
        <v>1335</v>
      </c>
      <c r="R200" s="152">
        <v>25</v>
      </c>
      <c r="S200" s="151">
        <v>1.56</v>
      </c>
      <c r="T200" s="151" t="s">
        <v>1675</v>
      </c>
      <c r="U200" s="151">
        <v>2037</v>
      </c>
      <c r="V200" s="151" t="s">
        <v>1718</v>
      </c>
      <c r="W200" s="151">
        <v>2381</v>
      </c>
      <c r="X200" s="151" t="s">
        <v>1718</v>
      </c>
      <c r="Z200" s="155">
        <f t="shared" si="44"/>
        <v>1.3</v>
      </c>
      <c r="AA200" s="156">
        <f t="shared" si="45"/>
        <v>1.56</v>
      </c>
      <c r="AC200" s="150">
        <v>1.3</v>
      </c>
      <c r="AD200" s="151" t="s">
        <v>593</v>
      </c>
      <c r="AE200" s="152">
        <v>280.8</v>
      </c>
      <c r="AF200" s="152">
        <v>0.34329999999999999</v>
      </c>
      <c r="AG200" s="151">
        <v>4.51</v>
      </c>
      <c r="AH200" s="151" t="s">
        <v>1675</v>
      </c>
      <c r="AI200" s="151">
        <v>2456</v>
      </c>
      <c r="AJ200" s="151" t="s">
        <v>1718</v>
      </c>
      <c r="AK200" s="151">
        <v>3133</v>
      </c>
      <c r="AL200" s="151" t="s">
        <v>1718</v>
      </c>
      <c r="AN200" s="155">
        <f t="shared" si="46"/>
        <v>1.3</v>
      </c>
      <c r="AO200" s="156">
        <f t="shared" si="47"/>
        <v>4.51</v>
      </c>
      <c r="AQ200" s="150">
        <v>1.3</v>
      </c>
      <c r="AR200" s="151" t="s">
        <v>593</v>
      </c>
      <c r="AS200" s="152">
        <v>34.64</v>
      </c>
      <c r="AT200" s="152">
        <v>2.4649999999999998E-2</v>
      </c>
      <c r="AU200" s="151">
        <v>24.28</v>
      </c>
      <c r="AV200" s="151" t="s">
        <v>1675</v>
      </c>
      <c r="AW200" s="151">
        <v>1.1100000000000001</v>
      </c>
      <c r="AX200" s="151" t="s">
        <v>1675</v>
      </c>
      <c r="AY200" s="151">
        <v>1.4</v>
      </c>
      <c r="AZ200" s="151" t="s">
        <v>1675</v>
      </c>
      <c r="BB200" s="155">
        <f t="shared" si="48"/>
        <v>1.3</v>
      </c>
      <c r="BC200" s="156">
        <f t="shared" si="49"/>
        <v>24.28</v>
      </c>
      <c r="BE200" s="150">
        <v>1.3</v>
      </c>
      <c r="BF200" s="151" t="s">
        <v>593</v>
      </c>
      <c r="BG200" s="152">
        <v>1084</v>
      </c>
      <c r="BH200" s="152">
        <v>7.0759999999999996</v>
      </c>
      <c r="BI200" s="151">
        <v>1.84</v>
      </c>
      <c r="BJ200" s="151" t="s">
        <v>1675</v>
      </c>
      <c r="BK200" s="151">
        <v>1749</v>
      </c>
      <c r="BL200" s="151" t="s">
        <v>1718</v>
      </c>
      <c r="BM200" s="151">
        <v>2195</v>
      </c>
      <c r="BN200" s="151" t="s">
        <v>1718</v>
      </c>
      <c r="BP200" s="155">
        <f t="shared" si="50"/>
        <v>1.3</v>
      </c>
      <c r="BQ200" s="156">
        <f t="shared" si="51"/>
        <v>1.84</v>
      </c>
      <c r="BS200" s="150">
        <v>1.3</v>
      </c>
      <c r="BT200" s="151" t="s">
        <v>593</v>
      </c>
      <c r="BU200" s="152">
        <v>1306</v>
      </c>
      <c r="BV200" s="152">
        <v>20.85</v>
      </c>
      <c r="BW200" s="151">
        <v>1.59</v>
      </c>
      <c r="BX200" s="151" t="s">
        <v>1675</v>
      </c>
      <c r="BY200" s="151">
        <v>1916</v>
      </c>
      <c r="BZ200" s="151" t="s">
        <v>1718</v>
      </c>
      <c r="CA200" s="151">
        <v>2269</v>
      </c>
      <c r="CB200" s="151" t="s">
        <v>1718</v>
      </c>
      <c r="CD200" s="155">
        <f t="shared" si="52"/>
        <v>1.3</v>
      </c>
      <c r="CE200" s="156">
        <f t="shared" si="53"/>
        <v>1.59</v>
      </c>
      <c r="CG200" s="150">
        <v>1.3</v>
      </c>
      <c r="CH200" s="151" t="s">
        <v>593</v>
      </c>
      <c r="CI200" s="152">
        <v>1235</v>
      </c>
      <c r="CJ200" s="152">
        <v>28.69</v>
      </c>
      <c r="CK200" s="151">
        <v>1.67</v>
      </c>
      <c r="CL200" s="151" t="s">
        <v>1675</v>
      </c>
      <c r="CM200" s="151">
        <v>2165</v>
      </c>
      <c r="CN200" s="151" t="s">
        <v>1718</v>
      </c>
      <c r="CO200" s="151">
        <v>2522</v>
      </c>
      <c r="CP200" s="151" t="s">
        <v>1718</v>
      </c>
      <c r="CR200" s="155">
        <f t="shared" si="54"/>
        <v>1.3</v>
      </c>
      <c r="CS200" s="156">
        <f t="shared" si="55"/>
        <v>1.67</v>
      </c>
      <c r="CU200" s="151">
        <v>1.3</v>
      </c>
      <c r="CV200" s="152" t="s">
        <v>593</v>
      </c>
      <c r="CW200" s="152">
        <v>1272</v>
      </c>
      <c r="CX200" s="152">
        <v>142.1</v>
      </c>
      <c r="CY200" s="151">
        <v>1.1399999999999999</v>
      </c>
      <c r="CZ200" s="151" t="s">
        <v>1675</v>
      </c>
      <c r="DA200" s="151">
        <v>1761</v>
      </c>
      <c r="DB200" s="151" t="s">
        <v>1718</v>
      </c>
      <c r="DC200" s="151">
        <v>1815</v>
      </c>
      <c r="DD200" t="s">
        <v>1718</v>
      </c>
      <c r="DF200" s="155">
        <f t="shared" si="56"/>
        <v>1.3</v>
      </c>
      <c r="DG200" s="156">
        <f t="shared" si="57"/>
        <v>1.1399999999999999</v>
      </c>
      <c r="DI200" s="151">
        <v>1.3</v>
      </c>
      <c r="DJ200" s="152" t="s">
        <v>593</v>
      </c>
      <c r="DK200" s="152">
        <v>1232</v>
      </c>
      <c r="DL200" s="152">
        <v>132.80000000000001</v>
      </c>
      <c r="DM200" s="151">
        <v>1.17</v>
      </c>
      <c r="DN200" s="151" t="s">
        <v>1675</v>
      </c>
      <c r="DO200" s="151">
        <v>1722</v>
      </c>
      <c r="DP200" s="151" t="s">
        <v>1718</v>
      </c>
      <c r="DQ200" s="151">
        <v>1787</v>
      </c>
      <c r="DR200" t="s">
        <v>1718</v>
      </c>
      <c r="DT200" s="155">
        <f t="shared" si="58"/>
        <v>1.3</v>
      </c>
      <c r="DU200" s="156">
        <f t="shared" si="59"/>
        <v>1.17</v>
      </c>
    </row>
    <row r="201" spans="1:125" x14ac:dyDescent="0.2">
      <c r="A201" s="150">
        <v>1.4</v>
      </c>
      <c r="B201" s="151" t="s">
        <v>593</v>
      </c>
      <c r="C201" s="152">
        <v>1300</v>
      </c>
      <c r="D201" s="152">
        <v>31.98</v>
      </c>
      <c r="E201" s="151">
        <v>1.75</v>
      </c>
      <c r="F201" s="151" t="s">
        <v>1675</v>
      </c>
      <c r="G201" s="151">
        <v>2387</v>
      </c>
      <c r="H201" s="151" t="s">
        <v>1718</v>
      </c>
      <c r="I201" s="151">
        <v>2764</v>
      </c>
      <c r="J201" s="151" t="s">
        <v>1718</v>
      </c>
      <c r="L201" s="155">
        <f t="shared" si="42"/>
        <v>1.4</v>
      </c>
      <c r="M201" s="156">
        <f t="shared" si="43"/>
        <v>1.75</v>
      </c>
      <c r="O201" s="150">
        <v>1.4</v>
      </c>
      <c r="P201" s="151" t="s">
        <v>593</v>
      </c>
      <c r="Q201" s="152">
        <v>1381</v>
      </c>
      <c r="R201" s="152">
        <v>23.65</v>
      </c>
      <c r="S201" s="151">
        <v>1.63</v>
      </c>
      <c r="T201" s="151" t="s">
        <v>1675</v>
      </c>
      <c r="U201" s="151">
        <v>2060</v>
      </c>
      <c r="V201" s="151" t="s">
        <v>1718</v>
      </c>
      <c r="W201" s="151">
        <v>2425</v>
      </c>
      <c r="X201" s="151" t="s">
        <v>1718</v>
      </c>
      <c r="Z201" s="155">
        <f t="shared" si="44"/>
        <v>1.4</v>
      </c>
      <c r="AA201" s="156">
        <f t="shared" si="45"/>
        <v>1.63</v>
      </c>
      <c r="AC201" s="150">
        <v>1.4</v>
      </c>
      <c r="AD201" s="151" t="s">
        <v>593</v>
      </c>
      <c r="AE201" s="152">
        <v>273</v>
      </c>
      <c r="AF201" s="152">
        <v>0.32269999999999999</v>
      </c>
      <c r="AG201" s="151">
        <v>4.87</v>
      </c>
      <c r="AH201" s="151" t="s">
        <v>1675</v>
      </c>
      <c r="AI201" s="151">
        <v>2536</v>
      </c>
      <c r="AJ201" s="151" t="s">
        <v>1718</v>
      </c>
      <c r="AK201" s="151">
        <v>3227</v>
      </c>
      <c r="AL201" s="151" t="s">
        <v>1718</v>
      </c>
      <c r="AN201" s="155">
        <f t="shared" si="46"/>
        <v>1.4</v>
      </c>
      <c r="AO201" s="156">
        <f t="shared" si="47"/>
        <v>4.87</v>
      </c>
      <c r="AQ201" s="150">
        <v>1.4</v>
      </c>
      <c r="AR201" s="151" t="s">
        <v>593</v>
      </c>
      <c r="AS201" s="152">
        <v>33.03</v>
      </c>
      <c r="AT201" s="152">
        <v>2.3130000000000001E-2</v>
      </c>
      <c r="AU201" s="151">
        <v>27.22</v>
      </c>
      <c r="AV201" s="151" t="s">
        <v>1675</v>
      </c>
      <c r="AW201" s="151">
        <v>1.21</v>
      </c>
      <c r="AX201" s="151" t="s">
        <v>1675</v>
      </c>
      <c r="AY201" s="151">
        <v>1.55</v>
      </c>
      <c r="AZ201" s="151" t="s">
        <v>1675</v>
      </c>
      <c r="BB201" s="155">
        <f t="shared" si="48"/>
        <v>1.4</v>
      </c>
      <c r="BC201" s="156">
        <f t="shared" si="49"/>
        <v>27.22</v>
      </c>
      <c r="BE201" s="150">
        <v>1.4</v>
      </c>
      <c r="BF201" s="151" t="s">
        <v>593</v>
      </c>
      <c r="BG201" s="152">
        <v>1104</v>
      </c>
      <c r="BH201" s="152">
        <v>6.6760000000000002</v>
      </c>
      <c r="BI201" s="151">
        <v>1.93</v>
      </c>
      <c r="BJ201" s="151" t="s">
        <v>1675</v>
      </c>
      <c r="BK201" s="151">
        <v>1768</v>
      </c>
      <c r="BL201" s="151" t="s">
        <v>1718</v>
      </c>
      <c r="BM201" s="151">
        <v>2233</v>
      </c>
      <c r="BN201" s="151" t="s">
        <v>1718</v>
      </c>
      <c r="BP201" s="155">
        <f t="shared" si="50"/>
        <v>1.4</v>
      </c>
      <c r="BQ201" s="156">
        <f t="shared" si="51"/>
        <v>1.93</v>
      </c>
      <c r="BS201" s="150">
        <v>1.4</v>
      </c>
      <c r="BT201" s="151" t="s">
        <v>593</v>
      </c>
      <c r="BU201" s="152">
        <v>1357</v>
      </c>
      <c r="BV201" s="152">
        <v>19.71</v>
      </c>
      <c r="BW201" s="151">
        <v>1.66</v>
      </c>
      <c r="BX201" s="151" t="s">
        <v>1675</v>
      </c>
      <c r="BY201" s="151">
        <v>1937</v>
      </c>
      <c r="BZ201" s="151" t="s">
        <v>1718</v>
      </c>
      <c r="CA201" s="151">
        <v>2311</v>
      </c>
      <c r="CB201" s="151" t="s">
        <v>1718</v>
      </c>
      <c r="CD201" s="155">
        <f t="shared" si="52"/>
        <v>1.4</v>
      </c>
      <c r="CE201" s="156">
        <f t="shared" si="53"/>
        <v>1.66</v>
      </c>
      <c r="CG201" s="150">
        <v>1.4</v>
      </c>
      <c r="CH201" s="151" t="s">
        <v>593</v>
      </c>
      <c r="CI201" s="152">
        <v>1283</v>
      </c>
      <c r="CJ201" s="152">
        <v>27.15</v>
      </c>
      <c r="CK201" s="151">
        <v>1.74</v>
      </c>
      <c r="CL201" s="151" t="s">
        <v>1675</v>
      </c>
      <c r="CM201" s="151">
        <v>2190</v>
      </c>
      <c r="CN201" s="151" t="s">
        <v>1718</v>
      </c>
      <c r="CO201" s="151">
        <v>2573</v>
      </c>
      <c r="CP201" s="151" t="s">
        <v>1718</v>
      </c>
      <c r="CR201" s="155">
        <f t="shared" si="54"/>
        <v>1.4</v>
      </c>
      <c r="CS201" s="156">
        <f t="shared" si="55"/>
        <v>1.74</v>
      </c>
      <c r="CU201" s="151">
        <v>1.4</v>
      </c>
      <c r="CV201" s="152" t="s">
        <v>593</v>
      </c>
      <c r="CW201" s="152">
        <v>1337</v>
      </c>
      <c r="CX201" s="152">
        <v>135.19999999999999</v>
      </c>
      <c r="CY201" s="151">
        <v>1.21</v>
      </c>
      <c r="CZ201" s="151" t="s">
        <v>1675</v>
      </c>
      <c r="DA201" s="151">
        <v>1807</v>
      </c>
      <c r="DB201" s="151" t="s">
        <v>1718</v>
      </c>
      <c r="DC201" s="151">
        <v>1886</v>
      </c>
      <c r="DD201" t="s">
        <v>1718</v>
      </c>
      <c r="DF201" s="155">
        <f t="shared" si="56"/>
        <v>1.4</v>
      </c>
      <c r="DG201" s="156">
        <f t="shared" si="57"/>
        <v>1.21</v>
      </c>
      <c r="DI201" s="151">
        <v>1.4</v>
      </c>
      <c r="DJ201" s="152" t="s">
        <v>593</v>
      </c>
      <c r="DK201" s="152">
        <v>1288</v>
      </c>
      <c r="DL201" s="152">
        <v>126.4</v>
      </c>
      <c r="DM201" s="151">
        <v>1.24</v>
      </c>
      <c r="DN201" s="151" t="s">
        <v>1675</v>
      </c>
      <c r="DO201" s="151">
        <v>1768</v>
      </c>
      <c r="DP201" s="151" t="s">
        <v>1718</v>
      </c>
      <c r="DQ201" s="151">
        <v>1858</v>
      </c>
      <c r="DR201" t="s">
        <v>1718</v>
      </c>
      <c r="DT201" s="155">
        <f t="shared" si="58"/>
        <v>1.4</v>
      </c>
      <c r="DU201" s="156">
        <f t="shared" si="59"/>
        <v>1.24</v>
      </c>
    </row>
    <row r="202" spans="1:125" x14ac:dyDescent="0.2">
      <c r="A202" s="150">
        <v>1.5</v>
      </c>
      <c r="B202" s="151" t="s">
        <v>593</v>
      </c>
      <c r="C202" s="152">
        <v>1357</v>
      </c>
      <c r="D202" s="152">
        <v>30.38</v>
      </c>
      <c r="E202" s="151">
        <v>1.82</v>
      </c>
      <c r="F202" s="151" t="s">
        <v>1675</v>
      </c>
      <c r="G202" s="151">
        <v>2411</v>
      </c>
      <c r="H202" s="151" t="s">
        <v>1718</v>
      </c>
      <c r="I202" s="151">
        <v>2814</v>
      </c>
      <c r="J202" s="151" t="s">
        <v>1718</v>
      </c>
      <c r="L202" s="155">
        <f t="shared" si="42"/>
        <v>1.5</v>
      </c>
      <c r="M202" s="156">
        <f t="shared" si="43"/>
        <v>1.82</v>
      </c>
      <c r="O202" s="150">
        <v>1.5</v>
      </c>
      <c r="P202" s="151" t="s">
        <v>593</v>
      </c>
      <c r="Q202" s="152">
        <v>1423</v>
      </c>
      <c r="R202" s="152">
        <v>22.46</v>
      </c>
      <c r="S202" s="151">
        <v>1.7</v>
      </c>
      <c r="T202" s="151" t="s">
        <v>1675</v>
      </c>
      <c r="U202" s="151">
        <v>2080</v>
      </c>
      <c r="V202" s="151" t="s">
        <v>1718</v>
      </c>
      <c r="W202" s="151">
        <v>2467</v>
      </c>
      <c r="X202" s="151" t="s">
        <v>1718</v>
      </c>
      <c r="Z202" s="155">
        <f t="shared" si="44"/>
        <v>1.5</v>
      </c>
      <c r="AA202" s="156">
        <f t="shared" si="45"/>
        <v>1.7</v>
      </c>
      <c r="AC202" s="150">
        <v>1.5</v>
      </c>
      <c r="AD202" s="151" t="s">
        <v>593</v>
      </c>
      <c r="AE202" s="152">
        <v>265.60000000000002</v>
      </c>
      <c r="AF202" s="152">
        <v>0.30459999999999998</v>
      </c>
      <c r="AG202" s="151">
        <v>5.24</v>
      </c>
      <c r="AH202" s="151" t="s">
        <v>1675</v>
      </c>
      <c r="AI202" s="151">
        <v>2618</v>
      </c>
      <c r="AJ202" s="151" t="s">
        <v>1718</v>
      </c>
      <c r="AK202" s="151">
        <v>3323</v>
      </c>
      <c r="AL202" s="151" t="s">
        <v>1718</v>
      </c>
      <c r="AN202" s="155">
        <f t="shared" si="46"/>
        <v>1.5</v>
      </c>
      <c r="AO202" s="156">
        <f t="shared" si="47"/>
        <v>5.24</v>
      </c>
      <c r="AQ202" s="150">
        <v>1.5</v>
      </c>
      <c r="AR202" s="151" t="s">
        <v>593</v>
      </c>
      <c r="AS202" s="152">
        <v>31.59</v>
      </c>
      <c r="AT202" s="152">
        <v>2.18E-2</v>
      </c>
      <c r="AU202" s="151">
        <v>30.29</v>
      </c>
      <c r="AV202" s="151" t="s">
        <v>1675</v>
      </c>
      <c r="AW202" s="151">
        <v>1.32</v>
      </c>
      <c r="AX202" s="151" t="s">
        <v>1675</v>
      </c>
      <c r="AY202" s="151">
        <v>1.71</v>
      </c>
      <c r="AZ202" s="151" t="s">
        <v>1675</v>
      </c>
      <c r="BB202" s="155">
        <f t="shared" si="48"/>
        <v>1.5</v>
      </c>
      <c r="BC202" s="156">
        <f t="shared" si="49"/>
        <v>30.29</v>
      </c>
      <c r="BE202" s="150">
        <v>1.5</v>
      </c>
      <c r="BF202" s="151" t="s">
        <v>593</v>
      </c>
      <c r="BG202" s="152">
        <v>1121</v>
      </c>
      <c r="BH202" s="152">
        <v>6.3220000000000001</v>
      </c>
      <c r="BI202" s="151">
        <v>2.02</v>
      </c>
      <c r="BJ202" s="151" t="s">
        <v>1675</v>
      </c>
      <c r="BK202" s="151">
        <v>1786</v>
      </c>
      <c r="BL202" s="151" t="s">
        <v>1718</v>
      </c>
      <c r="BM202" s="151">
        <v>2267</v>
      </c>
      <c r="BN202" s="151" t="s">
        <v>1718</v>
      </c>
      <c r="BP202" s="155">
        <f t="shared" si="50"/>
        <v>1.5</v>
      </c>
      <c r="BQ202" s="156">
        <f t="shared" si="51"/>
        <v>2.02</v>
      </c>
      <c r="BS202" s="150">
        <v>1.5</v>
      </c>
      <c r="BT202" s="151" t="s">
        <v>593</v>
      </c>
      <c r="BU202" s="152">
        <v>1405</v>
      </c>
      <c r="BV202" s="152">
        <v>18.71</v>
      </c>
      <c r="BW202" s="151">
        <v>1.73</v>
      </c>
      <c r="BX202" s="151" t="s">
        <v>1675</v>
      </c>
      <c r="BY202" s="151">
        <v>1955</v>
      </c>
      <c r="BZ202" s="151" t="s">
        <v>1718</v>
      </c>
      <c r="CA202" s="151">
        <v>2349</v>
      </c>
      <c r="CB202" s="151" t="s">
        <v>1718</v>
      </c>
      <c r="CD202" s="155">
        <f t="shared" si="52"/>
        <v>1.5</v>
      </c>
      <c r="CE202" s="156">
        <f t="shared" si="53"/>
        <v>1.73</v>
      </c>
      <c r="CG202" s="150">
        <v>1.5</v>
      </c>
      <c r="CH202" s="151" t="s">
        <v>593</v>
      </c>
      <c r="CI202" s="152">
        <v>1328</v>
      </c>
      <c r="CJ202" s="152">
        <v>25.78</v>
      </c>
      <c r="CK202" s="151">
        <v>1.82</v>
      </c>
      <c r="CL202" s="151" t="s">
        <v>1675</v>
      </c>
      <c r="CM202" s="151">
        <v>2213</v>
      </c>
      <c r="CN202" s="151" t="s">
        <v>1718</v>
      </c>
      <c r="CO202" s="151">
        <v>2620</v>
      </c>
      <c r="CP202" s="151" t="s">
        <v>1718</v>
      </c>
      <c r="CR202" s="155">
        <f t="shared" si="54"/>
        <v>1.5</v>
      </c>
      <c r="CS202" s="156">
        <f t="shared" si="55"/>
        <v>1.82</v>
      </c>
      <c r="CU202" s="151">
        <v>1.5</v>
      </c>
      <c r="CV202" s="152" t="s">
        <v>593</v>
      </c>
      <c r="CW202" s="152">
        <v>1400</v>
      </c>
      <c r="CX202" s="152">
        <v>129.1</v>
      </c>
      <c r="CY202" s="151">
        <v>1.27</v>
      </c>
      <c r="CZ202" s="151" t="s">
        <v>1675</v>
      </c>
      <c r="DA202" s="151">
        <v>1848</v>
      </c>
      <c r="DB202" s="151" t="s">
        <v>1718</v>
      </c>
      <c r="DC202" s="151">
        <v>1952</v>
      </c>
      <c r="DD202" t="s">
        <v>1718</v>
      </c>
      <c r="DF202" s="155">
        <f t="shared" si="56"/>
        <v>1.5</v>
      </c>
      <c r="DG202" s="156">
        <f t="shared" si="57"/>
        <v>1.27</v>
      </c>
      <c r="DI202" s="151">
        <v>1.5</v>
      </c>
      <c r="DJ202" s="152" t="s">
        <v>593</v>
      </c>
      <c r="DK202" s="152">
        <v>1341</v>
      </c>
      <c r="DL202" s="152">
        <v>120.6</v>
      </c>
      <c r="DM202" s="151">
        <v>1.31</v>
      </c>
      <c r="DN202" s="151" t="s">
        <v>1675</v>
      </c>
      <c r="DO202" s="151">
        <v>1810</v>
      </c>
      <c r="DP202" s="151" t="s">
        <v>1718</v>
      </c>
      <c r="DQ202" s="151">
        <v>1925</v>
      </c>
      <c r="DR202" t="s">
        <v>1718</v>
      </c>
      <c r="DT202" s="155">
        <f t="shared" si="58"/>
        <v>1.5</v>
      </c>
      <c r="DU202" s="156">
        <f t="shared" si="59"/>
        <v>1.31</v>
      </c>
    </row>
    <row r="203" spans="1:125" x14ac:dyDescent="0.2">
      <c r="A203" s="150">
        <v>1.6</v>
      </c>
      <c r="B203" s="151" t="s">
        <v>593</v>
      </c>
      <c r="C203" s="152">
        <v>1411</v>
      </c>
      <c r="D203" s="152">
        <v>28.95</v>
      </c>
      <c r="E203" s="151">
        <v>1.89</v>
      </c>
      <c r="F203" s="151" t="s">
        <v>1675</v>
      </c>
      <c r="G203" s="151">
        <v>2434</v>
      </c>
      <c r="H203" s="151" t="s">
        <v>1718</v>
      </c>
      <c r="I203" s="151">
        <v>2859</v>
      </c>
      <c r="J203" s="151" t="s">
        <v>1718</v>
      </c>
      <c r="L203" s="155">
        <f t="shared" si="42"/>
        <v>1.6</v>
      </c>
      <c r="M203" s="156">
        <f t="shared" si="43"/>
        <v>1.89</v>
      </c>
      <c r="O203" s="150">
        <v>1.6</v>
      </c>
      <c r="P203" s="151" t="s">
        <v>593</v>
      </c>
      <c r="Q203" s="152">
        <v>1462</v>
      </c>
      <c r="R203" s="152">
        <v>21.39</v>
      </c>
      <c r="S203" s="151">
        <v>1.77</v>
      </c>
      <c r="T203" s="151" t="s">
        <v>1675</v>
      </c>
      <c r="U203" s="151">
        <v>2099</v>
      </c>
      <c r="V203" s="151" t="s">
        <v>1718</v>
      </c>
      <c r="W203" s="151">
        <v>2505</v>
      </c>
      <c r="X203" s="151" t="s">
        <v>1718</v>
      </c>
      <c r="Z203" s="155">
        <f t="shared" si="44"/>
        <v>1.6</v>
      </c>
      <c r="AA203" s="156">
        <f t="shared" si="45"/>
        <v>1.77</v>
      </c>
      <c r="AC203" s="150">
        <v>1.6</v>
      </c>
      <c r="AD203" s="151" t="s">
        <v>593</v>
      </c>
      <c r="AE203" s="152">
        <v>258.5</v>
      </c>
      <c r="AF203" s="152">
        <v>0.28849999999999998</v>
      </c>
      <c r="AG203" s="151">
        <v>5.62</v>
      </c>
      <c r="AH203" s="151" t="s">
        <v>1675</v>
      </c>
      <c r="AI203" s="151">
        <v>2701</v>
      </c>
      <c r="AJ203" s="151" t="s">
        <v>1718</v>
      </c>
      <c r="AK203" s="151">
        <v>3421</v>
      </c>
      <c r="AL203" s="151" t="s">
        <v>1718</v>
      </c>
      <c r="AN203" s="155">
        <f t="shared" si="46"/>
        <v>1.6</v>
      </c>
      <c r="AO203" s="156">
        <f t="shared" si="47"/>
        <v>5.62</v>
      </c>
      <c r="AQ203" s="150">
        <v>1.6</v>
      </c>
      <c r="AR203" s="151" t="s">
        <v>593</v>
      </c>
      <c r="AS203" s="152">
        <v>30.28</v>
      </c>
      <c r="AT203" s="152">
        <v>2.0619999999999999E-2</v>
      </c>
      <c r="AU203" s="151">
        <v>33.5</v>
      </c>
      <c r="AV203" s="151" t="s">
        <v>1675</v>
      </c>
      <c r="AW203" s="151">
        <v>1.44</v>
      </c>
      <c r="AX203" s="151" t="s">
        <v>1675</v>
      </c>
      <c r="AY203" s="151">
        <v>1.87</v>
      </c>
      <c r="AZ203" s="151" t="s">
        <v>1675</v>
      </c>
      <c r="BB203" s="155">
        <f t="shared" si="48"/>
        <v>1.6</v>
      </c>
      <c r="BC203" s="156">
        <f t="shared" si="49"/>
        <v>33.5</v>
      </c>
      <c r="BE203" s="150">
        <v>1.6</v>
      </c>
      <c r="BF203" s="151" t="s">
        <v>593</v>
      </c>
      <c r="BG203" s="152">
        <v>1136</v>
      </c>
      <c r="BH203" s="152">
        <v>6.008</v>
      </c>
      <c r="BI203" s="151">
        <v>2.11</v>
      </c>
      <c r="BJ203" s="151" t="s">
        <v>1675</v>
      </c>
      <c r="BK203" s="151">
        <v>1803</v>
      </c>
      <c r="BL203" s="151" t="s">
        <v>1718</v>
      </c>
      <c r="BM203" s="151">
        <v>2300</v>
      </c>
      <c r="BN203" s="151" t="s">
        <v>1718</v>
      </c>
      <c r="BP203" s="155">
        <f t="shared" si="50"/>
        <v>1.6</v>
      </c>
      <c r="BQ203" s="156">
        <f t="shared" si="51"/>
        <v>2.11</v>
      </c>
      <c r="BS203" s="150">
        <v>1.6</v>
      </c>
      <c r="BT203" s="151" t="s">
        <v>593</v>
      </c>
      <c r="BU203" s="152">
        <v>1450</v>
      </c>
      <c r="BV203" s="152">
        <v>17.809999999999999</v>
      </c>
      <c r="BW203" s="151">
        <v>1.8</v>
      </c>
      <c r="BX203" s="151" t="s">
        <v>1675</v>
      </c>
      <c r="BY203" s="151">
        <v>1972</v>
      </c>
      <c r="BZ203" s="151" t="s">
        <v>1718</v>
      </c>
      <c r="CA203" s="151">
        <v>2384</v>
      </c>
      <c r="CB203" s="151" t="s">
        <v>1718</v>
      </c>
      <c r="CD203" s="155">
        <f t="shared" si="52"/>
        <v>1.6</v>
      </c>
      <c r="CE203" s="156">
        <f t="shared" si="53"/>
        <v>1.8</v>
      </c>
      <c r="CG203" s="150">
        <v>1.6</v>
      </c>
      <c r="CH203" s="151" t="s">
        <v>593</v>
      </c>
      <c r="CI203" s="152">
        <v>1369</v>
      </c>
      <c r="CJ203" s="152">
        <v>24.56</v>
      </c>
      <c r="CK203" s="151">
        <v>1.89</v>
      </c>
      <c r="CL203" s="151" t="s">
        <v>1675</v>
      </c>
      <c r="CM203" s="151">
        <v>2234</v>
      </c>
      <c r="CN203" s="151" t="s">
        <v>1718</v>
      </c>
      <c r="CO203" s="151">
        <v>2662</v>
      </c>
      <c r="CP203" s="151" t="s">
        <v>1718</v>
      </c>
      <c r="CR203" s="155">
        <f t="shared" si="54"/>
        <v>1.6</v>
      </c>
      <c r="CS203" s="156">
        <f t="shared" si="55"/>
        <v>1.89</v>
      </c>
      <c r="CU203" s="151">
        <v>1.6</v>
      </c>
      <c r="CV203" s="152" t="s">
        <v>593</v>
      </c>
      <c r="CW203" s="152">
        <v>1461</v>
      </c>
      <c r="CX203" s="152">
        <v>123.5</v>
      </c>
      <c r="CY203" s="151">
        <v>1.34</v>
      </c>
      <c r="CZ203" s="151" t="s">
        <v>1675</v>
      </c>
      <c r="DA203" s="151">
        <v>1886</v>
      </c>
      <c r="DB203" s="151" t="s">
        <v>1718</v>
      </c>
      <c r="DC203" s="151">
        <v>2014</v>
      </c>
      <c r="DD203" t="s">
        <v>1718</v>
      </c>
      <c r="DF203" s="155">
        <f t="shared" si="56"/>
        <v>1.6</v>
      </c>
      <c r="DG203" s="156">
        <f t="shared" si="57"/>
        <v>1.34</v>
      </c>
      <c r="DI203" s="151">
        <v>1.6</v>
      </c>
      <c r="DJ203" s="152" t="s">
        <v>593</v>
      </c>
      <c r="DK203" s="152">
        <v>1392</v>
      </c>
      <c r="DL203" s="152">
        <v>115.4</v>
      </c>
      <c r="DM203" s="151">
        <v>1.37</v>
      </c>
      <c r="DN203" s="151" t="s">
        <v>1675</v>
      </c>
      <c r="DO203" s="151">
        <v>1849</v>
      </c>
      <c r="DP203" s="151" t="s">
        <v>1718</v>
      </c>
      <c r="DQ203" s="151">
        <v>1987</v>
      </c>
      <c r="DR203" t="s">
        <v>1718</v>
      </c>
      <c r="DT203" s="155">
        <f t="shared" si="58"/>
        <v>1.6</v>
      </c>
      <c r="DU203" s="156">
        <f t="shared" si="59"/>
        <v>1.37</v>
      </c>
    </row>
    <row r="204" spans="1:125" x14ac:dyDescent="0.2">
      <c r="A204" s="150">
        <v>1.7</v>
      </c>
      <c r="B204" s="151" t="s">
        <v>593</v>
      </c>
      <c r="C204" s="152">
        <v>1462</v>
      </c>
      <c r="D204" s="152">
        <v>27.66</v>
      </c>
      <c r="E204" s="151">
        <v>1.96</v>
      </c>
      <c r="F204" s="151" t="s">
        <v>1675</v>
      </c>
      <c r="G204" s="151">
        <v>2454</v>
      </c>
      <c r="H204" s="151" t="s">
        <v>1718</v>
      </c>
      <c r="I204" s="151">
        <v>2902</v>
      </c>
      <c r="J204" s="151" t="s">
        <v>1718</v>
      </c>
      <c r="L204" s="155">
        <f t="shared" si="42"/>
        <v>1.7</v>
      </c>
      <c r="M204" s="156">
        <f t="shared" si="43"/>
        <v>1.96</v>
      </c>
      <c r="O204" s="150">
        <v>1.7</v>
      </c>
      <c r="P204" s="151" t="s">
        <v>593</v>
      </c>
      <c r="Q204" s="152">
        <v>1497</v>
      </c>
      <c r="R204" s="152">
        <v>20.420000000000002</v>
      </c>
      <c r="S204" s="151">
        <v>1.83</v>
      </c>
      <c r="T204" s="151" t="s">
        <v>1675</v>
      </c>
      <c r="U204" s="151">
        <v>2116</v>
      </c>
      <c r="V204" s="151" t="s">
        <v>1718</v>
      </c>
      <c r="W204" s="151">
        <v>2540</v>
      </c>
      <c r="X204" s="151" t="s">
        <v>1718</v>
      </c>
      <c r="Z204" s="155">
        <f t="shared" si="44"/>
        <v>1.7</v>
      </c>
      <c r="AA204" s="156">
        <f t="shared" si="45"/>
        <v>1.83</v>
      </c>
      <c r="AC204" s="150">
        <v>1.7</v>
      </c>
      <c r="AD204" s="151" t="s">
        <v>593</v>
      </c>
      <c r="AE204" s="152">
        <v>251.8</v>
      </c>
      <c r="AF204" s="152">
        <v>0.27410000000000001</v>
      </c>
      <c r="AG204" s="151">
        <v>6.01</v>
      </c>
      <c r="AH204" s="151" t="s">
        <v>1675</v>
      </c>
      <c r="AI204" s="151">
        <v>2786</v>
      </c>
      <c r="AJ204" s="151" t="s">
        <v>1718</v>
      </c>
      <c r="AK204" s="151">
        <v>3521</v>
      </c>
      <c r="AL204" s="151" t="s">
        <v>1718</v>
      </c>
      <c r="AN204" s="155">
        <f t="shared" si="46"/>
        <v>1.7</v>
      </c>
      <c r="AO204" s="156">
        <f t="shared" si="47"/>
        <v>6.01</v>
      </c>
      <c r="AQ204" s="150">
        <v>1.7</v>
      </c>
      <c r="AR204" s="151" t="s">
        <v>593</v>
      </c>
      <c r="AS204" s="152">
        <v>29.09</v>
      </c>
      <c r="AT204" s="152">
        <v>1.958E-2</v>
      </c>
      <c r="AU204" s="151">
        <v>36.85</v>
      </c>
      <c r="AV204" s="151" t="s">
        <v>1675</v>
      </c>
      <c r="AW204" s="151">
        <v>1.55</v>
      </c>
      <c r="AX204" s="151" t="s">
        <v>1675</v>
      </c>
      <c r="AY204" s="151">
        <v>2.0299999999999998</v>
      </c>
      <c r="AZ204" s="151" t="s">
        <v>1675</v>
      </c>
      <c r="BB204" s="155">
        <f t="shared" si="48"/>
        <v>1.7</v>
      </c>
      <c r="BC204" s="156">
        <f t="shared" si="49"/>
        <v>36.85</v>
      </c>
      <c r="BE204" s="150">
        <v>1.7</v>
      </c>
      <c r="BF204" s="151" t="s">
        <v>593</v>
      </c>
      <c r="BG204" s="152">
        <v>1148</v>
      </c>
      <c r="BH204" s="152">
        <v>5.7249999999999996</v>
      </c>
      <c r="BI204" s="151">
        <v>2.2000000000000002</v>
      </c>
      <c r="BJ204" s="151" t="s">
        <v>1675</v>
      </c>
      <c r="BK204" s="151">
        <v>1819</v>
      </c>
      <c r="BL204" s="151" t="s">
        <v>1718</v>
      </c>
      <c r="BM204" s="151">
        <v>2331</v>
      </c>
      <c r="BN204" s="151" t="s">
        <v>1718</v>
      </c>
      <c r="BP204" s="155">
        <f t="shared" si="50"/>
        <v>1.7</v>
      </c>
      <c r="BQ204" s="156">
        <f t="shared" si="51"/>
        <v>2.2000000000000002</v>
      </c>
      <c r="BS204" s="150">
        <v>1.7</v>
      </c>
      <c r="BT204" s="151" t="s">
        <v>593</v>
      </c>
      <c r="BU204" s="152">
        <v>1492</v>
      </c>
      <c r="BV204" s="152">
        <v>17</v>
      </c>
      <c r="BW204" s="151">
        <v>1.87</v>
      </c>
      <c r="BX204" s="151" t="s">
        <v>1675</v>
      </c>
      <c r="BY204" s="151">
        <v>1988</v>
      </c>
      <c r="BZ204" s="151" t="s">
        <v>1718</v>
      </c>
      <c r="CA204" s="151">
        <v>2417</v>
      </c>
      <c r="CB204" s="151" t="s">
        <v>1718</v>
      </c>
      <c r="CD204" s="155">
        <f t="shared" si="52"/>
        <v>1.7</v>
      </c>
      <c r="CE204" s="156">
        <f t="shared" si="53"/>
        <v>1.87</v>
      </c>
      <c r="CG204" s="150">
        <v>1.7</v>
      </c>
      <c r="CH204" s="151" t="s">
        <v>593</v>
      </c>
      <c r="CI204" s="152">
        <v>1406</v>
      </c>
      <c r="CJ204" s="152">
        <v>23.46</v>
      </c>
      <c r="CK204" s="151">
        <v>1.96</v>
      </c>
      <c r="CL204" s="151" t="s">
        <v>1675</v>
      </c>
      <c r="CM204" s="151">
        <v>2254</v>
      </c>
      <c r="CN204" s="151" t="s">
        <v>1718</v>
      </c>
      <c r="CO204" s="151">
        <v>2702</v>
      </c>
      <c r="CP204" s="151" t="s">
        <v>1718</v>
      </c>
      <c r="CR204" s="155">
        <f t="shared" si="54"/>
        <v>1.7</v>
      </c>
      <c r="CS204" s="156">
        <f t="shared" si="55"/>
        <v>1.96</v>
      </c>
      <c r="CU204" s="151">
        <v>1.7</v>
      </c>
      <c r="CV204" s="152" t="s">
        <v>593</v>
      </c>
      <c r="CW204" s="152">
        <v>1521</v>
      </c>
      <c r="CX204" s="152">
        <v>118.5</v>
      </c>
      <c r="CY204" s="151">
        <v>1.4</v>
      </c>
      <c r="CZ204" s="151" t="s">
        <v>1675</v>
      </c>
      <c r="DA204" s="151">
        <v>1920</v>
      </c>
      <c r="DB204" s="151" t="s">
        <v>1718</v>
      </c>
      <c r="DC204" s="151">
        <v>2071</v>
      </c>
      <c r="DD204" t="s">
        <v>1718</v>
      </c>
      <c r="DF204" s="155">
        <f t="shared" si="56"/>
        <v>1.7</v>
      </c>
      <c r="DG204" s="156">
        <f t="shared" si="57"/>
        <v>1.4</v>
      </c>
      <c r="DI204" s="151">
        <v>1.7</v>
      </c>
      <c r="DJ204" s="152" t="s">
        <v>593</v>
      </c>
      <c r="DK204" s="152">
        <v>1441</v>
      </c>
      <c r="DL204" s="152">
        <v>110.7</v>
      </c>
      <c r="DM204" s="151">
        <v>1.43</v>
      </c>
      <c r="DN204" s="151" t="s">
        <v>1675</v>
      </c>
      <c r="DO204" s="151">
        <v>1884</v>
      </c>
      <c r="DP204" s="151" t="s">
        <v>1718</v>
      </c>
      <c r="DQ204" s="151">
        <v>2046</v>
      </c>
      <c r="DR204" t="s">
        <v>1718</v>
      </c>
      <c r="DT204" s="155">
        <f t="shared" si="58"/>
        <v>1.7</v>
      </c>
      <c r="DU204" s="156">
        <f t="shared" si="59"/>
        <v>1.43</v>
      </c>
    </row>
    <row r="205" spans="1:125" x14ac:dyDescent="0.2">
      <c r="A205" s="150">
        <v>1.8</v>
      </c>
      <c r="B205" s="151" t="s">
        <v>593</v>
      </c>
      <c r="C205" s="152">
        <v>1510</v>
      </c>
      <c r="D205" s="152">
        <v>26.49</v>
      </c>
      <c r="E205" s="151">
        <v>2.02</v>
      </c>
      <c r="F205" s="151" t="s">
        <v>1675</v>
      </c>
      <c r="G205" s="151">
        <v>2472</v>
      </c>
      <c r="H205" s="151" t="s">
        <v>1718</v>
      </c>
      <c r="I205" s="151">
        <v>2940</v>
      </c>
      <c r="J205" s="151" t="s">
        <v>1718</v>
      </c>
      <c r="L205" s="155">
        <f t="shared" si="42"/>
        <v>1.8</v>
      </c>
      <c r="M205" s="156">
        <f t="shared" si="43"/>
        <v>2.02</v>
      </c>
      <c r="O205" s="150">
        <v>1.8</v>
      </c>
      <c r="P205" s="151" t="s">
        <v>593</v>
      </c>
      <c r="Q205" s="152">
        <v>1530</v>
      </c>
      <c r="R205" s="152">
        <v>19.55</v>
      </c>
      <c r="S205" s="151">
        <v>1.9</v>
      </c>
      <c r="T205" s="151" t="s">
        <v>1675</v>
      </c>
      <c r="U205" s="151">
        <v>2132</v>
      </c>
      <c r="V205" s="151" t="s">
        <v>1718</v>
      </c>
      <c r="W205" s="151">
        <v>2573</v>
      </c>
      <c r="X205" s="151" t="s">
        <v>1718</v>
      </c>
      <c r="Z205" s="155">
        <f t="shared" si="44"/>
        <v>1.8</v>
      </c>
      <c r="AA205" s="156">
        <f t="shared" si="45"/>
        <v>1.9</v>
      </c>
      <c r="AC205" s="150">
        <v>1.8</v>
      </c>
      <c r="AD205" s="151" t="s">
        <v>593</v>
      </c>
      <c r="AE205" s="152">
        <v>245.5</v>
      </c>
      <c r="AF205" s="152">
        <v>0.26129999999999998</v>
      </c>
      <c r="AG205" s="151">
        <v>6.41</v>
      </c>
      <c r="AH205" s="151" t="s">
        <v>1675</v>
      </c>
      <c r="AI205" s="151">
        <v>2872</v>
      </c>
      <c r="AJ205" s="151" t="s">
        <v>1718</v>
      </c>
      <c r="AK205" s="151">
        <v>3623</v>
      </c>
      <c r="AL205" s="151" t="s">
        <v>1718</v>
      </c>
      <c r="AN205" s="155">
        <f t="shared" si="46"/>
        <v>1.8</v>
      </c>
      <c r="AO205" s="156">
        <f t="shared" si="47"/>
        <v>6.41</v>
      </c>
      <c r="AQ205" s="150">
        <v>1.8</v>
      </c>
      <c r="AR205" s="151" t="s">
        <v>593</v>
      </c>
      <c r="AS205" s="152">
        <v>28.01</v>
      </c>
      <c r="AT205" s="152">
        <v>1.864E-2</v>
      </c>
      <c r="AU205" s="151">
        <v>40.33</v>
      </c>
      <c r="AV205" s="151" t="s">
        <v>1675</v>
      </c>
      <c r="AW205" s="151">
        <v>1.66</v>
      </c>
      <c r="AX205" s="151" t="s">
        <v>1675</v>
      </c>
      <c r="AY205" s="151">
        <v>2.2000000000000002</v>
      </c>
      <c r="AZ205" s="151" t="s">
        <v>1675</v>
      </c>
      <c r="BB205" s="155">
        <f t="shared" si="48"/>
        <v>1.8</v>
      </c>
      <c r="BC205" s="156">
        <f t="shared" si="49"/>
        <v>40.33</v>
      </c>
      <c r="BE205" s="150">
        <v>1.8</v>
      </c>
      <c r="BF205" s="151" t="s">
        <v>593</v>
      </c>
      <c r="BG205" s="152">
        <v>1158</v>
      </c>
      <c r="BH205" s="152">
        <v>5.47</v>
      </c>
      <c r="BI205" s="151">
        <v>2.2799999999999998</v>
      </c>
      <c r="BJ205" s="151" t="s">
        <v>1675</v>
      </c>
      <c r="BK205" s="151">
        <v>1834</v>
      </c>
      <c r="BL205" s="151" t="s">
        <v>1718</v>
      </c>
      <c r="BM205" s="151">
        <v>2361</v>
      </c>
      <c r="BN205" s="151" t="s">
        <v>1718</v>
      </c>
      <c r="BP205" s="155">
        <f t="shared" si="50"/>
        <v>1.8</v>
      </c>
      <c r="BQ205" s="156">
        <f t="shared" si="51"/>
        <v>2.2799999999999998</v>
      </c>
      <c r="BS205" s="150">
        <v>1.8</v>
      </c>
      <c r="BT205" s="151" t="s">
        <v>593</v>
      </c>
      <c r="BU205" s="152">
        <v>1530</v>
      </c>
      <c r="BV205" s="152">
        <v>16.27</v>
      </c>
      <c r="BW205" s="151">
        <v>1.93</v>
      </c>
      <c r="BX205" s="151" t="s">
        <v>1675</v>
      </c>
      <c r="BY205" s="151">
        <v>2003</v>
      </c>
      <c r="BZ205" s="151" t="s">
        <v>1718</v>
      </c>
      <c r="CA205" s="151">
        <v>2447</v>
      </c>
      <c r="CB205" s="151" t="s">
        <v>1718</v>
      </c>
      <c r="CD205" s="155">
        <f t="shared" si="52"/>
        <v>1.8</v>
      </c>
      <c r="CE205" s="156">
        <f t="shared" si="53"/>
        <v>1.93</v>
      </c>
      <c r="CG205" s="150">
        <v>1.8</v>
      </c>
      <c r="CH205" s="151" t="s">
        <v>593</v>
      </c>
      <c r="CI205" s="152">
        <v>1441</v>
      </c>
      <c r="CJ205" s="152">
        <v>22.46</v>
      </c>
      <c r="CK205" s="151">
        <v>2.0299999999999998</v>
      </c>
      <c r="CL205" s="151" t="s">
        <v>1675</v>
      </c>
      <c r="CM205" s="151">
        <v>2272</v>
      </c>
      <c r="CN205" s="151" t="s">
        <v>1718</v>
      </c>
      <c r="CO205" s="151">
        <v>2739</v>
      </c>
      <c r="CP205" s="151" t="s">
        <v>1718</v>
      </c>
      <c r="CR205" s="155">
        <f t="shared" si="54"/>
        <v>1.8</v>
      </c>
      <c r="CS205" s="156">
        <f t="shared" si="55"/>
        <v>2.0299999999999998</v>
      </c>
      <c r="CU205" s="151">
        <v>1.8</v>
      </c>
      <c r="CV205" s="152" t="s">
        <v>593</v>
      </c>
      <c r="CW205" s="152">
        <v>1579</v>
      </c>
      <c r="CX205" s="152">
        <v>113.9</v>
      </c>
      <c r="CY205" s="151">
        <v>1.45</v>
      </c>
      <c r="CZ205" s="151" t="s">
        <v>1675</v>
      </c>
      <c r="DA205" s="151">
        <v>1952</v>
      </c>
      <c r="DB205" s="151" t="s">
        <v>1718</v>
      </c>
      <c r="DC205" s="151">
        <v>2125</v>
      </c>
      <c r="DD205" t="s">
        <v>1718</v>
      </c>
      <c r="DF205" s="155">
        <f t="shared" si="56"/>
        <v>1.8</v>
      </c>
      <c r="DG205" s="156">
        <f t="shared" si="57"/>
        <v>1.45</v>
      </c>
      <c r="DI205" s="151">
        <v>1.8</v>
      </c>
      <c r="DJ205" s="152" t="s">
        <v>593</v>
      </c>
      <c r="DK205" s="152">
        <v>1488</v>
      </c>
      <c r="DL205" s="152">
        <v>106.4</v>
      </c>
      <c r="DM205" s="151">
        <v>1.5</v>
      </c>
      <c r="DN205" s="151" t="s">
        <v>1675</v>
      </c>
      <c r="DO205" s="151">
        <v>1917</v>
      </c>
      <c r="DP205" s="151" t="s">
        <v>1718</v>
      </c>
      <c r="DQ205" s="151">
        <v>2101</v>
      </c>
      <c r="DR205" t="s">
        <v>1718</v>
      </c>
      <c r="DT205" s="155">
        <f t="shared" si="58"/>
        <v>1.8</v>
      </c>
      <c r="DU205" s="156">
        <f t="shared" si="59"/>
        <v>1.5</v>
      </c>
    </row>
    <row r="206" spans="1:125" x14ac:dyDescent="0.2">
      <c r="A206" s="150">
        <v>2</v>
      </c>
      <c r="B206" s="151" t="s">
        <v>593</v>
      </c>
      <c r="C206" s="152">
        <v>1599</v>
      </c>
      <c r="D206" s="152">
        <v>24.46</v>
      </c>
      <c r="E206" s="151">
        <v>2.15</v>
      </c>
      <c r="F206" s="151" t="s">
        <v>1675</v>
      </c>
      <c r="G206" s="151">
        <v>2507</v>
      </c>
      <c r="H206" s="151" t="s">
        <v>1718</v>
      </c>
      <c r="I206" s="151">
        <v>3010</v>
      </c>
      <c r="J206" s="151" t="s">
        <v>1718</v>
      </c>
      <c r="L206" s="155">
        <f t="shared" si="42"/>
        <v>2</v>
      </c>
      <c r="M206" s="156">
        <f t="shared" si="43"/>
        <v>2.15</v>
      </c>
      <c r="O206" s="150">
        <v>2</v>
      </c>
      <c r="P206" s="151" t="s">
        <v>593</v>
      </c>
      <c r="Q206" s="152">
        <v>1587</v>
      </c>
      <c r="R206" s="152">
        <v>18.03</v>
      </c>
      <c r="S206" s="151">
        <v>2.02</v>
      </c>
      <c r="T206" s="151" t="s">
        <v>1675</v>
      </c>
      <c r="U206" s="151">
        <v>2164</v>
      </c>
      <c r="V206" s="151" t="s">
        <v>1718</v>
      </c>
      <c r="W206" s="151">
        <v>2634</v>
      </c>
      <c r="X206" s="151" t="s">
        <v>1718</v>
      </c>
      <c r="Z206" s="155">
        <f t="shared" si="44"/>
        <v>2</v>
      </c>
      <c r="AA206" s="156">
        <f t="shared" si="45"/>
        <v>2.02</v>
      </c>
      <c r="AC206" s="150">
        <v>2</v>
      </c>
      <c r="AD206" s="151" t="s">
        <v>593</v>
      </c>
      <c r="AE206" s="152">
        <v>233.7</v>
      </c>
      <c r="AF206" s="152">
        <v>0.23899999999999999</v>
      </c>
      <c r="AG206" s="151">
        <v>7.24</v>
      </c>
      <c r="AH206" s="151" t="s">
        <v>1675</v>
      </c>
      <c r="AI206" s="151">
        <v>3161</v>
      </c>
      <c r="AJ206" s="151" t="s">
        <v>1718</v>
      </c>
      <c r="AK206" s="151">
        <v>3834</v>
      </c>
      <c r="AL206" s="151" t="s">
        <v>1718</v>
      </c>
      <c r="AN206" s="155">
        <f t="shared" si="46"/>
        <v>2</v>
      </c>
      <c r="AO206" s="156">
        <f t="shared" si="47"/>
        <v>7.24</v>
      </c>
      <c r="AQ206" s="150">
        <v>2</v>
      </c>
      <c r="AR206" s="151" t="s">
        <v>593</v>
      </c>
      <c r="AS206" s="152">
        <v>26.09</v>
      </c>
      <c r="AT206" s="152">
        <v>1.702E-2</v>
      </c>
      <c r="AU206" s="151">
        <v>47.69</v>
      </c>
      <c r="AV206" s="151" t="s">
        <v>1675</v>
      </c>
      <c r="AW206" s="151">
        <v>2.04</v>
      </c>
      <c r="AX206" s="151" t="s">
        <v>1675</v>
      </c>
      <c r="AY206" s="151">
        <v>2.56</v>
      </c>
      <c r="AZ206" s="151" t="s">
        <v>1675</v>
      </c>
      <c r="BB206" s="155">
        <f t="shared" si="48"/>
        <v>2</v>
      </c>
      <c r="BC206" s="156">
        <f t="shared" si="49"/>
        <v>47.69</v>
      </c>
      <c r="BE206" s="150">
        <v>2</v>
      </c>
      <c r="BF206" s="151" t="s">
        <v>593</v>
      </c>
      <c r="BG206" s="152">
        <v>1173</v>
      </c>
      <c r="BH206" s="152">
        <v>5.0279999999999996</v>
      </c>
      <c r="BI206" s="151">
        <v>2.4500000000000002</v>
      </c>
      <c r="BJ206" s="151" t="s">
        <v>1675</v>
      </c>
      <c r="BK206" s="151">
        <v>1870</v>
      </c>
      <c r="BL206" s="151" t="s">
        <v>1718</v>
      </c>
      <c r="BM206" s="151">
        <v>2416</v>
      </c>
      <c r="BN206" s="151" t="s">
        <v>1718</v>
      </c>
      <c r="BP206" s="155">
        <f t="shared" si="50"/>
        <v>2</v>
      </c>
      <c r="BQ206" s="156">
        <f t="shared" si="51"/>
        <v>2.4500000000000002</v>
      </c>
      <c r="BS206" s="150">
        <v>2</v>
      </c>
      <c r="BT206" s="151" t="s">
        <v>593</v>
      </c>
      <c r="BU206" s="152">
        <v>1600</v>
      </c>
      <c r="BV206" s="152">
        <v>15</v>
      </c>
      <c r="BW206" s="151">
        <v>2.06</v>
      </c>
      <c r="BX206" s="151" t="s">
        <v>1675</v>
      </c>
      <c r="BY206" s="151">
        <v>2032</v>
      </c>
      <c r="BZ206" s="151" t="s">
        <v>1718</v>
      </c>
      <c r="CA206" s="151">
        <v>2503</v>
      </c>
      <c r="CB206" s="151" t="s">
        <v>1718</v>
      </c>
      <c r="CD206" s="155">
        <f t="shared" si="52"/>
        <v>2</v>
      </c>
      <c r="CE206" s="156">
        <f t="shared" si="53"/>
        <v>2.06</v>
      </c>
      <c r="CG206" s="150">
        <v>2</v>
      </c>
      <c r="CH206" s="151" t="s">
        <v>593</v>
      </c>
      <c r="CI206" s="152">
        <v>1502</v>
      </c>
      <c r="CJ206" s="152">
        <v>20.72</v>
      </c>
      <c r="CK206" s="151">
        <v>2.16</v>
      </c>
      <c r="CL206" s="151" t="s">
        <v>1675</v>
      </c>
      <c r="CM206" s="151">
        <v>2307</v>
      </c>
      <c r="CN206" s="151" t="s">
        <v>1718</v>
      </c>
      <c r="CO206" s="151">
        <v>2807</v>
      </c>
      <c r="CP206" s="151" t="s">
        <v>1718</v>
      </c>
      <c r="CR206" s="155">
        <f t="shared" si="54"/>
        <v>2</v>
      </c>
      <c r="CS206" s="156">
        <f t="shared" si="55"/>
        <v>2.16</v>
      </c>
      <c r="CU206" s="151">
        <v>2</v>
      </c>
      <c r="CV206" s="152" t="s">
        <v>593</v>
      </c>
      <c r="CW206" s="152">
        <v>1689</v>
      </c>
      <c r="CX206" s="152">
        <v>105.9</v>
      </c>
      <c r="CY206" s="151">
        <v>1.57</v>
      </c>
      <c r="CZ206" s="151" t="s">
        <v>1675</v>
      </c>
      <c r="DA206" s="151">
        <v>2011</v>
      </c>
      <c r="DB206" s="151" t="s">
        <v>1718</v>
      </c>
      <c r="DC206" s="151">
        <v>2222</v>
      </c>
      <c r="DD206" t="s">
        <v>1718</v>
      </c>
      <c r="DF206" s="155">
        <f t="shared" si="56"/>
        <v>2</v>
      </c>
      <c r="DG206" s="156">
        <f t="shared" si="57"/>
        <v>1.57</v>
      </c>
      <c r="DI206" s="151">
        <v>2</v>
      </c>
      <c r="DJ206" s="152" t="s">
        <v>593</v>
      </c>
      <c r="DK206" s="152">
        <v>1576</v>
      </c>
      <c r="DL206" s="152">
        <v>98.79</v>
      </c>
      <c r="DM206" s="151">
        <v>1.61</v>
      </c>
      <c r="DN206" s="151" t="s">
        <v>1675</v>
      </c>
      <c r="DO206" s="151">
        <v>1980</v>
      </c>
      <c r="DP206" s="151" t="s">
        <v>1718</v>
      </c>
      <c r="DQ206" s="151">
        <v>2202</v>
      </c>
      <c r="DR206" t="s">
        <v>1718</v>
      </c>
      <c r="DT206" s="155">
        <f t="shared" si="58"/>
        <v>2</v>
      </c>
      <c r="DU206" s="156">
        <f t="shared" si="59"/>
        <v>1.61</v>
      </c>
    </row>
    <row r="207" spans="1:125" x14ac:dyDescent="0.2">
      <c r="A207" s="150">
        <v>2.25</v>
      </c>
      <c r="B207" s="151" t="s">
        <v>593</v>
      </c>
      <c r="C207" s="152">
        <v>1697</v>
      </c>
      <c r="D207" s="152">
        <v>22.35</v>
      </c>
      <c r="E207" s="151">
        <v>2.29</v>
      </c>
      <c r="F207" s="151" t="s">
        <v>1675</v>
      </c>
      <c r="G207" s="151">
        <v>2547</v>
      </c>
      <c r="H207" s="151" t="s">
        <v>1718</v>
      </c>
      <c r="I207" s="151">
        <v>3086</v>
      </c>
      <c r="J207" s="151" t="s">
        <v>1718</v>
      </c>
      <c r="L207" s="155">
        <f t="shared" si="42"/>
        <v>2.25</v>
      </c>
      <c r="M207" s="156">
        <f t="shared" si="43"/>
        <v>2.29</v>
      </c>
      <c r="O207" s="150">
        <v>2.25</v>
      </c>
      <c r="P207" s="151" t="s">
        <v>593</v>
      </c>
      <c r="Q207" s="152">
        <v>1647</v>
      </c>
      <c r="R207" s="152">
        <v>16.46</v>
      </c>
      <c r="S207" s="151">
        <v>2.17</v>
      </c>
      <c r="T207" s="151" t="s">
        <v>1675</v>
      </c>
      <c r="U207" s="151">
        <v>2202</v>
      </c>
      <c r="V207" s="151" t="s">
        <v>1718</v>
      </c>
      <c r="W207" s="151">
        <v>2702</v>
      </c>
      <c r="X207" s="151" t="s">
        <v>1718</v>
      </c>
      <c r="Z207" s="155">
        <f t="shared" si="44"/>
        <v>2.25</v>
      </c>
      <c r="AA207" s="156">
        <f t="shared" si="45"/>
        <v>2.17</v>
      </c>
      <c r="AC207" s="150">
        <v>2.25</v>
      </c>
      <c r="AD207" s="151" t="s">
        <v>593</v>
      </c>
      <c r="AE207" s="152">
        <v>220.7</v>
      </c>
      <c r="AF207" s="152">
        <v>0.21629999999999999</v>
      </c>
      <c r="AG207" s="151">
        <v>8.34</v>
      </c>
      <c r="AH207" s="151" t="s">
        <v>1675</v>
      </c>
      <c r="AI207" s="151">
        <v>3590</v>
      </c>
      <c r="AJ207" s="151" t="s">
        <v>1718</v>
      </c>
      <c r="AK207" s="151">
        <v>4110</v>
      </c>
      <c r="AL207" s="151" t="s">
        <v>1718</v>
      </c>
      <c r="AN207" s="155">
        <f t="shared" si="46"/>
        <v>2.25</v>
      </c>
      <c r="AO207" s="156">
        <f t="shared" si="47"/>
        <v>8.34</v>
      </c>
      <c r="AQ207" s="150">
        <v>2.25</v>
      </c>
      <c r="AR207" s="151" t="s">
        <v>593</v>
      </c>
      <c r="AS207" s="152">
        <v>24.07</v>
      </c>
      <c r="AT207" s="152">
        <v>1.537E-2</v>
      </c>
      <c r="AU207" s="151">
        <v>57.61</v>
      </c>
      <c r="AV207" s="151" t="s">
        <v>1675</v>
      </c>
      <c r="AW207" s="151">
        <v>2.56</v>
      </c>
      <c r="AX207" s="151" t="s">
        <v>1675</v>
      </c>
      <c r="AY207" s="151">
        <v>3.03</v>
      </c>
      <c r="AZ207" s="151" t="s">
        <v>1675</v>
      </c>
      <c r="BB207" s="155">
        <f t="shared" si="48"/>
        <v>2.25</v>
      </c>
      <c r="BC207" s="156">
        <f t="shared" si="49"/>
        <v>57.61</v>
      </c>
      <c r="BE207" s="150">
        <v>2.25</v>
      </c>
      <c r="BF207" s="151" t="s">
        <v>593</v>
      </c>
      <c r="BG207" s="152">
        <v>1185</v>
      </c>
      <c r="BH207" s="152">
        <v>4.5739999999999998</v>
      </c>
      <c r="BI207" s="151">
        <v>2.66</v>
      </c>
      <c r="BJ207" s="151" t="s">
        <v>1675</v>
      </c>
      <c r="BK207" s="151">
        <v>1917</v>
      </c>
      <c r="BL207" s="151" t="s">
        <v>1718</v>
      </c>
      <c r="BM207" s="151">
        <v>2480</v>
      </c>
      <c r="BN207" s="151" t="s">
        <v>1718</v>
      </c>
      <c r="BP207" s="155">
        <f t="shared" si="50"/>
        <v>2.25</v>
      </c>
      <c r="BQ207" s="156">
        <f t="shared" si="51"/>
        <v>2.66</v>
      </c>
      <c r="BS207" s="150">
        <v>2.25</v>
      </c>
      <c r="BT207" s="151" t="s">
        <v>593</v>
      </c>
      <c r="BU207" s="152">
        <v>1674</v>
      </c>
      <c r="BV207" s="152">
        <v>13.68</v>
      </c>
      <c r="BW207" s="151">
        <v>2.21</v>
      </c>
      <c r="BX207" s="151" t="s">
        <v>1675</v>
      </c>
      <c r="BY207" s="151">
        <v>2067</v>
      </c>
      <c r="BZ207" s="151" t="s">
        <v>1718</v>
      </c>
      <c r="CA207" s="151">
        <v>2564</v>
      </c>
      <c r="CB207" s="151" t="s">
        <v>1718</v>
      </c>
      <c r="CD207" s="155">
        <f t="shared" si="52"/>
        <v>2.25</v>
      </c>
      <c r="CE207" s="156">
        <f t="shared" si="53"/>
        <v>2.21</v>
      </c>
      <c r="CG207" s="150">
        <v>2.25</v>
      </c>
      <c r="CH207" s="151" t="s">
        <v>593</v>
      </c>
      <c r="CI207" s="152">
        <v>1568</v>
      </c>
      <c r="CJ207" s="152">
        <v>18.920000000000002</v>
      </c>
      <c r="CK207" s="151">
        <v>2.3199999999999998</v>
      </c>
      <c r="CL207" s="151" t="s">
        <v>1675</v>
      </c>
      <c r="CM207" s="151">
        <v>2349</v>
      </c>
      <c r="CN207" s="151" t="s">
        <v>1718</v>
      </c>
      <c r="CO207" s="151">
        <v>2882</v>
      </c>
      <c r="CP207" s="151" t="s">
        <v>1718</v>
      </c>
      <c r="CR207" s="155">
        <f t="shared" si="54"/>
        <v>2.25</v>
      </c>
      <c r="CS207" s="156">
        <f t="shared" si="55"/>
        <v>2.3199999999999998</v>
      </c>
      <c r="CU207" s="151">
        <v>2.25</v>
      </c>
      <c r="CV207" s="152" t="s">
        <v>593</v>
      </c>
      <c r="CW207" s="152">
        <v>1817</v>
      </c>
      <c r="CX207" s="152">
        <v>97.44</v>
      </c>
      <c r="CY207" s="151">
        <v>1.7</v>
      </c>
      <c r="CZ207" s="151" t="s">
        <v>1675</v>
      </c>
      <c r="DA207" s="151">
        <v>2075</v>
      </c>
      <c r="DB207" s="151" t="s">
        <v>1718</v>
      </c>
      <c r="DC207" s="151">
        <v>2329</v>
      </c>
      <c r="DD207" t="s">
        <v>1718</v>
      </c>
      <c r="DF207" s="155">
        <f t="shared" si="56"/>
        <v>2.25</v>
      </c>
      <c r="DG207" s="156">
        <f t="shared" si="57"/>
        <v>1.7</v>
      </c>
      <c r="DI207" s="151">
        <v>2.25</v>
      </c>
      <c r="DJ207" s="152" t="s">
        <v>593</v>
      </c>
      <c r="DK207" s="152">
        <v>1678</v>
      </c>
      <c r="DL207" s="152">
        <v>90.88</v>
      </c>
      <c r="DM207" s="151">
        <v>1.76</v>
      </c>
      <c r="DN207" s="151" t="s">
        <v>1675</v>
      </c>
      <c r="DO207" s="151">
        <v>2049</v>
      </c>
      <c r="DP207" s="151" t="s">
        <v>1718</v>
      </c>
      <c r="DQ207" s="151">
        <v>2314</v>
      </c>
      <c r="DR207" t="s">
        <v>1718</v>
      </c>
      <c r="DT207" s="155">
        <f t="shared" si="58"/>
        <v>2.25</v>
      </c>
      <c r="DU207" s="156">
        <f t="shared" si="59"/>
        <v>1.76</v>
      </c>
    </row>
    <row r="208" spans="1:125" x14ac:dyDescent="0.2">
      <c r="A208" s="150">
        <v>2.5</v>
      </c>
      <c r="B208" s="151" t="s">
        <v>593</v>
      </c>
      <c r="C208" s="152">
        <v>1782</v>
      </c>
      <c r="D208" s="152">
        <v>20.61</v>
      </c>
      <c r="E208" s="151">
        <v>2.4300000000000002</v>
      </c>
      <c r="F208" s="151" t="s">
        <v>1675</v>
      </c>
      <c r="G208" s="151">
        <v>2580</v>
      </c>
      <c r="H208" s="151" t="s">
        <v>1718</v>
      </c>
      <c r="I208" s="151">
        <v>3151</v>
      </c>
      <c r="J208" s="151" t="s">
        <v>1718</v>
      </c>
      <c r="L208" s="155">
        <f t="shared" si="42"/>
        <v>2.5</v>
      </c>
      <c r="M208" s="156">
        <f t="shared" si="43"/>
        <v>2.4300000000000002</v>
      </c>
      <c r="O208" s="150">
        <v>2.5</v>
      </c>
      <c r="P208" s="151" t="s">
        <v>593</v>
      </c>
      <c r="Q208" s="152">
        <v>1698</v>
      </c>
      <c r="R208" s="152">
        <v>15.17</v>
      </c>
      <c r="S208" s="151">
        <v>2.3199999999999998</v>
      </c>
      <c r="T208" s="151" t="s">
        <v>1675</v>
      </c>
      <c r="U208" s="151">
        <v>2235</v>
      </c>
      <c r="V208" s="151" t="s">
        <v>1718</v>
      </c>
      <c r="W208" s="151">
        <v>2762</v>
      </c>
      <c r="X208" s="151" t="s">
        <v>1718</v>
      </c>
      <c r="Z208" s="155">
        <f t="shared" si="44"/>
        <v>2.5</v>
      </c>
      <c r="AA208" s="156">
        <f t="shared" si="45"/>
        <v>2.3199999999999998</v>
      </c>
      <c r="AC208" s="150">
        <v>2.5</v>
      </c>
      <c r="AD208" s="151" t="s">
        <v>593</v>
      </c>
      <c r="AE208" s="152">
        <v>209.1</v>
      </c>
      <c r="AF208" s="152">
        <v>0.1978</v>
      </c>
      <c r="AG208" s="151">
        <v>9.5</v>
      </c>
      <c r="AH208" s="151" t="s">
        <v>1675</v>
      </c>
      <c r="AI208" s="151">
        <v>4016</v>
      </c>
      <c r="AJ208" s="151" t="s">
        <v>1718</v>
      </c>
      <c r="AK208" s="151">
        <v>4401</v>
      </c>
      <c r="AL208" s="151" t="s">
        <v>1718</v>
      </c>
      <c r="AN208" s="155">
        <f t="shared" si="46"/>
        <v>2.5</v>
      </c>
      <c r="AO208" s="156">
        <f t="shared" si="47"/>
        <v>9.5</v>
      </c>
      <c r="AQ208" s="150">
        <v>2.5</v>
      </c>
      <c r="AR208" s="151" t="s">
        <v>593</v>
      </c>
      <c r="AS208" s="152">
        <v>22.38</v>
      </c>
      <c r="AT208" s="152">
        <v>1.4019999999999999E-2</v>
      </c>
      <c r="AU208" s="151">
        <v>68.319999999999993</v>
      </c>
      <c r="AV208" s="151" t="s">
        <v>1675</v>
      </c>
      <c r="AW208" s="151">
        <v>3.07</v>
      </c>
      <c r="AX208" s="151" t="s">
        <v>1675</v>
      </c>
      <c r="AY208" s="151">
        <v>3.54</v>
      </c>
      <c r="AZ208" s="151" t="s">
        <v>1675</v>
      </c>
      <c r="BB208" s="155">
        <f t="shared" si="48"/>
        <v>2.5</v>
      </c>
      <c r="BC208" s="156">
        <f t="shared" si="49"/>
        <v>68.319999999999993</v>
      </c>
      <c r="BE208" s="150">
        <v>2.5</v>
      </c>
      <c r="BF208" s="151" t="s">
        <v>593</v>
      </c>
      <c r="BG208" s="152">
        <v>1192</v>
      </c>
      <c r="BH208" s="152">
        <v>4.2009999999999996</v>
      </c>
      <c r="BI208" s="151">
        <v>2.87</v>
      </c>
      <c r="BJ208" s="151" t="s">
        <v>1675</v>
      </c>
      <c r="BK208" s="151">
        <v>1960</v>
      </c>
      <c r="BL208" s="151" t="s">
        <v>1718</v>
      </c>
      <c r="BM208" s="151">
        <v>2540</v>
      </c>
      <c r="BN208" s="151" t="s">
        <v>1718</v>
      </c>
      <c r="BP208" s="155">
        <f t="shared" si="50"/>
        <v>2.5</v>
      </c>
      <c r="BQ208" s="156">
        <f t="shared" si="51"/>
        <v>2.87</v>
      </c>
      <c r="BS208" s="150">
        <v>2.5</v>
      </c>
      <c r="BT208" s="151" t="s">
        <v>593</v>
      </c>
      <c r="BU208" s="152">
        <v>1734</v>
      </c>
      <c r="BV208" s="152">
        <v>12.6</v>
      </c>
      <c r="BW208" s="151">
        <v>2.35</v>
      </c>
      <c r="BX208" s="151" t="s">
        <v>1675</v>
      </c>
      <c r="BY208" s="151">
        <v>2097</v>
      </c>
      <c r="BZ208" s="151" t="s">
        <v>1718</v>
      </c>
      <c r="CA208" s="151">
        <v>2618</v>
      </c>
      <c r="CB208" s="151" t="s">
        <v>1718</v>
      </c>
      <c r="CD208" s="155">
        <f t="shared" si="52"/>
        <v>2.5</v>
      </c>
      <c r="CE208" s="156">
        <f t="shared" si="53"/>
        <v>2.35</v>
      </c>
      <c r="CG208" s="150">
        <v>2.5</v>
      </c>
      <c r="CH208" s="151" t="s">
        <v>593</v>
      </c>
      <c r="CI208" s="152">
        <v>1623</v>
      </c>
      <c r="CJ208" s="152">
        <v>17.440000000000001</v>
      </c>
      <c r="CK208" s="151">
        <v>2.4700000000000002</v>
      </c>
      <c r="CL208" s="151" t="s">
        <v>1675</v>
      </c>
      <c r="CM208" s="151">
        <v>2385</v>
      </c>
      <c r="CN208" s="151" t="s">
        <v>1718</v>
      </c>
      <c r="CO208" s="151">
        <v>2948</v>
      </c>
      <c r="CP208" s="151" t="s">
        <v>1718</v>
      </c>
      <c r="CR208" s="155">
        <f t="shared" si="54"/>
        <v>2.5</v>
      </c>
      <c r="CS208" s="156">
        <f t="shared" si="55"/>
        <v>2.4700000000000002</v>
      </c>
      <c r="CU208" s="151">
        <v>2.5</v>
      </c>
      <c r="CV208" s="152" t="s">
        <v>593</v>
      </c>
      <c r="CW208" s="152">
        <v>1935</v>
      </c>
      <c r="CX208" s="152">
        <v>90.38</v>
      </c>
      <c r="CY208" s="151">
        <v>1.82</v>
      </c>
      <c r="CZ208" s="151" t="s">
        <v>1675</v>
      </c>
      <c r="DA208" s="151">
        <v>2129</v>
      </c>
      <c r="DB208" s="151" t="s">
        <v>1718</v>
      </c>
      <c r="DC208" s="151">
        <v>2423</v>
      </c>
      <c r="DD208" t="s">
        <v>1718</v>
      </c>
      <c r="DF208" s="155">
        <f t="shared" si="56"/>
        <v>2.5</v>
      </c>
      <c r="DG208" s="156">
        <f t="shared" si="57"/>
        <v>1.82</v>
      </c>
      <c r="DI208" s="151">
        <v>2.5</v>
      </c>
      <c r="DJ208" s="152" t="s">
        <v>593</v>
      </c>
      <c r="DK208" s="152">
        <v>1771</v>
      </c>
      <c r="DL208" s="152">
        <v>84.27</v>
      </c>
      <c r="DM208" s="151">
        <v>1.89</v>
      </c>
      <c r="DN208" s="151" t="s">
        <v>1675</v>
      </c>
      <c r="DO208" s="151">
        <v>2108</v>
      </c>
      <c r="DP208" s="151" t="s">
        <v>1718</v>
      </c>
      <c r="DQ208" s="151">
        <v>2414</v>
      </c>
      <c r="DR208" t="s">
        <v>1718</v>
      </c>
      <c r="DT208" s="155">
        <f t="shared" si="58"/>
        <v>2.5</v>
      </c>
      <c r="DU208" s="156">
        <f t="shared" si="59"/>
        <v>1.89</v>
      </c>
    </row>
    <row r="209" spans="1:125" x14ac:dyDescent="0.2">
      <c r="A209" s="150">
        <v>2.75</v>
      </c>
      <c r="B209" s="151" t="s">
        <v>593</v>
      </c>
      <c r="C209" s="152">
        <v>1856</v>
      </c>
      <c r="D209" s="152">
        <v>19.14</v>
      </c>
      <c r="E209" s="151">
        <v>2.57</v>
      </c>
      <c r="F209" s="151" t="s">
        <v>1675</v>
      </c>
      <c r="G209" s="151">
        <v>2609</v>
      </c>
      <c r="H209" s="151" t="s">
        <v>1718</v>
      </c>
      <c r="I209" s="151">
        <v>3209</v>
      </c>
      <c r="J209" s="151" t="s">
        <v>1718</v>
      </c>
      <c r="L209" s="155">
        <f t="shared" si="42"/>
        <v>2.75</v>
      </c>
      <c r="M209" s="156">
        <f t="shared" si="43"/>
        <v>2.57</v>
      </c>
      <c r="O209" s="150">
        <v>2.75</v>
      </c>
      <c r="P209" s="151" t="s">
        <v>593</v>
      </c>
      <c r="Q209" s="152">
        <v>1741</v>
      </c>
      <c r="R209" s="152">
        <v>14.07</v>
      </c>
      <c r="S209" s="151">
        <v>2.46</v>
      </c>
      <c r="T209" s="151" t="s">
        <v>1675</v>
      </c>
      <c r="U209" s="151">
        <v>2266</v>
      </c>
      <c r="V209" s="151" t="s">
        <v>1718</v>
      </c>
      <c r="W209" s="151">
        <v>2817</v>
      </c>
      <c r="X209" s="151" t="s">
        <v>1718</v>
      </c>
      <c r="Z209" s="155">
        <f t="shared" si="44"/>
        <v>2.75</v>
      </c>
      <c r="AA209" s="156">
        <f t="shared" si="45"/>
        <v>2.46</v>
      </c>
      <c r="AC209" s="150">
        <v>2.75</v>
      </c>
      <c r="AD209" s="151" t="s">
        <v>593</v>
      </c>
      <c r="AE209" s="152">
        <v>198.9</v>
      </c>
      <c r="AF209" s="152">
        <v>0.18229999999999999</v>
      </c>
      <c r="AG209" s="151">
        <v>10.72</v>
      </c>
      <c r="AH209" s="151" t="s">
        <v>1675</v>
      </c>
      <c r="AI209" s="151">
        <v>4442</v>
      </c>
      <c r="AJ209" s="151" t="s">
        <v>1718</v>
      </c>
      <c r="AK209" s="151">
        <v>4706</v>
      </c>
      <c r="AL209" s="151" t="s">
        <v>1718</v>
      </c>
      <c r="AN209" s="155">
        <f t="shared" si="46"/>
        <v>2.75</v>
      </c>
      <c r="AO209" s="156">
        <f t="shared" si="47"/>
        <v>10.72</v>
      </c>
      <c r="AQ209" s="150">
        <v>2.75</v>
      </c>
      <c r="AR209" s="151" t="s">
        <v>593</v>
      </c>
      <c r="AS209" s="152">
        <v>20.94</v>
      </c>
      <c r="AT209" s="152">
        <v>1.291E-2</v>
      </c>
      <c r="AU209" s="151">
        <v>79.8</v>
      </c>
      <c r="AV209" s="151" t="s">
        <v>1675</v>
      </c>
      <c r="AW209" s="151">
        <v>3.56</v>
      </c>
      <c r="AX209" s="151" t="s">
        <v>1675</v>
      </c>
      <c r="AY209" s="151">
        <v>4.08</v>
      </c>
      <c r="AZ209" s="151" t="s">
        <v>1675</v>
      </c>
      <c r="BB209" s="155">
        <f t="shared" si="48"/>
        <v>2.75</v>
      </c>
      <c r="BC209" s="156">
        <f t="shared" si="49"/>
        <v>79.8</v>
      </c>
      <c r="BE209" s="150">
        <v>2.75</v>
      </c>
      <c r="BF209" s="151" t="s">
        <v>593</v>
      </c>
      <c r="BG209" s="152">
        <v>1195</v>
      </c>
      <c r="BH209" s="152">
        <v>3.8879999999999999</v>
      </c>
      <c r="BI209" s="151">
        <v>3.08</v>
      </c>
      <c r="BJ209" s="151" t="s">
        <v>1675</v>
      </c>
      <c r="BK209" s="151">
        <v>2002</v>
      </c>
      <c r="BL209" s="151" t="s">
        <v>1718</v>
      </c>
      <c r="BM209" s="151">
        <v>2595</v>
      </c>
      <c r="BN209" s="151" t="s">
        <v>1718</v>
      </c>
      <c r="BP209" s="155">
        <f t="shared" si="50"/>
        <v>2.75</v>
      </c>
      <c r="BQ209" s="156">
        <f t="shared" si="51"/>
        <v>3.08</v>
      </c>
      <c r="BS209" s="150">
        <v>2.75</v>
      </c>
      <c r="BT209" s="151" t="s">
        <v>593</v>
      </c>
      <c r="BU209" s="152">
        <v>1784</v>
      </c>
      <c r="BV209" s="152">
        <v>11.68</v>
      </c>
      <c r="BW209" s="151">
        <v>2.4900000000000002</v>
      </c>
      <c r="BX209" s="151" t="s">
        <v>1675</v>
      </c>
      <c r="BY209" s="151">
        <v>2124</v>
      </c>
      <c r="BZ209" s="151" t="s">
        <v>1718</v>
      </c>
      <c r="CA209" s="151">
        <v>2666</v>
      </c>
      <c r="CB209" s="151" t="s">
        <v>1718</v>
      </c>
      <c r="CD209" s="155">
        <f t="shared" si="52"/>
        <v>2.75</v>
      </c>
      <c r="CE209" s="156">
        <f t="shared" si="53"/>
        <v>2.4900000000000002</v>
      </c>
      <c r="CG209" s="150">
        <v>2.75</v>
      </c>
      <c r="CH209" s="151" t="s">
        <v>593</v>
      </c>
      <c r="CI209" s="152">
        <v>1670</v>
      </c>
      <c r="CJ209" s="152">
        <v>16.190000000000001</v>
      </c>
      <c r="CK209" s="151">
        <v>2.62</v>
      </c>
      <c r="CL209" s="151" t="s">
        <v>1675</v>
      </c>
      <c r="CM209" s="151">
        <v>2417</v>
      </c>
      <c r="CN209" s="151" t="s">
        <v>1718</v>
      </c>
      <c r="CO209" s="151">
        <v>3008</v>
      </c>
      <c r="CP209" s="151" t="s">
        <v>1718</v>
      </c>
      <c r="CR209" s="155">
        <f t="shared" si="54"/>
        <v>2.75</v>
      </c>
      <c r="CS209" s="156">
        <f t="shared" si="55"/>
        <v>2.62</v>
      </c>
      <c r="CU209" s="151">
        <v>2.75</v>
      </c>
      <c r="CV209" s="152" t="s">
        <v>593</v>
      </c>
      <c r="CW209" s="152">
        <v>2045</v>
      </c>
      <c r="CX209" s="152">
        <v>84.38</v>
      </c>
      <c r="CY209" s="151">
        <v>1.94</v>
      </c>
      <c r="CZ209" s="151" t="s">
        <v>1675</v>
      </c>
      <c r="DA209" s="151">
        <v>2176</v>
      </c>
      <c r="DB209" s="151" t="s">
        <v>1718</v>
      </c>
      <c r="DC209" s="151">
        <v>2507</v>
      </c>
      <c r="DD209" t="s">
        <v>1718</v>
      </c>
      <c r="DF209" s="155">
        <f t="shared" si="56"/>
        <v>2.75</v>
      </c>
      <c r="DG209" s="156">
        <f t="shared" si="57"/>
        <v>1.94</v>
      </c>
      <c r="DI209" s="151">
        <v>2.75</v>
      </c>
      <c r="DJ209" s="152" t="s">
        <v>593</v>
      </c>
      <c r="DK209" s="152">
        <v>1858</v>
      </c>
      <c r="DL209" s="152">
        <v>78.650000000000006</v>
      </c>
      <c r="DM209" s="151">
        <v>2.02</v>
      </c>
      <c r="DN209" s="151" t="s">
        <v>1675</v>
      </c>
      <c r="DO209" s="151">
        <v>2161</v>
      </c>
      <c r="DP209" s="151" t="s">
        <v>1718</v>
      </c>
      <c r="DQ209" s="151">
        <v>2503</v>
      </c>
      <c r="DR209" t="s">
        <v>1718</v>
      </c>
      <c r="DT209" s="155">
        <f t="shared" si="58"/>
        <v>2.75</v>
      </c>
      <c r="DU209" s="156">
        <f t="shared" si="59"/>
        <v>2.02</v>
      </c>
    </row>
    <row r="210" spans="1:125" x14ac:dyDescent="0.2">
      <c r="A210" s="150">
        <v>3</v>
      </c>
      <c r="B210" s="151" t="s">
        <v>593</v>
      </c>
      <c r="C210" s="152">
        <v>1921</v>
      </c>
      <c r="D210" s="152">
        <v>17.89</v>
      </c>
      <c r="E210" s="151">
        <v>2.7</v>
      </c>
      <c r="F210" s="151" t="s">
        <v>1675</v>
      </c>
      <c r="G210" s="151">
        <v>2635</v>
      </c>
      <c r="H210" s="151" t="s">
        <v>1718</v>
      </c>
      <c r="I210" s="151">
        <v>3261</v>
      </c>
      <c r="J210" s="151" t="s">
        <v>1718</v>
      </c>
      <c r="L210" s="155">
        <f t="shared" ref="L210:L273" si="60">IF((B210="GeV"),A210*1000,IF((B210="keV"),A210*0.001,A210))</f>
        <v>3</v>
      </c>
      <c r="M210" s="156">
        <f t="shared" ref="M210:M273" si="61">IF((F210="m"),E210*1000000,IF((F210="mm"),E210*1000,IF((F210="A"),E210*0.0001,E210)))</f>
        <v>2.7</v>
      </c>
      <c r="O210" s="150">
        <v>3</v>
      </c>
      <c r="P210" s="151" t="s">
        <v>593</v>
      </c>
      <c r="Q210" s="152">
        <v>1777</v>
      </c>
      <c r="R210" s="152">
        <v>13.14</v>
      </c>
      <c r="S210" s="151">
        <v>2.6</v>
      </c>
      <c r="T210" s="151" t="s">
        <v>1675</v>
      </c>
      <c r="U210" s="151">
        <v>2293</v>
      </c>
      <c r="V210" s="151" t="s">
        <v>1718</v>
      </c>
      <c r="W210" s="151">
        <v>2867</v>
      </c>
      <c r="X210" s="151" t="s">
        <v>1718</v>
      </c>
      <c r="Z210" s="155">
        <f t="shared" ref="Z210:Z273" si="62">IF((P210="GeV"),O210*1000,IF((P210="keV"),O210*0.001,O210))</f>
        <v>3</v>
      </c>
      <c r="AA210" s="156">
        <f t="shared" ref="AA210:AA273" si="63">IF((T210="m"),S210*1000000,IF((T210="mm"),S210*1000,IF((T210="A"),S210*0.0001,S210)))</f>
        <v>2.6</v>
      </c>
      <c r="AC210" s="150">
        <v>3</v>
      </c>
      <c r="AD210" s="151" t="s">
        <v>593</v>
      </c>
      <c r="AE210" s="152">
        <v>189.8</v>
      </c>
      <c r="AF210" s="152">
        <v>0.16930000000000001</v>
      </c>
      <c r="AG210" s="151">
        <v>12.01</v>
      </c>
      <c r="AH210" s="151" t="s">
        <v>1675</v>
      </c>
      <c r="AI210" s="151">
        <v>4869</v>
      </c>
      <c r="AJ210" s="151" t="s">
        <v>1718</v>
      </c>
      <c r="AK210" s="151">
        <v>5027</v>
      </c>
      <c r="AL210" s="151" t="s">
        <v>1718</v>
      </c>
      <c r="AN210" s="155">
        <f t="shared" ref="AN210:AN273" si="64">IF((AD210="GeV"),AC210*1000,IF((AD210="keV"),AC210*0.001,AC210))</f>
        <v>3</v>
      </c>
      <c r="AO210" s="156">
        <f t="shared" ref="AO210:AO273" si="65">IF((AH210="m"),AG210*1000000,IF((AH210="mm"),AG210*1000,IF((AH210="A"),AG210*0.0001,AG210)))</f>
        <v>12.01</v>
      </c>
      <c r="AQ210" s="150">
        <v>3</v>
      </c>
      <c r="AR210" s="151" t="s">
        <v>593</v>
      </c>
      <c r="AS210" s="152">
        <v>19.7</v>
      </c>
      <c r="AT210" s="152">
        <v>1.197E-2</v>
      </c>
      <c r="AU210" s="151">
        <v>92.05</v>
      </c>
      <c r="AV210" s="151" t="s">
        <v>1675</v>
      </c>
      <c r="AW210" s="151">
        <v>4.0599999999999996</v>
      </c>
      <c r="AX210" s="151" t="s">
        <v>1675</v>
      </c>
      <c r="AY210" s="151">
        <v>4.66</v>
      </c>
      <c r="AZ210" s="151" t="s">
        <v>1675</v>
      </c>
      <c r="BB210" s="155">
        <f t="shared" ref="BB210:BB273" si="66">IF((AR210="GeV"),AQ210*1000,IF((AR210="keV"),AQ210*0.001,AQ210))</f>
        <v>3</v>
      </c>
      <c r="BC210" s="156">
        <f t="shared" ref="BC210:BC273" si="67">IF((AV210="m"),AU210*1000000,IF((AV210="mm"),AU210*1000,IF((AV210="A"),AU210*0.0001,AU210)))</f>
        <v>92.05</v>
      </c>
      <c r="BE210" s="150">
        <v>3</v>
      </c>
      <c r="BF210" s="151" t="s">
        <v>593</v>
      </c>
      <c r="BG210" s="152">
        <v>1195</v>
      </c>
      <c r="BH210" s="152">
        <v>3.6219999999999999</v>
      </c>
      <c r="BI210" s="151">
        <v>3.28</v>
      </c>
      <c r="BJ210" s="151" t="s">
        <v>1675</v>
      </c>
      <c r="BK210" s="151">
        <v>2042</v>
      </c>
      <c r="BL210" s="151" t="s">
        <v>1718</v>
      </c>
      <c r="BM210" s="151">
        <v>2648</v>
      </c>
      <c r="BN210" s="151" t="s">
        <v>1718</v>
      </c>
      <c r="BP210" s="155">
        <f t="shared" ref="BP210:BP273" si="68">IF((BF210="GeV"),BE210*1000,IF((BF210="keV"),BE210*0.001,BE210))</f>
        <v>3</v>
      </c>
      <c r="BQ210" s="156">
        <f t="shared" ref="BQ210:BQ273" si="69">IF((BJ210="m"),BI210*1000000,IF((BJ210="mm"),BI210*1000,IF((BJ210="A"),BI210*0.0001,BI210)))</f>
        <v>3.28</v>
      </c>
      <c r="BS210" s="150">
        <v>3</v>
      </c>
      <c r="BT210" s="151" t="s">
        <v>593</v>
      </c>
      <c r="BU210" s="152">
        <v>1824</v>
      </c>
      <c r="BV210" s="152">
        <v>10.9</v>
      </c>
      <c r="BW210" s="151">
        <v>2.63</v>
      </c>
      <c r="BX210" s="151" t="s">
        <v>1675</v>
      </c>
      <c r="BY210" s="151">
        <v>2149</v>
      </c>
      <c r="BZ210" s="151" t="s">
        <v>1718</v>
      </c>
      <c r="CA210" s="151">
        <v>2710</v>
      </c>
      <c r="CB210" s="151" t="s">
        <v>1718</v>
      </c>
      <c r="CD210" s="155">
        <f t="shared" ref="CD210:CD273" si="70">IF((BT210="GeV"),BS210*1000,IF((BT210="keV"),BS210*0.001,BS210))</f>
        <v>3</v>
      </c>
      <c r="CE210" s="156">
        <f t="shared" ref="CE210:CE273" si="71">IF((BX210="m"),BW210*1000000,IF((BX210="mm"),BW210*1000,IF((BX210="A"),BW210*0.0001,BW210)))</f>
        <v>2.63</v>
      </c>
      <c r="CG210" s="150">
        <v>3</v>
      </c>
      <c r="CH210" s="151" t="s">
        <v>593</v>
      </c>
      <c r="CI210" s="152">
        <v>1711</v>
      </c>
      <c r="CJ210" s="152">
        <v>15.12</v>
      </c>
      <c r="CK210" s="151">
        <v>2.76</v>
      </c>
      <c r="CL210" s="151" t="s">
        <v>1675</v>
      </c>
      <c r="CM210" s="151">
        <v>2447</v>
      </c>
      <c r="CN210" s="151" t="s">
        <v>1718</v>
      </c>
      <c r="CO210" s="151">
        <v>3062</v>
      </c>
      <c r="CP210" s="151" t="s">
        <v>1718</v>
      </c>
      <c r="CR210" s="155">
        <f t="shared" ref="CR210:CR273" si="72">IF((CH210="GeV"),CG210*1000,IF((CH210="keV"),CG210*0.001,CG210))</f>
        <v>3</v>
      </c>
      <c r="CS210" s="156">
        <f t="shared" ref="CS210:CS273" si="73">IF((CL210="m"),CK210*1000000,IF((CL210="mm"),CK210*1000,IF((CL210="A"),CK210*0.0001,CK210)))</f>
        <v>2.76</v>
      </c>
      <c r="CU210" s="151">
        <v>3</v>
      </c>
      <c r="CV210" s="152" t="s">
        <v>593</v>
      </c>
      <c r="CW210" s="152">
        <v>2146</v>
      </c>
      <c r="CX210" s="152">
        <v>79.2</v>
      </c>
      <c r="CY210" s="151">
        <v>2.0499999999999998</v>
      </c>
      <c r="CZ210" s="151" t="s">
        <v>1675</v>
      </c>
      <c r="DA210" s="151">
        <v>2217</v>
      </c>
      <c r="DB210" s="151" t="s">
        <v>1718</v>
      </c>
      <c r="DC210" s="151">
        <v>2581</v>
      </c>
      <c r="DD210" t="s">
        <v>1718</v>
      </c>
      <c r="DF210" s="155">
        <f t="shared" ref="DF210:DF273" si="74">IF((CV210="GeV"),CU210*1000,IF((CV210="keV"),CU210*0.001,CU210))</f>
        <v>3</v>
      </c>
      <c r="DG210" s="156">
        <f t="shared" ref="DG210:DG273" si="75">IF((CZ210="m"),CY210*1000000,IF((CZ210="mm"),CY210*1000,IF((CZ210="A"),CY210*0.0001,CY210)))</f>
        <v>2.0499999999999998</v>
      </c>
      <c r="DI210" s="151">
        <v>3</v>
      </c>
      <c r="DJ210" s="152" t="s">
        <v>593</v>
      </c>
      <c r="DK210" s="152">
        <v>1940</v>
      </c>
      <c r="DL210" s="152">
        <v>73.8</v>
      </c>
      <c r="DM210" s="151">
        <v>2.14</v>
      </c>
      <c r="DN210" s="151" t="s">
        <v>1675</v>
      </c>
      <c r="DO210" s="151">
        <v>2207</v>
      </c>
      <c r="DP210" s="151" t="s">
        <v>1718</v>
      </c>
      <c r="DQ210" s="151">
        <v>2584</v>
      </c>
      <c r="DR210" t="s">
        <v>1718</v>
      </c>
      <c r="DT210" s="155">
        <f t="shared" ref="DT210:DT273" si="76">IF((DJ210="GeV"),DI210*1000,IF((DJ210="keV"),DI210*0.001,DI210))</f>
        <v>3</v>
      </c>
      <c r="DU210" s="156">
        <f t="shared" ref="DU210:DU273" si="77">IF((DN210="m"),DM210*1000000,IF((DN210="mm"),DM210*1000,IF((DN210="A"),DM210*0.0001,DM210)))</f>
        <v>2.14</v>
      </c>
    </row>
    <row r="211" spans="1:125" x14ac:dyDescent="0.2">
      <c r="A211" s="150">
        <v>3.25</v>
      </c>
      <c r="B211" s="151" t="s">
        <v>593</v>
      </c>
      <c r="C211" s="152">
        <v>1978</v>
      </c>
      <c r="D211" s="152">
        <v>16.8</v>
      </c>
      <c r="E211" s="151">
        <v>2.82</v>
      </c>
      <c r="F211" s="151" t="s">
        <v>1675</v>
      </c>
      <c r="G211" s="151">
        <v>2659</v>
      </c>
      <c r="H211" s="151" t="s">
        <v>1718</v>
      </c>
      <c r="I211" s="151">
        <v>3308</v>
      </c>
      <c r="J211" s="151" t="s">
        <v>1718</v>
      </c>
      <c r="L211" s="155">
        <f t="shared" si="60"/>
        <v>3.25</v>
      </c>
      <c r="M211" s="156">
        <f t="shared" si="61"/>
        <v>2.82</v>
      </c>
      <c r="O211" s="150">
        <v>3.25</v>
      </c>
      <c r="P211" s="151" t="s">
        <v>593</v>
      </c>
      <c r="Q211" s="152">
        <v>1809</v>
      </c>
      <c r="R211" s="152">
        <v>12.34</v>
      </c>
      <c r="S211" s="151">
        <v>2.74</v>
      </c>
      <c r="T211" s="151" t="s">
        <v>1675</v>
      </c>
      <c r="U211" s="151">
        <v>2319</v>
      </c>
      <c r="V211" s="151" t="s">
        <v>1718</v>
      </c>
      <c r="W211" s="151">
        <v>2913</v>
      </c>
      <c r="X211" s="151" t="s">
        <v>1718</v>
      </c>
      <c r="Z211" s="155">
        <f t="shared" si="62"/>
        <v>3.25</v>
      </c>
      <c r="AA211" s="156">
        <f t="shared" si="63"/>
        <v>2.74</v>
      </c>
      <c r="AC211" s="150">
        <v>3.25</v>
      </c>
      <c r="AD211" s="151" t="s">
        <v>593</v>
      </c>
      <c r="AE211" s="152">
        <v>181.6</v>
      </c>
      <c r="AF211" s="152">
        <v>0.15809999999999999</v>
      </c>
      <c r="AG211" s="151">
        <v>13.35</v>
      </c>
      <c r="AH211" s="151" t="s">
        <v>1675</v>
      </c>
      <c r="AI211" s="151">
        <v>5298</v>
      </c>
      <c r="AJ211" s="151" t="s">
        <v>1718</v>
      </c>
      <c r="AK211" s="151">
        <v>5362</v>
      </c>
      <c r="AL211" s="151" t="s">
        <v>1718</v>
      </c>
      <c r="AN211" s="155">
        <f t="shared" si="64"/>
        <v>3.25</v>
      </c>
      <c r="AO211" s="156">
        <f t="shared" si="65"/>
        <v>13.35</v>
      </c>
      <c r="AQ211" s="150">
        <v>3.25</v>
      </c>
      <c r="AR211" s="151" t="s">
        <v>593</v>
      </c>
      <c r="AS211" s="152">
        <v>18.61</v>
      </c>
      <c r="AT211" s="152">
        <v>1.116E-2</v>
      </c>
      <c r="AU211" s="151">
        <v>105.03</v>
      </c>
      <c r="AV211" s="151" t="s">
        <v>1675</v>
      </c>
      <c r="AW211" s="151">
        <v>4.5599999999999996</v>
      </c>
      <c r="AX211" s="151" t="s">
        <v>1675</v>
      </c>
      <c r="AY211" s="151">
        <v>5.26</v>
      </c>
      <c r="AZ211" s="151" t="s">
        <v>1675</v>
      </c>
      <c r="BB211" s="155">
        <f t="shared" si="66"/>
        <v>3.25</v>
      </c>
      <c r="BC211" s="156">
        <f t="shared" si="67"/>
        <v>105.03</v>
      </c>
      <c r="BE211" s="150">
        <v>3.25</v>
      </c>
      <c r="BF211" s="151" t="s">
        <v>593</v>
      </c>
      <c r="BG211" s="152">
        <v>1194</v>
      </c>
      <c r="BH211" s="152">
        <v>3.3919999999999999</v>
      </c>
      <c r="BI211" s="151">
        <v>3.49</v>
      </c>
      <c r="BJ211" s="151" t="s">
        <v>1675</v>
      </c>
      <c r="BK211" s="151">
        <v>2080</v>
      </c>
      <c r="BL211" s="151" t="s">
        <v>1718</v>
      </c>
      <c r="BM211" s="151">
        <v>2699</v>
      </c>
      <c r="BN211" s="151" t="s">
        <v>1718</v>
      </c>
      <c r="BP211" s="155">
        <f t="shared" si="68"/>
        <v>3.25</v>
      </c>
      <c r="BQ211" s="156">
        <f t="shared" si="69"/>
        <v>3.49</v>
      </c>
      <c r="BS211" s="150">
        <v>3.25</v>
      </c>
      <c r="BT211" s="151" t="s">
        <v>593</v>
      </c>
      <c r="BU211" s="152">
        <v>1856</v>
      </c>
      <c r="BV211" s="152">
        <v>10.23</v>
      </c>
      <c r="BW211" s="151">
        <v>2.76</v>
      </c>
      <c r="BX211" s="151" t="s">
        <v>1675</v>
      </c>
      <c r="BY211" s="151">
        <v>2172</v>
      </c>
      <c r="BZ211" s="151" t="s">
        <v>1718</v>
      </c>
      <c r="CA211" s="151">
        <v>2751</v>
      </c>
      <c r="CB211" s="151" t="s">
        <v>1718</v>
      </c>
      <c r="CD211" s="155">
        <f t="shared" si="70"/>
        <v>3.25</v>
      </c>
      <c r="CE211" s="156">
        <f t="shared" si="71"/>
        <v>2.76</v>
      </c>
      <c r="CG211" s="150">
        <v>3.25</v>
      </c>
      <c r="CH211" s="151" t="s">
        <v>593</v>
      </c>
      <c r="CI211" s="152">
        <v>1746</v>
      </c>
      <c r="CJ211" s="152">
        <v>14.2</v>
      </c>
      <c r="CK211" s="151">
        <v>2.91</v>
      </c>
      <c r="CL211" s="151" t="s">
        <v>1675</v>
      </c>
      <c r="CM211" s="151">
        <v>2474</v>
      </c>
      <c r="CN211" s="151" t="s">
        <v>1718</v>
      </c>
      <c r="CO211" s="151">
        <v>3112</v>
      </c>
      <c r="CP211" s="151" t="s">
        <v>1718</v>
      </c>
      <c r="CR211" s="155">
        <f t="shared" si="72"/>
        <v>3.25</v>
      </c>
      <c r="CS211" s="156">
        <f t="shared" si="73"/>
        <v>2.91</v>
      </c>
      <c r="CU211" s="151">
        <v>3.25</v>
      </c>
      <c r="CV211" s="152" t="s">
        <v>593</v>
      </c>
      <c r="CW211" s="152">
        <v>2240</v>
      </c>
      <c r="CX211" s="152">
        <v>74.69</v>
      </c>
      <c r="CY211" s="151">
        <v>2.16</v>
      </c>
      <c r="CZ211" s="151" t="s">
        <v>1675</v>
      </c>
      <c r="DA211" s="151">
        <v>2254</v>
      </c>
      <c r="DB211" s="151" t="s">
        <v>1718</v>
      </c>
      <c r="DC211" s="151">
        <v>2649</v>
      </c>
      <c r="DD211" t="s">
        <v>1718</v>
      </c>
      <c r="DF211" s="155">
        <f t="shared" si="74"/>
        <v>3.25</v>
      </c>
      <c r="DG211" s="156">
        <f t="shared" si="75"/>
        <v>2.16</v>
      </c>
      <c r="DI211" s="151">
        <v>3.25</v>
      </c>
      <c r="DJ211" s="152" t="s">
        <v>593</v>
      </c>
      <c r="DK211" s="152">
        <v>2017</v>
      </c>
      <c r="DL211" s="152">
        <v>69.58</v>
      </c>
      <c r="DM211" s="151">
        <v>2.2599999999999998</v>
      </c>
      <c r="DN211" s="151" t="s">
        <v>1675</v>
      </c>
      <c r="DO211" s="151">
        <v>2248</v>
      </c>
      <c r="DP211" s="151" t="s">
        <v>1718</v>
      </c>
      <c r="DQ211" s="151">
        <v>2658</v>
      </c>
      <c r="DR211" t="s">
        <v>1718</v>
      </c>
      <c r="DT211" s="155">
        <f t="shared" si="76"/>
        <v>3.25</v>
      </c>
      <c r="DU211" s="156">
        <f t="shared" si="77"/>
        <v>2.2599999999999998</v>
      </c>
    </row>
    <row r="212" spans="1:125" x14ac:dyDescent="0.2">
      <c r="A212" s="150">
        <v>3.5</v>
      </c>
      <c r="B212" s="151" t="s">
        <v>593</v>
      </c>
      <c r="C212" s="152">
        <v>2028</v>
      </c>
      <c r="D212" s="152">
        <v>15.85</v>
      </c>
      <c r="E212" s="151">
        <v>2.95</v>
      </c>
      <c r="F212" s="151" t="s">
        <v>1675</v>
      </c>
      <c r="G212" s="151">
        <v>2680</v>
      </c>
      <c r="H212" s="151" t="s">
        <v>1718</v>
      </c>
      <c r="I212" s="151">
        <v>3352</v>
      </c>
      <c r="J212" s="151" t="s">
        <v>1718</v>
      </c>
      <c r="L212" s="155">
        <f t="shared" si="60"/>
        <v>3.5</v>
      </c>
      <c r="M212" s="156">
        <f t="shared" si="61"/>
        <v>2.95</v>
      </c>
      <c r="O212" s="150">
        <v>3.5</v>
      </c>
      <c r="P212" s="151" t="s">
        <v>593</v>
      </c>
      <c r="Q212" s="152">
        <v>1837</v>
      </c>
      <c r="R212" s="152">
        <v>11.63</v>
      </c>
      <c r="S212" s="151">
        <v>2.87</v>
      </c>
      <c r="T212" s="151" t="s">
        <v>1675</v>
      </c>
      <c r="U212" s="151">
        <v>2343</v>
      </c>
      <c r="V212" s="151" t="s">
        <v>1718</v>
      </c>
      <c r="W212" s="151">
        <v>2956</v>
      </c>
      <c r="X212" s="151" t="s">
        <v>1718</v>
      </c>
      <c r="Z212" s="155">
        <f t="shared" si="62"/>
        <v>3.5</v>
      </c>
      <c r="AA212" s="156">
        <f t="shared" si="63"/>
        <v>2.87</v>
      </c>
      <c r="AC212" s="150">
        <v>3.5</v>
      </c>
      <c r="AD212" s="151" t="s">
        <v>593</v>
      </c>
      <c r="AE212" s="152">
        <v>174.2</v>
      </c>
      <c r="AF212" s="152">
        <v>0.14829999999999999</v>
      </c>
      <c r="AG212" s="151">
        <v>14.75</v>
      </c>
      <c r="AH212" s="151" t="s">
        <v>1675</v>
      </c>
      <c r="AI212" s="151">
        <v>5731</v>
      </c>
      <c r="AJ212" s="151" t="s">
        <v>1718</v>
      </c>
      <c r="AK212" s="151">
        <v>5711</v>
      </c>
      <c r="AL212" s="151" t="s">
        <v>1718</v>
      </c>
      <c r="AN212" s="155">
        <f t="shared" si="64"/>
        <v>3.5</v>
      </c>
      <c r="AO212" s="156">
        <f t="shared" si="65"/>
        <v>14.75</v>
      </c>
      <c r="AQ212" s="150">
        <v>3.5</v>
      </c>
      <c r="AR212" s="151" t="s">
        <v>593</v>
      </c>
      <c r="AS212" s="152">
        <v>17.649999999999999</v>
      </c>
      <c r="AT212" s="152">
        <v>1.0460000000000001E-2</v>
      </c>
      <c r="AU212" s="151">
        <v>118.76</v>
      </c>
      <c r="AV212" s="151" t="s">
        <v>1675</v>
      </c>
      <c r="AW212" s="151">
        <v>5.07</v>
      </c>
      <c r="AX212" s="151" t="s">
        <v>1675</v>
      </c>
      <c r="AY212" s="151">
        <v>5.89</v>
      </c>
      <c r="AZ212" s="151" t="s">
        <v>1675</v>
      </c>
      <c r="BB212" s="155">
        <f t="shared" si="66"/>
        <v>3.5</v>
      </c>
      <c r="BC212" s="156">
        <f t="shared" si="67"/>
        <v>118.76</v>
      </c>
      <c r="BE212" s="150">
        <v>3.5</v>
      </c>
      <c r="BF212" s="151" t="s">
        <v>593</v>
      </c>
      <c r="BG212" s="152">
        <v>1191</v>
      </c>
      <c r="BH212" s="152">
        <v>3.1920000000000002</v>
      </c>
      <c r="BI212" s="151">
        <v>3.7</v>
      </c>
      <c r="BJ212" s="151" t="s">
        <v>1675</v>
      </c>
      <c r="BK212" s="151">
        <v>2118</v>
      </c>
      <c r="BL212" s="151" t="s">
        <v>1718</v>
      </c>
      <c r="BM212" s="151">
        <v>2748</v>
      </c>
      <c r="BN212" s="151" t="s">
        <v>1718</v>
      </c>
      <c r="BP212" s="155">
        <f t="shared" si="68"/>
        <v>3.5</v>
      </c>
      <c r="BQ212" s="156">
        <f t="shared" si="69"/>
        <v>3.7</v>
      </c>
      <c r="BS212" s="150">
        <v>3.5</v>
      </c>
      <c r="BT212" s="151" t="s">
        <v>593</v>
      </c>
      <c r="BU212" s="152">
        <v>1882</v>
      </c>
      <c r="BV212" s="152">
        <v>9.6430000000000007</v>
      </c>
      <c r="BW212" s="151">
        <v>2.89</v>
      </c>
      <c r="BX212" s="151" t="s">
        <v>1675</v>
      </c>
      <c r="BY212" s="151">
        <v>2194</v>
      </c>
      <c r="BZ212" s="151" t="s">
        <v>1718</v>
      </c>
      <c r="CA212" s="151">
        <v>2789</v>
      </c>
      <c r="CB212" s="151" t="s">
        <v>1718</v>
      </c>
      <c r="CD212" s="155">
        <f t="shared" si="70"/>
        <v>3.5</v>
      </c>
      <c r="CE212" s="156">
        <f t="shared" si="71"/>
        <v>2.89</v>
      </c>
      <c r="CG212" s="150">
        <v>3.5</v>
      </c>
      <c r="CH212" s="151" t="s">
        <v>593</v>
      </c>
      <c r="CI212" s="152">
        <v>1778</v>
      </c>
      <c r="CJ212" s="152">
        <v>13.39</v>
      </c>
      <c r="CK212" s="151">
        <v>3.05</v>
      </c>
      <c r="CL212" s="151" t="s">
        <v>1675</v>
      </c>
      <c r="CM212" s="151">
        <v>2499</v>
      </c>
      <c r="CN212" s="151" t="s">
        <v>1718</v>
      </c>
      <c r="CO212" s="151">
        <v>3159</v>
      </c>
      <c r="CP212" s="151" t="s">
        <v>1718</v>
      </c>
      <c r="CR212" s="155">
        <f t="shared" si="72"/>
        <v>3.5</v>
      </c>
      <c r="CS212" s="156">
        <f t="shared" si="73"/>
        <v>3.05</v>
      </c>
      <c r="CU212" s="151">
        <v>3.5</v>
      </c>
      <c r="CV212" s="152" t="s">
        <v>593</v>
      </c>
      <c r="CW212" s="152">
        <v>2328</v>
      </c>
      <c r="CX212" s="152">
        <v>70.709999999999994</v>
      </c>
      <c r="CY212" s="151">
        <v>2.2599999999999998</v>
      </c>
      <c r="CZ212" s="151" t="s">
        <v>1675</v>
      </c>
      <c r="DA212" s="151">
        <v>2287</v>
      </c>
      <c r="DB212" s="151" t="s">
        <v>1718</v>
      </c>
      <c r="DC212" s="151">
        <v>2711</v>
      </c>
      <c r="DD212" t="s">
        <v>1718</v>
      </c>
      <c r="DF212" s="155">
        <f t="shared" si="74"/>
        <v>3.5</v>
      </c>
      <c r="DG212" s="156">
        <f t="shared" si="75"/>
        <v>2.2599999999999998</v>
      </c>
      <c r="DI212" s="151">
        <v>3.5</v>
      </c>
      <c r="DJ212" s="152" t="s">
        <v>593</v>
      </c>
      <c r="DK212" s="152">
        <v>2090</v>
      </c>
      <c r="DL212" s="152">
        <v>65.86</v>
      </c>
      <c r="DM212" s="151">
        <v>2.38</v>
      </c>
      <c r="DN212" s="151" t="s">
        <v>1675</v>
      </c>
      <c r="DO212" s="151">
        <v>2286</v>
      </c>
      <c r="DP212" s="151" t="s">
        <v>1718</v>
      </c>
      <c r="DQ212" s="151">
        <v>2726</v>
      </c>
      <c r="DR212" t="s">
        <v>1718</v>
      </c>
      <c r="DT212" s="155">
        <f t="shared" si="76"/>
        <v>3.5</v>
      </c>
      <c r="DU212" s="156">
        <f t="shared" si="77"/>
        <v>2.38</v>
      </c>
    </row>
    <row r="213" spans="1:125" x14ac:dyDescent="0.2">
      <c r="A213" s="150">
        <v>3.75</v>
      </c>
      <c r="B213" s="151" t="s">
        <v>593</v>
      </c>
      <c r="C213" s="152">
        <v>2072</v>
      </c>
      <c r="D213" s="152">
        <v>15.01</v>
      </c>
      <c r="E213" s="151">
        <v>3.07</v>
      </c>
      <c r="F213" s="151" t="s">
        <v>1675</v>
      </c>
      <c r="G213" s="151">
        <v>2700</v>
      </c>
      <c r="H213" s="151" t="s">
        <v>1718</v>
      </c>
      <c r="I213" s="151">
        <v>3392</v>
      </c>
      <c r="J213" s="151" t="s">
        <v>1718</v>
      </c>
      <c r="L213" s="155">
        <f t="shared" si="60"/>
        <v>3.75</v>
      </c>
      <c r="M213" s="156">
        <f t="shared" si="61"/>
        <v>3.07</v>
      </c>
      <c r="O213" s="150">
        <v>3.75</v>
      </c>
      <c r="P213" s="151" t="s">
        <v>593</v>
      </c>
      <c r="Q213" s="152">
        <v>1862</v>
      </c>
      <c r="R213" s="152">
        <v>11.01</v>
      </c>
      <c r="S213" s="151">
        <v>3.01</v>
      </c>
      <c r="T213" s="151" t="s">
        <v>1675</v>
      </c>
      <c r="U213" s="151">
        <v>2366</v>
      </c>
      <c r="V213" s="151" t="s">
        <v>1718</v>
      </c>
      <c r="W213" s="151">
        <v>2997</v>
      </c>
      <c r="X213" s="151" t="s">
        <v>1718</v>
      </c>
      <c r="Z213" s="155">
        <f t="shared" si="62"/>
        <v>3.75</v>
      </c>
      <c r="AA213" s="156">
        <f t="shared" si="63"/>
        <v>3.01</v>
      </c>
      <c r="AC213" s="150">
        <v>3.75</v>
      </c>
      <c r="AD213" s="151" t="s">
        <v>593</v>
      </c>
      <c r="AE213" s="152">
        <v>167.5</v>
      </c>
      <c r="AF213" s="152">
        <v>0.13980000000000001</v>
      </c>
      <c r="AG213" s="151">
        <v>16.21</v>
      </c>
      <c r="AH213" s="151" t="s">
        <v>1675</v>
      </c>
      <c r="AI213" s="151">
        <v>6167</v>
      </c>
      <c r="AJ213" s="151" t="s">
        <v>1718</v>
      </c>
      <c r="AK213" s="151">
        <v>6074</v>
      </c>
      <c r="AL213" s="151" t="s">
        <v>1718</v>
      </c>
      <c r="AN213" s="155">
        <f t="shared" si="64"/>
        <v>3.75</v>
      </c>
      <c r="AO213" s="156">
        <f t="shared" si="65"/>
        <v>16.21</v>
      </c>
      <c r="AQ213" s="150">
        <v>3.75</v>
      </c>
      <c r="AR213" s="151" t="s">
        <v>593</v>
      </c>
      <c r="AS213" s="152">
        <v>16.8</v>
      </c>
      <c r="AT213" s="152">
        <v>9.8490000000000001E-3</v>
      </c>
      <c r="AU213" s="151">
        <v>133.19999999999999</v>
      </c>
      <c r="AV213" s="151" t="s">
        <v>1675</v>
      </c>
      <c r="AW213" s="151">
        <v>5.59</v>
      </c>
      <c r="AX213" s="151" t="s">
        <v>1675</v>
      </c>
      <c r="AY213" s="151">
        <v>6.55</v>
      </c>
      <c r="AZ213" s="151" t="s">
        <v>1675</v>
      </c>
      <c r="BB213" s="155">
        <f t="shared" si="66"/>
        <v>3.75</v>
      </c>
      <c r="BC213" s="156">
        <f t="shared" si="67"/>
        <v>133.19999999999999</v>
      </c>
      <c r="BE213" s="150">
        <v>3.75</v>
      </c>
      <c r="BF213" s="151" t="s">
        <v>593</v>
      </c>
      <c r="BG213" s="152">
        <v>1187</v>
      </c>
      <c r="BH213" s="152">
        <v>3.016</v>
      </c>
      <c r="BI213" s="151">
        <v>3.91</v>
      </c>
      <c r="BJ213" s="151" t="s">
        <v>1675</v>
      </c>
      <c r="BK213" s="151">
        <v>2155</v>
      </c>
      <c r="BL213" s="151" t="s">
        <v>1718</v>
      </c>
      <c r="BM213" s="151">
        <v>2795</v>
      </c>
      <c r="BN213" s="151" t="s">
        <v>1718</v>
      </c>
      <c r="BP213" s="155">
        <f t="shared" si="68"/>
        <v>3.75</v>
      </c>
      <c r="BQ213" s="156">
        <f t="shared" si="69"/>
        <v>3.91</v>
      </c>
      <c r="BS213" s="150">
        <v>3.75</v>
      </c>
      <c r="BT213" s="151" t="s">
        <v>593</v>
      </c>
      <c r="BU213" s="152">
        <v>1902</v>
      </c>
      <c r="BV213" s="152">
        <v>9.1240000000000006</v>
      </c>
      <c r="BW213" s="151">
        <v>3.02</v>
      </c>
      <c r="BX213" s="151" t="s">
        <v>1675</v>
      </c>
      <c r="BY213" s="151">
        <v>2214</v>
      </c>
      <c r="BZ213" s="151" t="s">
        <v>1718</v>
      </c>
      <c r="CA213" s="151">
        <v>2825</v>
      </c>
      <c r="CB213" s="151" t="s">
        <v>1718</v>
      </c>
      <c r="CD213" s="155">
        <f t="shared" si="70"/>
        <v>3.75</v>
      </c>
      <c r="CE213" s="156">
        <f t="shared" si="71"/>
        <v>3.02</v>
      </c>
      <c r="CG213" s="150">
        <v>3.75</v>
      </c>
      <c r="CH213" s="151" t="s">
        <v>593</v>
      </c>
      <c r="CI213" s="152">
        <v>1805</v>
      </c>
      <c r="CJ213" s="152">
        <v>12.67</v>
      </c>
      <c r="CK213" s="151">
        <v>3.18</v>
      </c>
      <c r="CL213" s="151" t="s">
        <v>1675</v>
      </c>
      <c r="CM213" s="151">
        <v>2523</v>
      </c>
      <c r="CN213" s="151" t="s">
        <v>1718</v>
      </c>
      <c r="CO213" s="151">
        <v>3202</v>
      </c>
      <c r="CP213" s="151" t="s">
        <v>1718</v>
      </c>
      <c r="CR213" s="155">
        <f t="shared" si="72"/>
        <v>3.75</v>
      </c>
      <c r="CS213" s="156">
        <f t="shared" si="73"/>
        <v>3.18</v>
      </c>
      <c r="CU213" s="151">
        <v>3.75</v>
      </c>
      <c r="CV213" s="152" t="s">
        <v>593</v>
      </c>
      <c r="CW213" s="152">
        <v>2409</v>
      </c>
      <c r="CX213" s="152">
        <v>67.180000000000007</v>
      </c>
      <c r="CY213" s="151">
        <v>2.36</v>
      </c>
      <c r="CZ213" s="151" t="s">
        <v>1675</v>
      </c>
      <c r="DA213" s="151">
        <v>2317</v>
      </c>
      <c r="DB213" s="151" t="s">
        <v>1718</v>
      </c>
      <c r="DC213" s="151">
        <v>2768</v>
      </c>
      <c r="DD213" t="s">
        <v>1718</v>
      </c>
      <c r="DF213" s="155">
        <f t="shared" si="74"/>
        <v>3.75</v>
      </c>
      <c r="DG213" s="156">
        <f t="shared" si="75"/>
        <v>2.36</v>
      </c>
      <c r="DI213" s="151">
        <v>3.75</v>
      </c>
      <c r="DJ213" s="152" t="s">
        <v>593</v>
      </c>
      <c r="DK213" s="152">
        <v>2160</v>
      </c>
      <c r="DL213" s="152">
        <v>62.56</v>
      </c>
      <c r="DM213" s="151">
        <v>2.4900000000000002</v>
      </c>
      <c r="DN213" s="151" t="s">
        <v>1675</v>
      </c>
      <c r="DO213" s="151">
        <v>2320</v>
      </c>
      <c r="DP213" s="151" t="s">
        <v>1718</v>
      </c>
      <c r="DQ213" s="151">
        <v>2789</v>
      </c>
      <c r="DR213" t="s">
        <v>1718</v>
      </c>
      <c r="DT213" s="155">
        <f t="shared" si="76"/>
        <v>3.75</v>
      </c>
      <c r="DU213" s="156">
        <f t="shared" si="77"/>
        <v>2.4900000000000002</v>
      </c>
    </row>
    <row r="214" spans="1:125" x14ac:dyDescent="0.2">
      <c r="A214" s="150">
        <v>4</v>
      </c>
      <c r="B214" s="151" t="s">
        <v>593</v>
      </c>
      <c r="C214" s="152">
        <v>2111</v>
      </c>
      <c r="D214" s="152">
        <v>14.26</v>
      </c>
      <c r="E214" s="151">
        <v>3.18</v>
      </c>
      <c r="F214" s="151" t="s">
        <v>1675</v>
      </c>
      <c r="G214" s="151">
        <v>2719</v>
      </c>
      <c r="H214" s="151" t="s">
        <v>1718</v>
      </c>
      <c r="I214" s="151">
        <v>3429</v>
      </c>
      <c r="J214" s="151" t="s">
        <v>1718</v>
      </c>
      <c r="L214" s="155">
        <f t="shared" si="60"/>
        <v>4</v>
      </c>
      <c r="M214" s="156">
        <f t="shared" si="61"/>
        <v>3.18</v>
      </c>
      <c r="O214" s="150">
        <v>4</v>
      </c>
      <c r="P214" s="151" t="s">
        <v>593</v>
      </c>
      <c r="Q214" s="152">
        <v>1884</v>
      </c>
      <c r="R214" s="152">
        <v>10.45</v>
      </c>
      <c r="S214" s="151">
        <v>3.14</v>
      </c>
      <c r="T214" s="151" t="s">
        <v>1675</v>
      </c>
      <c r="U214" s="151">
        <v>2387</v>
      </c>
      <c r="V214" s="151" t="s">
        <v>1718</v>
      </c>
      <c r="W214" s="151">
        <v>3036</v>
      </c>
      <c r="X214" s="151" t="s">
        <v>1718</v>
      </c>
      <c r="Z214" s="155">
        <f t="shared" si="62"/>
        <v>4</v>
      </c>
      <c r="AA214" s="156">
        <f t="shared" si="63"/>
        <v>3.14</v>
      </c>
      <c r="AC214" s="150">
        <v>4</v>
      </c>
      <c r="AD214" s="151" t="s">
        <v>593</v>
      </c>
      <c r="AE214" s="152">
        <v>161.30000000000001</v>
      </c>
      <c r="AF214" s="152">
        <v>0.13220000000000001</v>
      </c>
      <c r="AG214" s="151">
        <v>17.73</v>
      </c>
      <c r="AH214" s="151" t="s">
        <v>1675</v>
      </c>
      <c r="AI214" s="151">
        <v>6607</v>
      </c>
      <c r="AJ214" s="151" t="s">
        <v>1718</v>
      </c>
      <c r="AK214" s="151">
        <v>6452</v>
      </c>
      <c r="AL214" s="151" t="s">
        <v>1718</v>
      </c>
      <c r="AN214" s="155">
        <f t="shared" si="64"/>
        <v>4</v>
      </c>
      <c r="AO214" s="156">
        <f t="shared" si="65"/>
        <v>17.73</v>
      </c>
      <c r="AQ214" s="150">
        <v>4</v>
      </c>
      <c r="AR214" s="151" t="s">
        <v>593</v>
      </c>
      <c r="AS214" s="152">
        <v>16.03</v>
      </c>
      <c r="AT214" s="152">
        <v>9.3080000000000003E-3</v>
      </c>
      <c r="AU214" s="151">
        <v>148.36000000000001</v>
      </c>
      <c r="AV214" s="151" t="s">
        <v>1675</v>
      </c>
      <c r="AW214" s="151">
        <v>6.11</v>
      </c>
      <c r="AX214" s="151" t="s">
        <v>1675</v>
      </c>
      <c r="AY214" s="151">
        <v>7.24</v>
      </c>
      <c r="AZ214" s="151" t="s">
        <v>1675</v>
      </c>
      <c r="BB214" s="155">
        <f t="shared" si="66"/>
        <v>4</v>
      </c>
      <c r="BC214" s="156">
        <f t="shared" si="67"/>
        <v>148.36000000000001</v>
      </c>
      <c r="BE214" s="150">
        <v>4</v>
      </c>
      <c r="BF214" s="151" t="s">
        <v>593</v>
      </c>
      <c r="BG214" s="152">
        <v>1182</v>
      </c>
      <c r="BH214" s="152">
        <v>2.859</v>
      </c>
      <c r="BI214" s="151">
        <v>4.12</v>
      </c>
      <c r="BJ214" s="151" t="s">
        <v>1675</v>
      </c>
      <c r="BK214" s="151">
        <v>2191</v>
      </c>
      <c r="BL214" s="151" t="s">
        <v>1718</v>
      </c>
      <c r="BM214" s="151">
        <v>2841</v>
      </c>
      <c r="BN214" s="151" t="s">
        <v>1718</v>
      </c>
      <c r="BP214" s="155">
        <f t="shared" si="68"/>
        <v>4</v>
      </c>
      <c r="BQ214" s="156">
        <f t="shared" si="69"/>
        <v>4.12</v>
      </c>
      <c r="BS214" s="150">
        <v>4</v>
      </c>
      <c r="BT214" s="151" t="s">
        <v>593</v>
      </c>
      <c r="BU214" s="152">
        <v>1918</v>
      </c>
      <c r="BV214" s="152">
        <v>8.6620000000000008</v>
      </c>
      <c r="BW214" s="151">
        <v>3.15</v>
      </c>
      <c r="BX214" s="151" t="s">
        <v>1675</v>
      </c>
      <c r="BY214" s="151">
        <v>2234</v>
      </c>
      <c r="BZ214" s="151" t="s">
        <v>1718</v>
      </c>
      <c r="CA214" s="151">
        <v>2859</v>
      </c>
      <c r="CB214" s="151" t="s">
        <v>1718</v>
      </c>
      <c r="CD214" s="155">
        <f t="shared" si="70"/>
        <v>4</v>
      </c>
      <c r="CE214" s="156">
        <f t="shared" si="71"/>
        <v>3.15</v>
      </c>
      <c r="CG214" s="150">
        <v>4</v>
      </c>
      <c r="CH214" s="151" t="s">
        <v>593</v>
      </c>
      <c r="CI214" s="152">
        <v>1830</v>
      </c>
      <c r="CJ214" s="152">
        <v>12.04</v>
      </c>
      <c r="CK214" s="151">
        <v>3.32</v>
      </c>
      <c r="CL214" s="151" t="s">
        <v>1675</v>
      </c>
      <c r="CM214" s="151">
        <v>2546</v>
      </c>
      <c r="CN214" s="151" t="s">
        <v>1718</v>
      </c>
      <c r="CO214" s="151">
        <v>3243</v>
      </c>
      <c r="CP214" s="151" t="s">
        <v>1718</v>
      </c>
      <c r="CR214" s="155">
        <f t="shared" si="72"/>
        <v>4</v>
      </c>
      <c r="CS214" s="156">
        <f t="shared" si="73"/>
        <v>3.32</v>
      </c>
      <c r="CU214" s="151">
        <v>4</v>
      </c>
      <c r="CV214" s="152" t="s">
        <v>593</v>
      </c>
      <c r="CW214" s="152">
        <v>2485</v>
      </c>
      <c r="CX214" s="152">
        <v>64.02</v>
      </c>
      <c r="CY214" s="151">
        <v>2.46</v>
      </c>
      <c r="CZ214" s="151" t="s">
        <v>1675</v>
      </c>
      <c r="DA214" s="151">
        <v>2344</v>
      </c>
      <c r="DB214" s="151" t="s">
        <v>1718</v>
      </c>
      <c r="DC214" s="151">
        <v>2820</v>
      </c>
      <c r="DD214" t="s">
        <v>1718</v>
      </c>
      <c r="DF214" s="155">
        <f t="shared" si="74"/>
        <v>4</v>
      </c>
      <c r="DG214" s="156">
        <f t="shared" si="75"/>
        <v>2.46</v>
      </c>
      <c r="DI214" s="151">
        <v>4</v>
      </c>
      <c r="DJ214" s="152" t="s">
        <v>593</v>
      </c>
      <c r="DK214" s="152">
        <v>2227</v>
      </c>
      <c r="DL214" s="152">
        <v>59.61</v>
      </c>
      <c r="DM214" s="151">
        <v>2.6</v>
      </c>
      <c r="DN214" s="151" t="s">
        <v>1675</v>
      </c>
      <c r="DO214" s="151">
        <v>2351</v>
      </c>
      <c r="DP214" s="151" t="s">
        <v>1718</v>
      </c>
      <c r="DQ214" s="151">
        <v>2847</v>
      </c>
      <c r="DR214" t="s">
        <v>1718</v>
      </c>
      <c r="DT214" s="155">
        <f t="shared" si="76"/>
        <v>4</v>
      </c>
      <c r="DU214" s="156">
        <f t="shared" si="77"/>
        <v>2.6</v>
      </c>
    </row>
    <row r="215" spans="1:125" x14ac:dyDescent="0.2">
      <c r="A215" s="150">
        <v>4.5</v>
      </c>
      <c r="B215" s="151" t="s">
        <v>593</v>
      </c>
      <c r="C215" s="152">
        <v>2175</v>
      </c>
      <c r="D215" s="152">
        <v>12.98</v>
      </c>
      <c r="E215" s="151">
        <v>3.41</v>
      </c>
      <c r="F215" s="151" t="s">
        <v>1675</v>
      </c>
      <c r="G215" s="151">
        <v>2762</v>
      </c>
      <c r="H215" s="151" t="s">
        <v>1718</v>
      </c>
      <c r="I215" s="151">
        <v>3496</v>
      </c>
      <c r="J215" s="151" t="s">
        <v>1718</v>
      </c>
      <c r="L215" s="155">
        <f t="shared" si="60"/>
        <v>4.5</v>
      </c>
      <c r="M215" s="156">
        <f t="shared" si="61"/>
        <v>3.41</v>
      </c>
      <c r="O215" s="150">
        <v>4.5</v>
      </c>
      <c r="P215" s="151" t="s">
        <v>593</v>
      </c>
      <c r="Q215" s="152">
        <v>1921</v>
      </c>
      <c r="R215" s="152">
        <v>9.51</v>
      </c>
      <c r="S215" s="151">
        <v>3.4</v>
      </c>
      <c r="T215" s="151" t="s">
        <v>1675</v>
      </c>
      <c r="U215" s="151">
        <v>2441</v>
      </c>
      <c r="V215" s="151" t="s">
        <v>1718</v>
      </c>
      <c r="W215" s="151">
        <v>3107</v>
      </c>
      <c r="X215" s="151" t="s">
        <v>1718</v>
      </c>
      <c r="Z215" s="155">
        <f t="shared" si="62"/>
        <v>4.5</v>
      </c>
      <c r="AA215" s="156">
        <f t="shared" si="63"/>
        <v>3.4</v>
      </c>
      <c r="AC215" s="150">
        <v>4.5</v>
      </c>
      <c r="AD215" s="151" t="s">
        <v>593</v>
      </c>
      <c r="AE215" s="152">
        <v>150.5</v>
      </c>
      <c r="AF215" s="152">
        <v>0.1195</v>
      </c>
      <c r="AG215" s="151">
        <v>20.93</v>
      </c>
      <c r="AH215" s="151" t="s">
        <v>1675</v>
      </c>
      <c r="AI215" s="151">
        <v>8151</v>
      </c>
      <c r="AJ215" s="151" t="s">
        <v>1718</v>
      </c>
      <c r="AK215" s="151">
        <v>7246</v>
      </c>
      <c r="AL215" s="151" t="s">
        <v>1718</v>
      </c>
      <c r="AN215" s="155">
        <f t="shared" si="64"/>
        <v>4.5</v>
      </c>
      <c r="AO215" s="156">
        <f t="shared" si="65"/>
        <v>20.93</v>
      </c>
      <c r="AQ215" s="150">
        <v>4.5</v>
      </c>
      <c r="AR215" s="151" t="s">
        <v>593</v>
      </c>
      <c r="AS215" s="152">
        <v>14.71</v>
      </c>
      <c r="AT215" s="152">
        <v>8.3940000000000004E-3</v>
      </c>
      <c r="AU215" s="151">
        <v>180.77</v>
      </c>
      <c r="AV215" s="151" t="s">
        <v>1675</v>
      </c>
      <c r="AW215" s="151">
        <v>7.86</v>
      </c>
      <c r="AX215" s="151" t="s">
        <v>1675</v>
      </c>
      <c r="AY215" s="151">
        <v>8.7100000000000009</v>
      </c>
      <c r="AZ215" s="151" t="s">
        <v>1675</v>
      </c>
      <c r="BB215" s="155">
        <f t="shared" si="66"/>
        <v>4.5</v>
      </c>
      <c r="BC215" s="156">
        <f t="shared" si="67"/>
        <v>180.77</v>
      </c>
      <c r="BE215" s="150">
        <v>4.5</v>
      </c>
      <c r="BF215" s="151" t="s">
        <v>593</v>
      </c>
      <c r="BG215" s="152">
        <v>1172</v>
      </c>
      <c r="BH215" s="152">
        <v>2.5939999999999999</v>
      </c>
      <c r="BI215" s="151">
        <v>4.54</v>
      </c>
      <c r="BJ215" s="151" t="s">
        <v>1675</v>
      </c>
      <c r="BK215" s="151">
        <v>2300</v>
      </c>
      <c r="BL215" s="151" t="s">
        <v>1718</v>
      </c>
      <c r="BM215" s="151">
        <v>2930</v>
      </c>
      <c r="BN215" s="151" t="s">
        <v>1718</v>
      </c>
      <c r="BP215" s="155">
        <f t="shared" si="68"/>
        <v>4.5</v>
      </c>
      <c r="BQ215" s="156">
        <f t="shared" si="69"/>
        <v>4.54</v>
      </c>
      <c r="BS215" s="150">
        <v>4.5</v>
      </c>
      <c r="BT215" s="151" t="s">
        <v>593</v>
      </c>
      <c r="BU215" s="152">
        <v>1938</v>
      </c>
      <c r="BV215" s="152">
        <v>7.8760000000000003</v>
      </c>
      <c r="BW215" s="151">
        <v>3.41</v>
      </c>
      <c r="BX215" s="151" t="s">
        <v>1675</v>
      </c>
      <c r="BY215" s="151">
        <v>2285</v>
      </c>
      <c r="BZ215" s="151" t="s">
        <v>1718</v>
      </c>
      <c r="CA215" s="151">
        <v>2922</v>
      </c>
      <c r="CB215" s="151" t="s">
        <v>1718</v>
      </c>
      <c r="CD215" s="155">
        <f t="shared" si="70"/>
        <v>4.5</v>
      </c>
      <c r="CE215" s="156">
        <f t="shared" si="71"/>
        <v>3.41</v>
      </c>
      <c r="CG215" s="150">
        <v>4.5</v>
      </c>
      <c r="CH215" s="151" t="s">
        <v>593</v>
      </c>
      <c r="CI215" s="152">
        <v>1872</v>
      </c>
      <c r="CJ215" s="152">
        <v>10.95</v>
      </c>
      <c r="CK215" s="151">
        <v>3.59</v>
      </c>
      <c r="CL215" s="151" t="s">
        <v>1675</v>
      </c>
      <c r="CM215" s="151">
        <v>2601</v>
      </c>
      <c r="CN215" s="151" t="s">
        <v>1718</v>
      </c>
      <c r="CO215" s="151">
        <v>3319</v>
      </c>
      <c r="CP215" s="151" t="s">
        <v>1718</v>
      </c>
      <c r="CR215" s="155">
        <f t="shared" si="72"/>
        <v>4.5</v>
      </c>
      <c r="CS215" s="156">
        <f t="shared" si="73"/>
        <v>3.59</v>
      </c>
      <c r="CU215" s="151">
        <v>4.5</v>
      </c>
      <c r="CV215" s="152" t="s">
        <v>593</v>
      </c>
      <c r="CW215" s="152">
        <v>2623</v>
      </c>
      <c r="CX215" s="152">
        <v>58.6</v>
      </c>
      <c r="CY215" s="151">
        <v>2.65</v>
      </c>
      <c r="CZ215" s="151" t="s">
        <v>1675</v>
      </c>
      <c r="DA215" s="151">
        <v>2399</v>
      </c>
      <c r="DB215" s="151" t="s">
        <v>1718</v>
      </c>
      <c r="DC215" s="151">
        <v>2915</v>
      </c>
      <c r="DD215" t="s">
        <v>1718</v>
      </c>
      <c r="DF215" s="155">
        <f t="shared" si="74"/>
        <v>4.5</v>
      </c>
      <c r="DG215" s="156">
        <f t="shared" si="75"/>
        <v>2.65</v>
      </c>
      <c r="DI215" s="151">
        <v>4.5</v>
      </c>
      <c r="DJ215" s="152" t="s">
        <v>593</v>
      </c>
      <c r="DK215" s="152">
        <v>2353</v>
      </c>
      <c r="DL215" s="152">
        <v>54.54</v>
      </c>
      <c r="DM215" s="151">
        <v>2.81</v>
      </c>
      <c r="DN215" s="151" t="s">
        <v>1675</v>
      </c>
      <c r="DO215" s="151">
        <v>2416</v>
      </c>
      <c r="DP215" s="151" t="s">
        <v>1718</v>
      </c>
      <c r="DQ215" s="151">
        <v>2953</v>
      </c>
      <c r="DR215" t="s">
        <v>1718</v>
      </c>
      <c r="DT215" s="155">
        <f t="shared" si="76"/>
        <v>4.5</v>
      </c>
      <c r="DU215" s="156">
        <f t="shared" si="77"/>
        <v>2.81</v>
      </c>
    </row>
    <row r="216" spans="1:125" x14ac:dyDescent="0.2">
      <c r="A216" s="150">
        <v>5</v>
      </c>
      <c r="B216" s="151" t="s">
        <v>593</v>
      </c>
      <c r="C216" s="152">
        <v>2226</v>
      </c>
      <c r="D216" s="152">
        <v>11.93</v>
      </c>
      <c r="E216" s="151">
        <v>3.64</v>
      </c>
      <c r="F216" s="151" t="s">
        <v>1675</v>
      </c>
      <c r="G216" s="151">
        <v>2801</v>
      </c>
      <c r="H216" s="151" t="s">
        <v>1718</v>
      </c>
      <c r="I216" s="151">
        <v>3557</v>
      </c>
      <c r="J216" s="151" t="s">
        <v>1718</v>
      </c>
      <c r="L216" s="155">
        <f t="shared" si="60"/>
        <v>5</v>
      </c>
      <c r="M216" s="156">
        <f t="shared" si="61"/>
        <v>3.64</v>
      </c>
      <c r="O216" s="150">
        <v>5</v>
      </c>
      <c r="P216" s="151" t="s">
        <v>593</v>
      </c>
      <c r="Q216" s="152">
        <v>1951</v>
      </c>
      <c r="R216" s="152">
        <v>8.734</v>
      </c>
      <c r="S216" s="151">
        <v>3.66</v>
      </c>
      <c r="T216" s="151" t="s">
        <v>1675</v>
      </c>
      <c r="U216" s="151">
        <v>2491</v>
      </c>
      <c r="V216" s="151" t="s">
        <v>1718</v>
      </c>
      <c r="W216" s="151">
        <v>3173</v>
      </c>
      <c r="X216" s="151" t="s">
        <v>1718</v>
      </c>
      <c r="Z216" s="155">
        <f t="shared" si="62"/>
        <v>5</v>
      </c>
      <c r="AA216" s="156">
        <f t="shared" si="63"/>
        <v>3.66</v>
      </c>
      <c r="AC216" s="150">
        <v>5</v>
      </c>
      <c r="AD216" s="151" t="s">
        <v>593</v>
      </c>
      <c r="AE216" s="152">
        <v>141.4</v>
      </c>
      <c r="AF216" s="152">
        <v>0.1091</v>
      </c>
      <c r="AG216" s="151">
        <v>24.35</v>
      </c>
      <c r="AH216" s="151" t="s">
        <v>1675</v>
      </c>
      <c r="AI216" s="151">
        <v>9620</v>
      </c>
      <c r="AJ216" s="151" t="s">
        <v>1718</v>
      </c>
      <c r="AK216" s="151">
        <v>8092</v>
      </c>
      <c r="AL216" s="151" t="s">
        <v>1718</v>
      </c>
      <c r="AN216" s="155">
        <f t="shared" si="64"/>
        <v>5</v>
      </c>
      <c r="AO216" s="156">
        <f t="shared" si="65"/>
        <v>24.35</v>
      </c>
      <c r="AQ216" s="150">
        <v>5</v>
      </c>
      <c r="AR216" s="151" t="s">
        <v>593</v>
      </c>
      <c r="AS216" s="152">
        <v>13.62</v>
      </c>
      <c r="AT216" s="152">
        <v>7.6519999999999999E-3</v>
      </c>
      <c r="AU216" s="151">
        <v>215.93</v>
      </c>
      <c r="AV216" s="151" t="s">
        <v>1675</v>
      </c>
      <c r="AW216" s="151">
        <v>9.5399999999999991</v>
      </c>
      <c r="AX216" s="151" t="s">
        <v>1675</v>
      </c>
      <c r="AY216" s="151">
        <v>10.29</v>
      </c>
      <c r="AZ216" s="151" t="s">
        <v>1675</v>
      </c>
      <c r="BB216" s="155">
        <f t="shared" si="66"/>
        <v>5</v>
      </c>
      <c r="BC216" s="156">
        <f t="shared" si="67"/>
        <v>215.93</v>
      </c>
      <c r="BE216" s="150">
        <v>5</v>
      </c>
      <c r="BF216" s="151" t="s">
        <v>593</v>
      </c>
      <c r="BG216" s="152">
        <v>1161</v>
      </c>
      <c r="BH216" s="152">
        <v>2.3759999999999999</v>
      </c>
      <c r="BI216" s="151">
        <v>4.97</v>
      </c>
      <c r="BJ216" s="151" t="s">
        <v>1675</v>
      </c>
      <c r="BK216" s="151">
        <v>2405</v>
      </c>
      <c r="BL216" s="151" t="s">
        <v>1718</v>
      </c>
      <c r="BM216" s="151">
        <v>3016</v>
      </c>
      <c r="BN216" s="151" t="s">
        <v>1718</v>
      </c>
      <c r="BP216" s="155">
        <f t="shared" si="68"/>
        <v>5</v>
      </c>
      <c r="BQ216" s="156">
        <f t="shared" si="69"/>
        <v>4.97</v>
      </c>
      <c r="BS216" s="150">
        <v>5</v>
      </c>
      <c r="BT216" s="151" t="s">
        <v>593</v>
      </c>
      <c r="BU216" s="152">
        <v>1948</v>
      </c>
      <c r="BV216" s="152">
        <v>7.23</v>
      </c>
      <c r="BW216" s="151">
        <v>3.66</v>
      </c>
      <c r="BX216" s="151" t="s">
        <v>1675</v>
      </c>
      <c r="BY216" s="151">
        <v>2333</v>
      </c>
      <c r="BZ216" s="151" t="s">
        <v>1718</v>
      </c>
      <c r="CA216" s="151">
        <v>2980</v>
      </c>
      <c r="CB216" s="151" t="s">
        <v>1718</v>
      </c>
      <c r="CD216" s="155">
        <f t="shared" si="70"/>
        <v>5</v>
      </c>
      <c r="CE216" s="156">
        <f t="shared" si="71"/>
        <v>3.66</v>
      </c>
      <c r="CG216" s="150">
        <v>5</v>
      </c>
      <c r="CH216" s="151" t="s">
        <v>593</v>
      </c>
      <c r="CI216" s="152">
        <v>1906</v>
      </c>
      <c r="CJ216" s="152">
        <v>10.06</v>
      </c>
      <c r="CK216" s="151">
        <v>3.85</v>
      </c>
      <c r="CL216" s="151" t="s">
        <v>1675</v>
      </c>
      <c r="CM216" s="151">
        <v>2651</v>
      </c>
      <c r="CN216" s="151" t="s">
        <v>1718</v>
      </c>
      <c r="CO216" s="151">
        <v>3388</v>
      </c>
      <c r="CP216" s="151" t="s">
        <v>1718</v>
      </c>
      <c r="CR216" s="155">
        <f t="shared" si="72"/>
        <v>5</v>
      </c>
      <c r="CS216" s="156">
        <f t="shared" si="73"/>
        <v>3.85</v>
      </c>
      <c r="CU216" s="151">
        <v>5</v>
      </c>
      <c r="CV216" s="152" t="s">
        <v>593</v>
      </c>
      <c r="CW216" s="152">
        <v>2745</v>
      </c>
      <c r="CX216" s="152">
        <v>54.1</v>
      </c>
      <c r="CY216" s="151">
        <v>2.83</v>
      </c>
      <c r="CZ216" s="151" t="s">
        <v>1675</v>
      </c>
      <c r="DA216" s="151">
        <v>2447</v>
      </c>
      <c r="DB216" s="151" t="s">
        <v>1718</v>
      </c>
      <c r="DC216" s="151">
        <v>2998</v>
      </c>
      <c r="DD216" t="s">
        <v>1718</v>
      </c>
      <c r="DF216" s="155">
        <f t="shared" si="74"/>
        <v>5</v>
      </c>
      <c r="DG216" s="156">
        <f t="shared" si="75"/>
        <v>2.83</v>
      </c>
      <c r="DI216" s="151">
        <v>5</v>
      </c>
      <c r="DJ216" s="152" t="s">
        <v>593</v>
      </c>
      <c r="DK216" s="152">
        <v>2471</v>
      </c>
      <c r="DL216" s="152">
        <v>50.34</v>
      </c>
      <c r="DM216" s="151">
        <v>3.01</v>
      </c>
      <c r="DN216" s="151" t="s">
        <v>1675</v>
      </c>
      <c r="DO216" s="151">
        <v>2472</v>
      </c>
      <c r="DP216" s="151" t="s">
        <v>1718</v>
      </c>
      <c r="DQ216" s="151">
        <v>3046</v>
      </c>
      <c r="DR216" t="s">
        <v>1718</v>
      </c>
      <c r="DT216" s="155">
        <f t="shared" si="76"/>
        <v>5</v>
      </c>
      <c r="DU216" s="156">
        <f t="shared" si="77"/>
        <v>3.01</v>
      </c>
    </row>
    <row r="217" spans="1:125" x14ac:dyDescent="0.2">
      <c r="A217" s="150">
        <v>5.5</v>
      </c>
      <c r="B217" s="151" t="s">
        <v>593</v>
      </c>
      <c r="C217" s="152">
        <v>2266</v>
      </c>
      <c r="D217" s="152">
        <v>11.05</v>
      </c>
      <c r="E217" s="151">
        <v>3.86</v>
      </c>
      <c r="F217" s="151" t="s">
        <v>1675</v>
      </c>
      <c r="G217" s="151">
        <v>2837</v>
      </c>
      <c r="H217" s="151" t="s">
        <v>1718</v>
      </c>
      <c r="I217" s="151">
        <v>3612</v>
      </c>
      <c r="J217" s="151" t="s">
        <v>1718</v>
      </c>
      <c r="L217" s="155">
        <f t="shared" si="60"/>
        <v>5.5</v>
      </c>
      <c r="M217" s="156">
        <f t="shared" si="61"/>
        <v>3.86</v>
      </c>
      <c r="O217" s="150">
        <v>5.5</v>
      </c>
      <c r="P217" s="151" t="s">
        <v>593</v>
      </c>
      <c r="Q217" s="152">
        <v>1975</v>
      </c>
      <c r="R217" s="152">
        <v>8.0839999999999996</v>
      </c>
      <c r="S217" s="151">
        <v>3.91</v>
      </c>
      <c r="T217" s="151" t="s">
        <v>1675</v>
      </c>
      <c r="U217" s="151">
        <v>2537</v>
      </c>
      <c r="V217" s="151" t="s">
        <v>1718</v>
      </c>
      <c r="W217" s="151">
        <v>3234</v>
      </c>
      <c r="X217" s="151" t="s">
        <v>1718</v>
      </c>
      <c r="Z217" s="155">
        <f t="shared" si="62"/>
        <v>5.5</v>
      </c>
      <c r="AA217" s="156">
        <f t="shared" si="63"/>
        <v>3.91</v>
      </c>
      <c r="AC217" s="150">
        <v>5.5</v>
      </c>
      <c r="AD217" s="151" t="s">
        <v>593</v>
      </c>
      <c r="AE217" s="152">
        <v>133.4</v>
      </c>
      <c r="AF217" s="152">
        <v>0.1004</v>
      </c>
      <c r="AG217" s="151">
        <v>27.98</v>
      </c>
      <c r="AH217" s="151" t="s">
        <v>1675</v>
      </c>
      <c r="AI217" s="151">
        <v>1.1100000000000001</v>
      </c>
      <c r="AJ217" s="151" t="s">
        <v>1675</v>
      </c>
      <c r="AK217" s="151">
        <v>8987</v>
      </c>
      <c r="AL217" s="151" t="s">
        <v>1718</v>
      </c>
      <c r="AN217" s="155">
        <f t="shared" si="64"/>
        <v>5.5</v>
      </c>
      <c r="AO217" s="156">
        <f t="shared" si="65"/>
        <v>27.98</v>
      </c>
      <c r="AQ217" s="150">
        <v>5.5</v>
      </c>
      <c r="AR217" s="151" t="s">
        <v>593</v>
      </c>
      <c r="AS217" s="152">
        <v>12.69</v>
      </c>
      <c r="AT217" s="152">
        <v>7.0359999999999997E-3</v>
      </c>
      <c r="AU217" s="151">
        <v>253.8</v>
      </c>
      <c r="AV217" s="151" t="s">
        <v>1675</v>
      </c>
      <c r="AW217" s="151">
        <v>11.19</v>
      </c>
      <c r="AX217" s="151" t="s">
        <v>1675</v>
      </c>
      <c r="AY217" s="151">
        <v>11.97</v>
      </c>
      <c r="AZ217" s="151" t="s">
        <v>1675</v>
      </c>
      <c r="BB217" s="155">
        <f t="shared" si="66"/>
        <v>5.5</v>
      </c>
      <c r="BC217" s="156">
        <f t="shared" si="67"/>
        <v>253.8</v>
      </c>
      <c r="BE217" s="150">
        <v>5.5</v>
      </c>
      <c r="BF217" s="151" t="s">
        <v>593</v>
      </c>
      <c r="BG217" s="152">
        <v>1149</v>
      </c>
      <c r="BH217" s="152">
        <v>2.1949999999999998</v>
      </c>
      <c r="BI217" s="151">
        <v>5.4</v>
      </c>
      <c r="BJ217" s="151" t="s">
        <v>1675</v>
      </c>
      <c r="BK217" s="151">
        <v>2507</v>
      </c>
      <c r="BL217" s="151" t="s">
        <v>1718</v>
      </c>
      <c r="BM217" s="151">
        <v>3099</v>
      </c>
      <c r="BN217" s="151" t="s">
        <v>1718</v>
      </c>
      <c r="BP217" s="155">
        <f t="shared" si="68"/>
        <v>5.5</v>
      </c>
      <c r="BQ217" s="156">
        <f t="shared" si="69"/>
        <v>5.4</v>
      </c>
      <c r="BS217" s="150">
        <v>5.5</v>
      </c>
      <c r="BT217" s="151" t="s">
        <v>593</v>
      </c>
      <c r="BU217" s="152">
        <v>1951</v>
      </c>
      <c r="BV217" s="152">
        <v>6.6890000000000001</v>
      </c>
      <c r="BW217" s="151">
        <v>3.92</v>
      </c>
      <c r="BX217" s="151" t="s">
        <v>1675</v>
      </c>
      <c r="BY217" s="151">
        <v>2379</v>
      </c>
      <c r="BZ217" s="151" t="s">
        <v>1718</v>
      </c>
      <c r="CA217" s="151">
        <v>3035</v>
      </c>
      <c r="CB217" s="151" t="s">
        <v>1718</v>
      </c>
      <c r="CD217" s="155">
        <f t="shared" si="70"/>
        <v>5.5</v>
      </c>
      <c r="CE217" s="156">
        <f t="shared" si="71"/>
        <v>3.92</v>
      </c>
      <c r="CG217" s="150">
        <v>5.5</v>
      </c>
      <c r="CH217" s="151" t="s">
        <v>593</v>
      </c>
      <c r="CI217" s="152">
        <v>1935</v>
      </c>
      <c r="CJ217" s="152">
        <v>9.3140000000000001</v>
      </c>
      <c r="CK217" s="151">
        <v>4.1100000000000003</v>
      </c>
      <c r="CL217" s="151" t="s">
        <v>1675</v>
      </c>
      <c r="CM217" s="151">
        <v>2698</v>
      </c>
      <c r="CN217" s="151" t="s">
        <v>1718</v>
      </c>
      <c r="CO217" s="151">
        <v>3452</v>
      </c>
      <c r="CP217" s="151" t="s">
        <v>1718</v>
      </c>
      <c r="CR217" s="155">
        <f t="shared" si="72"/>
        <v>5.5</v>
      </c>
      <c r="CS217" s="156">
        <f t="shared" si="73"/>
        <v>4.1100000000000003</v>
      </c>
      <c r="CU217" s="151">
        <v>5.5</v>
      </c>
      <c r="CV217" s="152" t="s">
        <v>593</v>
      </c>
      <c r="CW217" s="152">
        <v>2853</v>
      </c>
      <c r="CX217" s="152">
        <v>50.3</v>
      </c>
      <c r="CY217" s="151">
        <v>3</v>
      </c>
      <c r="CZ217" s="151" t="s">
        <v>1675</v>
      </c>
      <c r="DA217" s="151">
        <v>2490</v>
      </c>
      <c r="DB217" s="151" t="s">
        <v>1718</v>
      </c>
      <c r="DC217" s="151">
        <v>3072</v>
      </c>
      <c r="DD217" t="s">
        <v>1718</v>
      </c>
      <c r="DF217" s="155">
        <f t="shared" si="74"/>
        <v>5.5</v>
      </c>
      <c r="DG217" s="156">
        <f t="shared" si="75"/>
        <v>3</v>
      </c>
      <c r="DI217" s="151">
        <v>5.5</v>
      </c>
      <c r="DJ217" s="152" t="s">
        <v>593</v>
      </c>
      <c r="DK217" s="152">
        <v>2580</v>
      </c>
      <c r="DL217" s="152">
        <v>46.79</v>
      </c>
      <c r="DM217" s="151">
        <v>3.2</v>
      </c>
      <c r="DN217" s="151" t="s">
        <v>1675</v>
      </c>
      <c r="DO217" s="151">
        <v>2521</v>
      </c>
      <c r="DP217" s="151" t="s">
        <v>1718</v>
      </c>
      <c r="DQ217" s="151">
        <v>3129</v>
      </c>
      <c r="DR217" t="s">
        <v>1718</v>
      </c>
      <c r="DT217" s="155">
        <f t="shared" si="76"/>
        <v>5.5</v>
      </c>
      <c r="DU217" s="156">
        <f t="shared" si="77"/>
        <v>3.2</v>
      </c>
    </row>
    <row r="218" spans="1:125" x14ac:dyDescent="0.2">
      <c r="A218" s="150">
        <v>6</v>
      </c>
      <c r="B218" s="151" t="s">
        <v>593</v>
      </c>
      <c r="C218" s="152">
        <v>2298</v>
      </c>
      <c r="D218" s="152">
        <v>10.3</v>
      </c>
      <c r="E218" s="151">
        <v>4.08</v>
      </c>
      <c r="F218" s="151" t="s">
        <v>1675</v>
      </c>
      <c r="G218" s="151">
        <v>2870</v>
      </c>
      <c r="H218" s="151" t="s">
        <v>1718</v>
      </c>
      <c r="I218" s="151">
        <v>3663</v>
      </c>
      <c r="J218" s="151" t="s">
        <v>1718</v>
      </c>
      <c r="L218" s="155">
        <f t="shared" si="60"/>
        <v>6</v>
      </c>
      <c r="M218" s="156">
        <f t="shared" si="61"/>
        <v>4.08</v>
      </c>
      <c r="O218" s="150">
        <v>6</v>
      </c>
      <c r="P218" s="151" t="s">
        <v>593</v>
      </c>
      <c r="Q218" s="152">
        <v>1995</v>
      </c>
      <c r="R218" s="152">
        <v>7.5309999999999997</v>
      </c>
      <c r="S218" s="151">
        <v>4.16</v>
      </c>
      <c r="T218" s="151" t="s">
        <v>1675</v>
      </c>
      <c r="U218" s="151">
        <v>2581</v>
      </c>
      <c r="V218" s="151" t="s">
        <v>1718</v>
      </c>
      <c r="W218" s="151">
        <v>3291</v>
      </c>
      <c r="X218" s="151" t="s">
        <v>1718</v>
      </c>
      <c r="Z218" s="155">
        <f t="shared" si="62"/>
        <v>6</v>
      </c>
      <c r="AA218" s="156">
        <f t="shared" si="63"/>
        <v>4.16</v>
      </c>
      <c r="AC218" s="150">
        <v>6</v>
      </c>
      <c r="AD218" s="151" t="s">
        <v>593</v>
      </c>
      <c r="AE218" s="152">
        <v>126.5</v>
      </c>
      <c r="AF218" s="152">
        <v>9.3130000000000004E-2</v>
      </c>
      <c r="AG218" s="151">
        <v>31.82</v>
      </c>
      <c r="AH218" s="151" t="s">
        <v>1675</v>
      </c>
      <c r="AI218" s="151">
        <v>1.25</v>
      </c>
      <c r="AJ218" s="151" t="s">
        <v>1675</v>
      </c>
      <c r="AK218" s="151">
        <v>9930</v>
      </c>
      <c r="AL218" s="151" t="s">
        <v>1718</v>
      </c>
      <c r="AN218" s="155">
        <f t="shared" si="64"/>
        <v>6</v>
      </c>
      <c r="AO218" s="156">
        <f t="shared" si="65"/>
        <v>31.82</v>
      </c>
      <c r="AQ218" s="150">
        <v>6</v>
      </c>
      <c r="AR218" s="151" t="s">
        <v>593</v>
      </c>
      <c r="AS218" s="152">
        <v>11.89</v>
      </c>
      <c r="AT218" s="152">
        <v>6.5160000000000001E-3</v>
      </c>
      <c r="AU218" s="151">
        <v>294.32</v>
      </c>
      <c r="AV218" s="151" t="s">
        <v>1675</v>
      </c>
      <c r="AW218" s="151">
        <v>12.84</v>
      </c>
      <c r="AX218" s="151" t="s">
        <v>1675</v>
      </c>
      <c r="AY218" s="151">
        <v>13.76</v>
      </c>
      <c r="AZ218" s="151" t="s">
        <v>1675</v>
      </c>
      <c r="BB218" s="155">
        <f t="shared" si="66"/>
        <v>6</v>
      </c>
      <c r="BC218" s="156">
        <f t="shared" si="67"/>
        <v>294.32</v>
      </c>
      <c r="BE218" s="150">
        <v>6</v>
      </c>
      <c r="BF218" s="151" t="s">
        <v>593</v>
      </c>
      <c r="BG218" s="152">
        <v>1137</v>
      </c>
      <c r="BH218" s="152">
        <v>2.0409999999999999</v>
      </c>
      <c r="BI218" s="151">
        <v>5.83</v>
      </c>
      <c r="BJ218" s="151" t="s">
        <v>1675</v>
      </c>
      <c r="BK218" s="151">
        <v>2606</v>
      </c>
      <c r="BL218" s="151" t="s">
        <v>1718</v>
      </c>
      <c r="BM218" s="151">
        <v>3181</v>
      </c>
      <c r="BN218" s="151" t="s">
        <v>1718</v>
      </c>
      <c r="BP218" s="155">
        <f t="shared" si="68"/>
        <v>6</v>
      </c>
      <c r="BQ218" s="156">
        <f t="shared" si="69"/>
        <v>5.83</v>
      </c>
      <c r="BS218" s="150">
        <v>6</v>
      </c>
      <c r="BT218" s="151" t="s">
        <v>593</v>
      </c>
      <c r="BU218" s="152">
        <v>1949</v>
      </c>
      <c r="BV218" s="152">
        <v>6.2290000000000001</v>
      </c>
      <c r="BW218" s="151">
        <v>4.17</v>
      </c>
      <c r="BX218" s="151" t="s">
        <v>1675</v>
      </c>
      <c r="BY218" s="151">
        <v>2423</v>
      </c>
      <c r="BZ218" s="151" t="s">
        <v>1718</v>
      </c>
      <c r="CA218" s="151">
        <v>3087</v>
      </c>
      <c r="CB218" s="151" t="s">
        <v>1718</v>
      </c>
      <c r="CD218" s="155">
        <f t="shared" si="70"/>
        <v>6</v>
      </c>
      <c r="CE218" s="156">
        <f t="shared" si="71"/>
        <v>4.17</v>
      </c>
      <c r="CG218" s="150">
        <v>6</v>
      </c>
      <c r="CH218" s="151" t="s">
        <v>593</v>
      </c>
      <c r="CI218" s="152">
        <v>1958</v>
      </c>
      <c r="CJ218" s="152">
        <v>8.6790000000000003</v>
      </c>
      <c r="CK218" s="151">
        <v>4.3600000000000003</v>
      </c>
      <c r="CL218" s="151" t="s">
        <v>1675</v>
      </c>
      <c r="CM218" s="151">
        <v>2742</v>
      </c>
      <c r="CN218" s="151" t="s">
        <v>1718</v>
      </c>
      <c r="CO218" s="151">
        <v>3511</v>
      </c>
      <c r="CP218" s="151" t="s">
        <v>1718</v>
      </c>
      <c r="CR218" s="155">
        <f t="shared" si="72"/>
        <v>6</v>
      </c>
      <c r="CS218" s="156">
        <f t="shared" si="73"/>
        <v>4.3600000000000003</v>
      </c>
      <c r="CU218" s="151">
        <v>6</v>
      </c>
      <c r="CV218" s="152" t="s">
        <v>593</v>
      </c>
      <c r="CW218" s="152">
        <v>2950</v>
      </c>
      <c r="CX218" s="152">
        <v>47.05</v>
      </c>
      <c r="CY218" s="151">
        <v>3.17</v>
      </c>
      <c r="CZ218" s="151" t="s">
        <v>1675</v>
      </c>
      <c r="DA218" s="151">
        <v>2528</v>
      </c>
      <c r="DB218" s="151" t="s">
        <v>1718</v>
      </c>
      <c r="DC218" s="151">
        <v>3139</v>
      </c>
      <c r="DD218" t="s">
        <v>1718</v>
      </c>
      <c r="DF218" s="155">
        <f t="shared" si="74"/>
        <v>6</v>
      </c>
      <c r="DG218" s="156">
        <f t="shared" si="75"/>
        <v>3.17</v>
      </c>
      <c r="DI218" s="151">
        <v>6</v>
      </c>
      <c r="DJ218" s="152" t="s">
        <v>593</v>
      </c>
      <c r="DK218" s="152">
        <v>2683</v>
      </c>
      <c r="DL218" s="152">
        <v>43.76</v>
      </c>
      <c r="DM218" s="151">
        <v>3.39</v>
      </c>
      <c r="DN218" s="151" t="s">
        <v>1675</v>
      </c>
      <c r="DO218" s="151">
        <v>2564</v>
      </c>
      <c r="DP218" s="151" t="s">
        <v>1718</v>
      </c>
      <c r="DQ218" s="151">
        <v>3204</v>
      </c>
      <c r="DR218" t="s">
        <v>1718</v>
      </c>
      <c r="DT218" s="155">
        <f t="shared" si="76"/>
        <v>6</v>
      </c>
      <c r="DU218" s="156">
        <f t="shared" si="77"/>
        <v>3.39</v>
      </c>
    </row>
    <row r="219" spans="1:125" x14ac:dyDescent="0.2">
      <c r="A219" s="150">
        <v>6.5</v>
      </c>
      <c r="B219" s="151" t="s">
        <v>593</v>
      </c>
      <c r="C219" s="152">
        <v>2323</v>
      </c>
      <c r="D219" s="152">
        <v>9.6489999999999991</v>
      </c>
      <c r="E219" s="151">
        <v>4.29</v>
      </c>
      <c r="F219" s="151" t="s">
        <v>1675</v>
      </c>
      <c r="G219" s="151">
        <v>2902</v>
      </c>
      <c r="H219" s="151" t="s">
        <v>1718</v>
      </c>
      <c r="I219" s="151">
        <v>3711</v>
      </c>
      <c r="J219" s="151" t="s">
        <v>1718</v>
      </c>
      <c r="L219" s="155">
        <f t="shared" si="60"/>
        <v>6.5</v>
      </c>
      <c r="M219" s="156">
        <f t="shared" si="61"/>
        <v>4.29</v>
      </c>
      <c r="O219" s="150">
        <v>6.5</v>
      </c>
      <c r="P219" s="151" t="s">
        <v>593</v>
      </c>
      <c r="Q219" s="152">
        <v>2012</v>
      </c>
      <c r="R219" s="152">
        <v>7.0540000000000003</v>
      </c>
      <c r="S219" s="151">
        <v>4.41</v>
      </c>
      <c r="T219" s="151" t="s">
        <v>1675</v>
      </c>
      <c r="U219" s="151">
        <v>2623</v>
      </c>
      <c r="V219" s="151" t="s">
        <v>1718</v>
      </c>
      <c r="W219" s="151">
        <v>3345</v>
      </c>
      <c r="X219" s="151" t="s">
        <v>1718</v>
      </c>
      <c r="Z219" s="155">
        <f t="shared" si="62"/>
        <v>6.5</v>
      </c>
      <c r="AA219" s="156">
        <f t="shared" si="63"/>
        <v>4.41</v>
      </c>
      <c r="AC219" s="150">
        <v>6.5</v>
      </c>
      <c r="AD219" s="151" t="s">
        <v>593</v>
      </c>
      <c r="AE219" s="152">
        <v>120.3</v>
      </c>
      <c r="AF219" s="152">
        <v>8.6860000000000007E-2</v>
      </c>
      <c r="AG219" s="151">
        <v>35.869999999999997</v>
      </c>
      <c r="AH219" s="151" t="s">
        <v>1675</v>
      </c>
      <c r="AI219" s="151">
        <v>1.39</v>
      </c>
      <c r="AJ219" s="151" t="s">
        <v>1675</v>
      </c>
      <c r="AK219" s="151">
        <v>1.0900000000000001</v>
      </c>
      <c r="AL219" s="151" t="s">
        <v>1675</v>
      </c>
      <c r="AN219" s="155">
        <f t="shared" si="64"/>
        <v>6.5</v>
      </c>
      <c r="AO219" s="156">
        <f t="shared" si="65"/>
        <v>35.869999999999997</v>
      </c>
      <c r="AQ219" s="150">
        <v>6.5</v>
      </c>
      <c r="AR219" s="151" t="s">
        <v>593</v>
      </c>
      <c r="AS219" s="152">
        <v>11.2</v>
      </c>
      <c r="AT219" s="152">
        <v>6.0720000000000001E-3</v>
      </c>
      <c r="AU219" s="151">
        <v>337.45</v>
      </c>
      <c r="AV219" s="151" t="s">
        <v>1675</v>
      </c>
      <c r="AW219" s="151">
        <v>14.5</v>
      </c>
      <c r="AX219" s="151" t="s">
        <v>1675</v>
      </c>
      <c r="AY219" s="151">
        <v>15.66</v>
      </c>
      <c r="AZ219" s="151" t="s">
        <v>1675</v>
      </c>
      <c r="BB219" s="155">
        <f t="shared" si="66"/>
        <v>6.5</v>
      </c>
      <c r="BC219" s="156">
        <f t="shared" si="67"/>
        <v>337.45</v>
      </c>
      <c r="BE219" s="150">
        <v>6.5</v>
      </c>
      <c r="BF219" s="151" t="s">
        <v>593</v>
      </c>
      <c r="BG219" s="152">
        <v>1126</v>
      </c>
      <c r="BH219" s="152">
        <v>1.9079999999999999</v>
      </c>
      <c r="BI219" s="151">
        <v>6.27</v>
      </c>
      <c r="BJ219" s="151" t="s">
        <v>1675</v>
      </c>
      <c r="BK219" s="151">
        <v>2703</v>
      </c>
      <c r="BL219" s="151" t="s">
        <v>1718</v>
      </c>
      <c r="BM219" s="151">
        <v>3261</v>
      </c>
      <c r="BN219" s="151" t="s">
        <v>1718</v>
      </c>
      <c r="BP219" s="155">
        <f t="shared" si="68"/>
        <v>6.5</v>
      </c>
      <c r="BQ219" s="156">
        <f t="shared" si="69"/>
        <v>6.27</v>
      </c>
      <c r="BS219" s="150">
        <v>6.5</v>
      </c>
      <c r="BT219" s="151" t="s">
        <v>593</v>
      </c>
      <c r="BU219" s="152">
        <v>1944</v>
      </c>
      <c r="BV219" s="152">
        <v>5.8330000000000002</v>
      </c>
      <c r="BW219" s="151">
        <v>4.43</v>
      </c>
      <c r="BX219" s="151" t="s">
        <v>1675</v>
      </c>
      <c r="BY219" s="151">
        <v>2466</v>
      </c>
      <c r="BZ219" s="151" t="s">
        <v>1718</v>
      </c>
      <c r="CA219" s="151">
        <v>3136</v>
      </c>
      <c r="CB219" s="151" t="s">
        <v>1718</v>
      </c>
      <c r="CD219" s="155">
        <f t="shared" si="70"/>
        <v>6.5</v>
      </c>
      <c r="CE219" s="156">
        <f t="shared" si="71"/>
        <v>4.43</v>
      </c>
      <c r="CG219" s="150">
        <v>6.5</v>
      </c>
      <c r="CH219" s="151" t="s">
        <v>593</v>
      </c>
      <c r="CI219" s="152">
        <v>1978</v>
      </c>
      <c r="CJ219" s="152">
        <v>8.1300000000000008</v>
      </c>
      <c r="CK219" s="151">
        <v>4.6100000000000003</v>
      </c>
      <c r="CL219" s="151" t="s">
        <v>1675</v>
      </c>
      <c r="CM219" s="151">
        <v>2784</v>
      </c>
      <c r="CN219" s="151" t="s">
        <v>1718</v>
      </c>
      <c r="CO219" s="151">
        <v>3567</v>
      </c>
      <c r="CP219" s="151" t="s">
        <v>1718</v>
      </c>
      <c r="CR219" s="155">
        <f t="shared" si="72"/>
        <v>6.5</v>
      </c>
      <c r="CS219" s="156">
        <f t="shared" si="73"/>
        <v>4.6100000000000003</v>
      </c>
      <c r="CU219" s="151">
        <v>6.5</v>
      </c>
      <c r="CV219" s="152" t="s">
        <v>593</v>
      </c>
      <c r="CW219" s="152">
        <v>3038</v>
      </c>
      <c r="CX219" s="152">
        <v>44.22</v>
      </c>
      <c r="CY219" s="151">
        <v>3.34</v>
      </c>
      <c r="CZ219" s="151" t="s">
        <v>1675</v>
      </c>
      <c r="DA219" s="151">
        <v>2563</v>
      </c>
      <c r="DB219" s="151" t="s">
        <v>1718</v>
      </c>
      <c r="DC219" s="151">
        <v>3201</v>
      </c>
      <c r="DD219" t="s">
        <v>1718</v>
      </c>
      <c r="DF219" s="155">
        <f t="shared" si="74"/>
        <v>6.5</v>
      </c>
      <c r="DG219" s="156">
        <f t="shared" si="75"/>
        <v>3.34</v>
      </c>
      <c r="DI219" s="151">
        <v>6.5</v>
      </c>
      <c r="DJ219" s="152" t="s">
        <v>593</v>
      </c>
      <c r="DK219" s="152">
        <v>2780</v>
      </c>
      <c r="DL219" s="152">
        <v>41.13</v>
      </c>
      <c r="DM219" s="151">
        <v>3.57</v>
      </c>
      <c r="DN219" s="151" t="s">
        <v>1675</v>
      </c>
      <c r="DO219" s="151">
        <v>2604</v>
      </c>
      <c r="DP219" s="151" t="s">
        <v>1718</v>
      </c>
      <c r="DQ219" s="151">
        <v>3272</v>
      </c>
      <c r="DR219" t="s">
        <v>1718</v>
      </c>
      <c r="DT219" s="155">
        <f t="shared" si="76"/>
        <v>6.5</v>
      </c>
      <c r="DU219" s="156">
        <f t="shared" si="77"/>
        <v>3.57</v>
      </c>
    </row>
    <row r="220" spans="1:125" x14ac:dyDescent="0.2">
      <c r="A220" s="150">
        <v>7</v>
      </c>
      <c r="B220" s="151" t="s">
        <v>593</v>
      </c>
      <c r="C220" s="152">
        <v>2343</v>
      </c>
      <c r="D220" s="152">
        <v>9.0839999999999996</v>
      </c>
      <c r="E220" s="151">
        <v>4.5</v>
      </c>
      <c r="F220" s="151" t="s">
        <v>1675</v>
      </c>
      <c r="G220" s="151">
        <v>2932</v>
      </c>
      <c r="H220" s="151" t="s">
        <v>1718</v>
      </c>
      <c r="I220" s="151">
        <v>3756</v>
      </c>
      <c r="J220" s="151" t="s">
        <v>1718</v>
      </c>
      <c r="L220" s="155">
        <f t="shared" si="60"/>
        <v>7</v>
      </c>
      <c r="M220" s="156">
        <f t="shared" si="61"/>
        <v>4.5</v>
      </c>
      <c r="O220" s="150">
        <v>7</v>
      </c>
      <c r="P220" s="151" t="s">
        <v>593</v>
      </c>
      <c r="Q220" s="152">
        <v>2026</v>
      </c>
      <c r="R220" s="152">
        <v>6.6379999999999999</v>
      </c>
      <c r="S220" s="151">
        <v>4.6500000000000004</v>
      </c>
      <c r="T220" s="151" t="s">
        <v>1675</v>
      </c>
      <c r="U220" s="151">
        <v>2663</v>
      </c>
      <c r="V220" s="151" t="s">
        <v>1718</v>
      </c>
      <c r="W220" s="151">
        <v>3397</v>
      </c>
      <c r="X220" s="151" t="s">
        <v>1718</v>
      </c>
      <c r="Z220" s="155">
        <f t="shared" si="62"/>
        <v>7</v>
      </c>
      <c r="AA220" s="156">
        <f t="shared" si="63"/>
        <v>4.6500000000000004</v>
      </c>
      <c r="AC220" s="150">
        <v>7</v>
      </c>
      <c r="AD220" s="151" t="s">
        <v>593</v>
      </c>
      <c r="AE220" s="152">
        <v>114.9</v>
      </c>
      <c r="AF220" s="152">
        <v>8.1439999999999999E-2</v>
      </c>
      <c r="AG220" s="151">
        <v>40.11</v>
      </c>
      <c r="AH220" s="151" t="s">
        <v>1675</v>
      </c>
      <c r="AI220" s="151">
        <v>1.53</v>
      </c>
      <c r="AJ220" s="151" t="s">
        <v>1675</v>
      </c>
      <c r="AK220" s="151">
        <v>1.19</v>
      </c>
      <c r="AL220" s="151" t="s">
        <v>1675</v>
      </c>
      <c r="AN220" s="155">
        <f t="shared" si="64"/>
        <v>7</v>
      </c>
      <c r="AO220" s="156">
        <f t="shared" si="65"/>
        <v>40.11</v>
      </c>
      <c r="AQ220" s="150">
        <v>7</v>
      </c>
      <c r="AR220" s="151" t="s">
        <v>593</v>
      </c>
      <c r="AS220" s="152">
        <v>10.59</v>
      </c>
      <c r="AT220" s="152">
        <v>5.6870000000000002E-3</v>
      </c>
      <c r="AU220" s="151">
        <v>383.14</v>
      </c>
      <c r="AV220" s="151" t="s">
        <v>1675</v>
      </c>
      <c r="AW220" s="151">
        <v>16.170000000000002</v>
      </c>
      <c r="AX220" s="151" t="s">
        <v>1675</v>
      </c>
      <c r="AY220" s="151">
        <v>17.66</v>
      </c>
      <c r="AZ220" s="151" t="s">
        <v>1675</v>
      </c>
      <c r="BB220" s="155">
        <f t="shared" si="66"/>
        <v>7</v>
      </c>
      <c r="BC220" s="156">
        <f t="shared" si="67"/>
        <v>383.14</v>
      </c>
      <c r="BE220" s="150">
        <v>7</v>
      </c>
      <c r="BF220" s="151" t="s">
        <v>593</v>
      </c>
      <c r="BG220" s="152">
        <v>1114</v>
      </c>
      <c r="BH220" s="152">
        <v>1.7929999999999999</v>
      </c>
      <c r="BI220" s="151">
        <v>6.72</v>
      </c>
      <c r="BJ220" s="151" t="s">
        <v>1675</v>
      </c>
      <c r="BK220" s="151">
        <v>2799</v>
      </c>
      <c r="BL220" s="151" t="s">
        <v>1718</v>
      </c>
      <c r="BM220" s="151">
        <v>3340</v>
      </c>
      <c r="BN220" s="151" t="s">
        <v>1718</v>
      </c>
      <c r="BP220" s="155">
        <f t="shared" si="68"/>
        <v>7</v>
      </c>
      <c r="BQ220" s="156">
        <f t="shared" si="69"/>
        <v>6.72</v>
      </c>
      <c r="BS220" s="150">
        <v>7</v>
      </c>
      <c r="BT220" s="151" t="s">
        <v>593</v>
      </c>
      <c r="BU220" s="152">
        <v>1936</v>
      </c>
      <c r="BV220" s="152">
        <v>5.4870000000000001</v>
      </c>
      <c r="BW220" s="151">
        <v>4.6900000000000004</v>
      </c>
      <c r="BX220" s="151" t="s">
        <v>1675</v>
      </c>
      <c r="BY220" s="151">
        <v>2508</v>
      </c>
      <c r="BZ220" s="151" t="s">
        <v>1718</v>
      </c>
      <c r="CA220" s="151">
        <v>3184</v>
      </c>
      <c r="CB220" s="151" t="s">
        <v>1718</v>
      </c>
      <c r="CD220" s="155">
        <f t="shared" si="70"/>
        <v>7</v>
      </c>
      <c r="CE220" s="156">
        <f t="shared" si="71"/>
        <v>4.6900000000000004</v>
      </c>
      <c r="CG220" s="150">
        <v>7</v>
      </c>
      <c r="CH220" s="151" t="s">
        <v>593</v>
      </c>
      <c r="CI220" s="152">
        <v>1995</v>
      </c>
      <c r="CJ220" s="152">
        <v>7.6520000000000001</v>
      </c>
      <c r="CK220" s="151">
        <v>4.8600000000000003</v>
      </c>
      <c r="CL220" s="151" t="s">
        <v>1675</v>
      </c>
      <c r="CM220" s="151">
        <v>2824</v>
      </c>
      <c r="CN220" s="151" t="s">
        <v>1718</v>
      </c>
      <c r="CO220" s="151">
        <v>3620</v>
      </c>
      <c r="CP220" s="151" t="s">
        <v>1718</v>
      </c>
      <c r="CR220" s="155">
        <f t="shared" si="72"/>
        <v>7</v>
      </c>
      <c r="CS220" s="156">
        <f t="shared" si="73"/>
        <v>4.8600000000000003</v>
      </c>
      <c r="CU220" s="151">
        <v>7</v>
      </c>
      <c r="CV220" s="152" t="s">
        <v>593</v>
      </c>
      <c r="CW220" s="152">
        <v>3118</v>
      </c>
      <c r="CX220" s="152">
        <v>41.75</v>
      </c>
      <c r="CY220" s="151">
        <v>3.49</v>
      </c>
      <c r="CZ220" s="151" t="s">
        <v>1675</v>
      </c>
      <c r="DA220" s="151">
        <v>2594</v>
      </c>
      <c r="DB220" s="151" t="s">
        <v>1718</v>
      </c>
      <c r="DC220" s="151">
        <v>3257</v>
      </c>
      <c r="DD220" t="s">
        <v>1718</v>
      </c>
      <c r="DF220" s="155">
        <f t="shared" si="74"/>
        <v>7</v>
      </c>
      <c r="DG220" s="156">
        <f t="shared" si="75"/>
        <v>3.49</v>
      </c>
      <c r="DI220" s="151">
        <v>7</v>
      </c>
      <c r="DJ220" s="152" t="s">
        <v>593</v>
      </c>
      <c r="DK220" s="152">
        <v>2870</v>
      </c>
      <c r="DL220" s="152">
        <v>38.82</v>
      </c>
      <c r="DM220" s="151">
        <v>3.74</v>
      </c>
      <c r="DN220" s="151" t="s">
        <v>1675</v>
      </c>
      <c r="DO220" s="151">
        <v>2639</v>
      </c>
      <c r="DP220" s="151" t="s">
        <v>1718</v>
      </c>
      <c r="DQ220" s="151">
        <v>3335</v>
      </c>
      <c r="DR220" t="s">
        <v>1718</v>
      </c>
      <c r="DT220" s="155">
        <f t="shared" si="76"/>
        <v>7</v>
      </c>
      <c r="DU220" s="156">
        <f t="shared" si="77"/>
        <v>3.74</v>
      </c>
    </row>
    <row r="221" spans="1:125" x14ac:dyDescent="0.2">
      <c r="A221" s="150">
        <v>8</v>
      </c>
      <c r="B221" s="151" t="s">
        <v>593</v>
      </c>
      <c r="C221" s="152">
        <v>2371</v>
      </c>
      <c r="D221" s="152">
        <v>8.1440000000000001</v>
      </c>
      <c r="E221" s="151">
        <v>4.92</v>
      </c>
      <c r="F221" s="151" t="s">
        <v>1675</v>
      </c>
      <c r="G221" s="151">
        <v>3019</v>
      </c>
      <c r="H221" s="151" t="s">
        <v>1718</v>
      </c>
      <c r="I221" s="151">
        <v>3838</v>
      </c>
      <c r="J221" s="151" t="s">
        <v>1718</v>
      </c>
      <c r="L221" s="155">
        <f t="shared" si="60"/>
        <v>8</v>
      </c>
      <c r="M221" s="156">
        <f t="shared" si="61"/>
        <v>4.92</v>
      </c>
      <c r="O221" s="150">
        <v>8</v>
      </c>
      <c r="P221" s="151" t="s">
        <v>593</v>
      </c>
      <c r="Q221" s="152">
        <v>2046</v>
      </c>
      <c r="R221" s="152">
        <v>5.9459999999999997</v>
      </c>
      <c r="S221" s="151">
        <v>5.14</v>
      </c>
      <c r="T221" s="151" t="s">
        <v>1675</v>
      </c>
      <c r="U221" s="151">
        <v>2782</v>
      </c>
      <c r="V221" s="151" t="s">
        <v>1718</v>
      </c>
      <c r="W221" s="151">
        <v>3493</v>
      </c>
      <c r="X221" s="151" t="s">
        <v>1718</v>
      </c>
      <c r="Z221" s="155">
        <f t="shared" si="62"/>
        <v>8</v>
      </c>
      <c r="AA221" s="156">
        <f t="shared" si="63"/>
        <v>5.14</v>
      </c>
      <c r="AC221" s="150">
        <v>8</v>
      </c>
      <c r="AD221" s="151" t="s">
        <v>593</v>
      </c>
      <c r="AE221" s="152">
        <v>105.5</v>
      </c>
      <c r="AF221" s="152">
        <v>7.2480000000000003E-2</v>
      </c>
      <c r="AG221" s="151">
        <v>49.18</v>
      </c>
      <c r="AH221" s="151" t="s">
        <v>1675</v>
      </c>
      <c r="AI221" s="151">
        <v>2.02</v>
      </c>
      <c r="AJ221" s="151" t="s">
        <v>1675</v>
      </c>
      <c r="AK221" s="151">
        <v>1.41</v>
      </c>
      <c r="AL221" s="151" t="s">
        <v>1675</v>
      </c>
      <c r="AN221" s="155">
        <f t="shared" si="64"/>
        <v>8</v>
      </c>
      <c r="AO221" s="156">
        <f t="shared" si="65"/>
        <v>49.18</v>
      </c>
      <c r="AQ221" s="150">
        <v>8</v>
      </c>
      <c r="AR221" s="151" t="s">
        <v>593</v>
      </c>
      <c r="AS221" s="152">
        <v>9.5760000000000005</v>
      </c>
      <c r="AT221" s="152">
        <v>5.0530000000000002E-3</v>
      </c>
      <c r="AU221" s="151">
        <v>482.01</v>
      </c>
      <c r="AV221" s="151" t="s">
        <v>1675</v>
      </c>
      <c r="AW221" s="151">
        <v>21.92</v>
      </c>
      <c r="AX221" s="151" t="s">
        <v>1675</v>
      </c>
      <c r="AY221" s="151">
        <v>21.95</v>
      </c>
      <c r="AZ221" s="151" t="s">
        <v>1675</v>
      </c>
      <c r="BB221" s="155">
        <f t="shared" si="66"/>
        <v>8</v>
      </c>
      <c r="BC221" s="156">
        <f t="shared" si="67"/>
        <v>482.01</v>
      </c>
      <c r="BE221" s="150">
        <v>8</v>
      </c>
      <c r="BF221" s="151" t="s">
        <v>593</v>
      </c>
      <c r="BG221" s="152">
        <v>1092</v>
      </c>
      <c r="BH221" s="152">
        <v>1.6020000000000001</v>
      </c>
      <c r="BI221" s="151">
        <v>7.62</v>
      </c>
      <c r="BJ221" s="151" t="s">
        <v>1675</v>
      </c>
      <c r="BK221" s="151">
        <v>3119</v>
      </c>
      <c r="BL221" s="151" t="s">
        <v>1718</v>
      </c>
      <c r="BM221" s="151">
        <v>3495</v>
      </c>
      <c r="BN221" s="151" t="s">
        <v>1718</v>
      </c>
      <c r="BP221" s="155">
        <f t="shared" si="68"/>
        <v>8</v>
      </c>
      <c r="BQ221" s="156">
        <f t="shared" si="69"/>
        <v>7.62</v>
      </c>
      <c r="BS221" s="150">
        <v>8</v>
      </c>
      <c r="BT221" s="151" t="s">
        <v>593</v>
      </c>
      <c r="BU221" s="152">
        <v>1917</v>
      </c>
      <c r="BV221" s="152">
        <v>4.9139999999999997</v>
      </c>
      <c r="BW221" s="151">
        <v>5.2</v>
      </c>
      <c r="BX221" s="151" t="s">
        <v>1675</v>
      </c>
      <c r="BY221" s="151">
        <v>2641</v>
      </c>
      <c r="BZ221" s="151" t="s">
        <v>1718</v>
      </c>
      <c r="CA221" s="151">
        <v>3276</v>
      </c>
      <c r="CB221" s="151" t="s">
        <v>1718</v>
      </c>
      <c r="CD221" s="155">
        <f t="shared" si="70"/>
        <v>8</v>
      </c>
      <c r="CE221" s="156">
        <f t="shared" si="71"/>
        <v>5.2</v>
      </c>
      <c r="CG221" s="150">
        <v>8</v>
      </c>
      <c r="CH221" s="151" t="s">
        <v>593</v>
      </c>
      <c r="CI221" s="152">
        <v>2022</v>
      </c>
      <c r="CJ221" s="152">
        <v>6.8570000000000002</v>
      </c>
      <c r="CK221" s="151">
        <v>5.36</v>
      </c>
      <c r="CL221" s="151" t="s">
        <v>1675</v>
      </c>
      <c r="CM221" s="151">
        <v>2941</v>
      </c>
      <c r="CN221" s="151" t="s">
        <v>1718</v>
      </c>
      <c r="CO221" s="151">
        <v>3719</v>
      </c>
      <c r="CP221" s="151" t="s">
        <v>1718</v>
      </c>
      <c r="CR221" s="155">
        <f t="shared" si="72"/>
        <v>8</v>
      </c>
      <c r="CS221" s="156">
        <f t="shared" si="73"/>
        <v>5.36</v>
      </c>
      <c r="CU221" s="151">
        <v>8</v>
      </c>
      <c r="CV221" s="152" t="s">
        <v>593</v>
      </c>
      <c r="CW221" s="152">
        <v>3259</v>
      </c>
      <c r="CX221" s="152">
        <v>37.61</v>
      </c>
      <c r="CY221" s="151">
        <v>3.8</v>
      </c>
      <c r="CZ221" s="151" t="s">
        <v>1675</v>
      </c>
      <c r="DA221" s="151">
        <v>2669</v>
      </c>
      <c r="DB221" s="151" t="s">
        <v>1718</v>
      </c>
      <c r="DC221" s="151">
        <v>3359</v>
      </c>
      <c r="DD221" t="s">
        <v>1718</v>
      </c>
      <c r="DF221" s="155">
        <f t="shared" si="74"/>
        <v>8</v>
      </c>
      <c r="DG221" s="156">
        <f t="shared" si="75"/>
        <v>3.8</v>
      </c>
      <c r="DI221" s="151">
        <v>8</v>
      </c>
      <c r="DJ221" s="152" t="s">
        <v>593</v>
      </c>
      <c r="DK221" s="152">
        <v>3034</v>
      </c>
      <c r="DL221" s="152">
        <v>34.96</v>
      </c>
      <c r="DM221" s="151">
        <v>4.07</v>
      </c>
      <c r="DN221" s="151" t="s">
        <v>1675</v>
      </c>
      <c r="DO221" s="151">
        <v>2722</v>
      </c>
      <c r="DP221" s="151" t="s">
        <v>1718</v>
      </c>
      <c r="DQ221" s="151">
        <v>3446</v>
      </c>
      <c r="DR221" t="s">
        <v>1718</v>
      </c>
      <c r="DT221" s="155">
        <f t="shared" si="76"/>
        <v>8</v>
      </c>
      <c r="DU221" s="156">
        <f t="shared" si="77"/>
        <v>4.07</v>
      </c>
    </row>
    <row r="222" spans="1:125" x14ac:dyDescent="0.2">
      <c r="A222" s="150">
        <v>9</v>
      </c>
      <c r="B222" s="151" t="s">
        <v>593</v>
      </c>
      <c r="C222" s="152">
        <v>2389</v>
      </c>
      <c r="D222" s="152">
        <v>7.3920000000000003</v>
      </c>
      <c r="E222" s="151">
        <v>5.34</v>
      </c>
      <c r="F222" s="151" t="s">
        <v>1675</v>
      </c>
      <c r="G222" s="151">
        <v>3100</v>
      </c>
      <c r="H222" s="151" t="s">
        <v>1718</v>
      </c>
      <c r="I222" s="151">
        <v>3914</v>
      </c>
      <c r="J222" s="151" t="s">
        <v>1718</v>
      </c>
      <c r="L222" s="155">
        <f t="shared" si="60"/>
        <v>9</v>
      </c>
      <c r="M222" s="156">
        <f t="shared" si="61"/>
        <v>5.34</v>
      </c>
      <c r="O222" s="150">
        <v>9</v>
      </c>
      <c r="P222" s="151" t="s">
        <v>593</v>
      </c>
      <c r="Q222" s="152">
        <v>2061</v>
      </c>
      <c r="R222" s="152">
        <v>5.3940000000000001</v>
      </c>
      <c r="S222" s="151">
        <v>5.62</v>
      </c>
      <c r="T222" s="151" t="s">
        <v>1675</v>
      </c>
      <c r="U222" s="151">
        <v>2892</v>
      </c>
      <c r="V222" s="151" t="s">
        <v>1718</v>
      </c>
      <c r="W222" s="151">
        <v>3582</v>
      </c>
      <c r="X222" s="151" t="s">
        <v>1718</v>
      </c>
      <c r="Z222" s="155">
        <f t="shared" si="62"/>
        <v>9</v>
      </c>
      <c r="AA222" s="156">
        <f t="shared" si="63"/>
        <v>5.62</v>
      </c>
      <c r="AC222" s="150">
        <v>9</v>
      </c>
      <c r="AD222" s="151" t="s">
        <v>593</v>
      </c>
      <c r="AE222" s="152">
        <v>97.57</v>
      </c>
      <c r="AF222" s="152">
        <v>6.5390000000000004E-2</v>
      </c>
      <c r="AG222" s="151">
        <v>59.02</v>
      </c>
      <c r="AH222" s="151" t="s">
        <v>1675</v>
      </c>
      <c r="AI222" s="151">
        <v>2.48</v>
      </c>
      <c r="AJ222" s="151" t="s">
        <v>1675</v>
      </c>
      <c r="AK222" s="151">
        <v>1.65</v>
      </c>
      <c r="AL222" s="151" t="s">
        <v>1675</v>
      </c>
      <c r="AN222" s="155">
        <f t="shared" si="64"/>
        <v>9</v>
      </c>
      <c r="AO222" s="156">
        <f t="shared" si="65"/>
        <v>59.02</v>
      </c>
      <c r="AQ222" s="150">
        <v>9</v>
      </c>
      <c r="AR222" s="151" t="s">
        <v>593</v>
      </c>
      <c r="AS222" s="152">
        <v>8.7539999999999996</v>
      </c>
      <c r="AT222" s="152">
        <v>4.5519999999999996E-3</v>
      </c>
      <c r="AU222" s="151">
        <v>590.78</v>
      </c>
      <c r="AV222" s="151" t="s">
        <v>1675</v>
      </c>
      <c r="AW222" s="151">
        <v>27.36</v>
      </c>
      <c r="AX222" s="151" t="s">
        <v>1675</v>
      </c>
      <c r="AY222" s="151">
        <v>26.64</v>
      </c>
      <c r="AZ222" s="151" t="s">
        <v>1675</v>
      </c>
      <c r="BB222" s="155">
        <f t="shared" si="66"/>
        <v>9</v>
      </c>
      <c r="BC222" s="156">
        <f t="shared" si="67"/>
        <v>590.78</v>
      </c>
      <c r="BE222" s="150">
        <v>9</v>
      </c>
      <c r="BF222" s="151" t="s">
        <v>593</v>
      </c>
      <c r="BG222" s="152">
        <v>1072</v>
      </c>
      <c r="BH222" s="152">
        <v>1.45</v>
      </c>
      <c r="BI222" s="151">
        <v>8.5399999999999991</v>
      </c>
      <c r="BJ222" s="151" t="s">
        <v>1675</v>
      </c>
      <c r="BK222" s="151">
        <v>3419</v>
      </c>
      <c r="BL222" s="151" t="s">
        <v>1718</v>
      </c>
      <c r="BM222" s="151">
        <v>3647</v>
      </c>
      <c r="BN222" s="151" t="s">
        <v>1718</v>
      </c>
      <c r="BP222" s="155">
        <f t="shared" si="68"/>
        <v>9</v>
      </c>
      <c r="BQ222" s="156">
        <f t="shared" si="69"/>
        <v>8.5399999999999991</v>
      </c>
      <c r="BS222" s="150">
        <v>9</v>
      </c>
      <c r="BT222" s="151" t="s">
        <v>593</v>
      </c>
      <c r="BU222" s="152">
        <v>1895</v>
      </c>
      <c r="BV222" s="152">
        <v>4.4560000000000004</v>
      </c>
      <c r="BW222" s="151">
        <v>5.72</v>
      </c>
      <c r="BX222" s="151" t="s">
        <v>1675</v>
      </c>
      <c r="BY222" s="151">
        <v>2769</v>
      </c>
      <c r="BZ222" s="151" t="s">
        <v>1718</v>
      </c>
      <c r="CA222" s="151">
        <v>3363</v>
      </c>
      <c r="CB222" s="151" t="s">
        <v>1718</v>
      </c>
      <c r="CD222" s="155">
        <f t="shared" si="70"/>
        <v>9</v>
      </c>
      <c r="CE222" s="156">
        <f t="shared" si="71"/>
        <v>5.72</v>
      </c>
      <c r="CG222" s="150">
        <v>9</v>
      </c>
      <c r="CH222" s="151" t="s">
        <v>593</v>
      </c>
      <c r="CI222" s="152">
        <v>2041</v>
      </c>
      <c r="CJ222" s="152">
        <v>6.2220000000000004</v>
      </c>
      <c r="CK222" s="151">
        <v>5.84</v>
      </c>
      <c r="CL222" s="151" t="s">
        <v>1675</v>
      </c>
      <c r="CM222" s="151">
        <v>3050</v>
      </c>
      <c r="CN222" s="151" t="s">
        <v>1718</v>
      </c>
      <c r="CO222" s="151">
        <v>3810</v>
      </c>
      <c r="CP222" s="151" t="s">
        <v>1718</v>
      </c>
      <c r="CR222" s="155">
        <f t="shared" si="72"/>
        <v>9</v>
      </c>
      <c r="CS222" s="156">
        <f t="shared" si="73"/>
        <v>5.84</v>
      </c>
      <c r="CU222" s="151">
        <v>9</v>
      </c>
      <c r="CV222" s="152" t="s">
        <v>593</v>
      </c>
      <c r="CW222" s="152">
        <v>3379</v>
      </c>
      <c r="CX222" s="152">
        <v>34.28</v>
      </c>
      <c r="CY222" s="151">
        <v>4.0999999999999996</v>
      </c>
      <c r="CZ222" s="151" t="s">
        <v>1675</v>
      </c>
      <c r="DA222" s="151">
        <v>2734</v>
      </c>
      <c r="DB222" s="151" t="s">
        <v>1718</v>
      </c>
      <c r="DC222" s="151">
        <v>3448</v>
      </c>
      <c r="DD222" t="s">
        <v>1718</v>
      </c>
      <c r="DF222" s="155">
        <f t="shared" si="74"/>
        <v>9</v>
      </c>
      <c r="DG222" s="156">
        <f t="shared" si="75"/>
        <v>4.0999999999999996</v>
      </c>
      <c r="DI222" s="151">
        <v>9</v>
      </c>
      <c r="DJ222" s="152" t="s">
        <v>593</v>
      </c>
      <c r="DK222" s="152">
        <v>3179</v>
      </c>
      <c r="DL222" s="152">
        <v>31.86</v>
      </c>
      <c r="DM222" s="151">
        <v>4.3899999999999997</v>
      </c>
      <c r="DN222" s="151" t="s">
        <v>1675</v>
      </c>
      <c r="DO222" s="151">
        <v>2794</v>
      </c>
      <c r="DP222" s="151" t="s">
        <v>1718</v>
      </c>
      <c r="DQ222" s="151">
        <v>3543</v>
      </c>
      <c r="DR222" t="s">
        <v>1718</v>
      </c>
      <c r="DT222" s="155">
        <f t="shared" si="76"/>
        <v>9</v>
      </c>
      <c r="DU222" s="156">
        <f t="shared" si="77"/>
        <v>4.3899999999999997</v>
      </c>
    </row>
    <row r="223" spans="1:125" x14ac:dyDescent="0.2">
      <c r="A223" s="150">
        <v>10</v>
      </c>
      <c r="B223" s="151" t="s">
        <v>593</v>
      </c>
      <c r="C223" s="152">
        <v>2399</v>
      </c>
      <c r="D223" s="152">
        <v>6.7759999999999998</v>
      </c>
      <c r="E223" s="151">
        <v>5.76</v>
      </c>
      <c r="F223" s="151" t="s">
        <v>1675</v>
      </c>
      <c r="G223" s="151">
        <v>3177</v>
      </c>
      <c r="H223" s="151" t="s">
        <v>1718</v>
      </c>
      <c r="I223" s="151">
        <v>3985</v>
      </c>
      <c r="J223" s="151" t="s">
        <v>1718</v>
      </c>
      <c r="L223" s="155">
        <f t="shared" si="60"/>
        <v>10</v>
      </c>
      <c r="M223" s="156">
        <f t="shared" si="61"/>
        <v>5.76</v>
      </c>
      <c r="O223" s="150">
        <v>10</v>
      </c>
      <c r="P223" s="151" t="s">
        <v>593</v>
      </c>
      <c r="Q223" s="152">
        <v>2070</v>
      </c>
      <c r="R223" s="152">
        <v>4.9420000000000002</v>
      </c>
      <c r="S223" s="151">
        <v>6.11</v>
      </c>
      <c r="T223" s="151" t="s">
        <v>1675</v>
      </c>
      <c r="U223" s="151">
        <v>2997</v>
      </c>
      <c r="V223" s="151" t="s">
        <v>1718</v>
      </c>
      <c r="W223" s="151">
        <v>3667</v>
      </c>
      <c r="X223" s="151" t="s">
        <v>1718</v>
      </c>
      <c r="Z223" s="155">
        <f t="shared" si="62"/>
        <v>10</v>
      </c>
      <c r="AA223" s="156">
        <f t="shared" si="63"/>
        <v>6.11</v>
      </c>
      <c r="AC223" s="150">
        <v>10</v>
      </c>
      <c r="AD223" s="151" t="s">
        <v>593</v>
      </c>
      <c r="AE223" s="152">
        <v>90.16</v>
      </c>
      <c r="AF223" s="152">
        <v>5.9619999999999999E-2</v>
      </c>
      <c r="AG223" s="151">
        <v>69.66</v>
      </c>
      <c r="AH223" s="151" t="s">
        <v>1675</v>
      </c>
      <c r="AI223" s="151">
        <v>2.93</v>
      </c>
      <c r="AJ223" s="151" t="s">
        <v>1675</v>
      </c>
      <c r="AK223" s="151">
        <v>1.9</v>
      </c>
      <c r="AL223" s="151" t="s">
        <v>1675</v>
      </c>
      <c r="AN223" s="155">
        <f t="shared" si="64"/>
        <v>10</v>
      </c>
      <c r="AO223" s="156">
        <f t="shared" si="65"/>
        <v>69.66</v>
      </c>
      <c r="AQ223" s="150">
        <v>10</v>
      </c>
      <c r="AR223" s="151" t="s">
        <v>593</v>
      </c>
      <c r="AS223" s="152">
        <v>8.0749999999999993</v>
      </c>
      <c r="AT223" s="152">
        <v>4.1450000000000002E-3</v>
      </c>
      <c r="AU223" s="151">
        <v>709.23</v>
      </c>
      <c r="AV223" s="151" t="s">
        <v>1675</v>
      </c>
      <c r="AW223" s="151">
        <v>32.700000000000003</v>
      </c>
      <c r="AX223" s="151" t="s">
        <v>1675</v>
      </c>
      <c r="AY223" s="151">
        <v>31.7</v>
      </c>
      <c r="AZ223" s="151" t="s">
        <v>1675</v>
      </c>
      <c r="BB223" s="155">
        <f t="shared" si="66"/>
        <v>10</v>
      </c>
      <c r="BC223" s="156">
        <f t="shared" si="67"/>
        <v>709.23</v>
      </c>
      <c r="BE223" s="150">
        <v>10</v>
      </c>
      <c r="BF223" s="151" t="s">
        <v>593</v>
      </c>
      <c r="BG223" s="152">
        <v>1052</v>
      </c>
      <c r="BH223" s="152">
        <v>1.3260000000000001</v>
      </c>
      <c r="BI223" s="151">
        <v>9.48</v>
      </c>
      <c r="BJ223" s="151" t="s">
        <v>1675</v>
      </c>
      <c r="BK223" s="151">
        <v>3705</v>
      </c>
      <c r="BL223" s="151" t="s">
        <v>1718</v>
      </c>
      <c r="BM223" s="151">
        <v>3799</v>
      </c>
      <c r="BN223" s="151" t="s">
        <v>1718</v>
      </c>
      <c r="BP223" s="155">
        <f t="shared" si="68"/>
        <v>10</v>
      </c>
      <c r="BQ223" s="156">
        <f t="shared" si="69"/>
        <v>9.48</v>
      </c>
      <c r="BS223" s="150">
        <v>10</v>
      </c>
      <c r="BT223" s="151" t="s">
        <v>593</v>
      </c>
      <c r="BU223" s="152">
        <v>1874</v>
      </c>
      <c r="BV223" s="152">
        <v>4.0810000000000004</v>
      </c>
      <c r="BW223" s="151">
        <v>6.25</v>
      </c>
      <c r="BX223" s="151" t="s">
        <v>1675</v>
      </c>
      <c r="BY223" s="151">
        <v>2894</v>
      </c>
      <c r="BZ223" s="151" t="s">
        <v>1718</v>
      </c>
      <c r="CA223" s="151">
        <v>3447</v>
      </c>
      <c r="CB223" s="151" t="s">
        <v>1718</v>
      </c>
      <c r="CD223" s="155">
        <f t="shared" si="70"/>
        <v>10</v>
      </c>
      <c r="CE223" s="156">
        <f t="shared" si="71"/>
        <v>6.25</v>
      </c>
      <c r="CG223" s="150">
        <v>10</v>
      </c>
      <c r="CH223" s="151" t="s">
        <v>593</v>
      </c>
      <c r="CI223" s="152">
        <v>2055</v>
      </c>
      <c r="CJ223" s="152">
        <v>5.702</v>
      </c>
      <c r="CK223" s="151">
        <v>6.33</v>
      </c>
      <c r="CL223" s="151" t="s">
        <v>1675</v>
      </c>
      <c r="CM223" s="151">
        <v>3153</v>
      </c>
      <c r="CN223" s="151" t="s">
        <v>1718</v>
      </c>
      <c r="CO223" s="151">
        <v>3895</v>
      </c>
      <c r="CP223" s="151" t="s">
        <v>1718</v>
      </c>
      <c r="CR223" s="155">
        <f t="shared" si="72"/>
        <v>10</v>
      </c>
      <c r="CS223" s="156">
        <f t="shared" si="73"/>
        <v>6.33</v>
      </c>
      <c r="CU223" s="151">
        <v>10</v>
      </c>
      <c r="CV223" s="152" t="s">
        <v>593</v>
      </c>
      <c r="CW223" s="152">
        <v>3484</v>
      </c>
      <c r="CX223" s="152">
        <v>31.54</v>
      </c>
      <c r="CY223" s="151">
        <v>4.38</v>
      </c>
      <c r="CZ223" s="151" t="s">
        <v>1675</v>
      </c>
      <c r="DA223" s="151">
        <v>2792</v>
      </c>
      <c r="DB223" s="151" t="s">
        <v>1718</v>
      </c>
      <c r="DC223" s="151">
        <v>3528</v>
      </c>
      <c r="DD223" t="s">
        <v>1718</v>
      </c>
      <c r="DF223" s="155">
        <f t="shared" si="74"/>
        <v>10</v>
      </c>
      <c r="DG223" s="156">
        <f t="shared" si="75"/>
        <v>4.38</v>
      </c>
      <c r="DI223" s="151">
        <v>10</v>
      </c>
      <c r="DJ223" s="152" t="s">
        <v>593</v>
      </c>
      <c r="DK223" s="152">
        <v>3306</v>
      </c>
      <c r="DL223" s="152">
        <v>29.3</v>
      </c>
      <c r="DM223" s="151">
        <v>4.6900000000000004</v>
      </c>
      <c r="DN223" s="151" t="s">
        <v>1675</v>
      </c>
      <c r="DO223" s="151">
        <v>2857</v>
      </c>
      <c r="DP223" s="151" t="s">
        <v>1718</v>
      </c>
      <c r="DQ223" s="151">
        <v>3629</v>
      </c>
      <c r="DR223" t="s">
        <v>1718</v>
      </c>
      <c r="DT223" s="155">
        <f t="shared" si="76"/>
        <v>10</v>
      </c>
      <c r="DU223" s="156">
        <f t="shared" si="77"/>
        <v>4.6900000000000004</v>
      </c>
    </row>
    <row r="224" spans="1:125" x14ac:dyDescent="0.2">
      <c r="A224" s="150">
        <v>11</v>
      </c>
      <c r="B224" s="151" t="s">
        <v>593</v>
      </c>
      <c r="C224" s="152">
        <v>2403</v>
      </c>
      <c r="D224" s="152">
        <v>6.2619999999999996</v>
      </c>
      <c r="E224" s="151">
        <v>6.17</v>
      </c>
      <c r="F224" s="151" t="s">
        <v>1675</v>
      </c>
      <c r="G224" s="151">
        <v>3250</v>
      </c>
      <c r="H224" s="151" t="s">
        <v>1718</v>
      </c>
      <c r="I224" s="151">
        <v>4051</v>
      </c>
      <c r="J224" s="151" t="s">
        <v>1718</v>
      </c>
      <c r="L224" s="155">
        <f t="shared" si="60"/>
        <v>11</v>
      </c>
      <c r="M224" s="156">
        <f t="shared" si="61"/>
        <v>6.17</v>
      </c>
      <c r="O224" s="150">
        <v>11</v>
      </c>
      <c r="P224" s="151" t="s">
        <v>593</v>
      </c>
      <c r="Q224" s="152">
        <v>2076</v>
      </c>
      <c r="R224" s="152">
        <v>4.5650000000000004</v>
      </c>
      <c r="S224" s="151">
        <v>6.59</v>
      </c>
      <c r="T224" s="151" t="s">
        <v>1675</v>
      </c>
      <c r="U224" s="151">
        <v>3097</v>
      </c>
      <c r="V224" s="151" t="s">
        <v>1718</v>
      </c>
      <c r="W224" s="151">
        <v>3747</v>
      </c>
      <c r="X224" s="151" t="s">
        <v>1718</v>
      </c>
      <c r="Z224" s="155">
        <f t="shared" si="62"/>
        <v>11</v>
      </c>
      <c r="AA224" s="156">
        <f t="shared" si="63"/>
        <v>6.59</v>
      </c>
      <c r="AC224" s="150">
        <v>11</v>
      </c>
      <c r="AD224" s="151" t="s">
        <v>593</v>
      </c>
      <c r="AE224" s="152">
        <v>84.31</v>
      </c>
      <c r="AF224" s="152">
        <v>5.4829999999999997E-2</v>
      </c>
      <c r="AG224" s="151">
        <v>81.11</v>
      </c>
      <c r="AH224" s="151" t="s">
        <v>1675</v>
      </c>
      <c r="AI224" s="151">
        <v>3.38</v>
      </c>
      <c r="AJ224" s="151" t="s">
        <v>1675</v>
      </c>
      <c r="AK224" s="151">
        <v>2.17</v>
      </c>
      <c r="AL224" s="151" t="s">
        <v>1675</v>
      </c>
      <c r="AN224" s="155">
        <f t="shared" si="64"/>
        <v>11</v>
      </c>
      <c r="AO224" s="156">
        <f t="shared" si="65"/>
        <v>81.11</v>
      </c>
      <c r="AQ224" s="150">
        <v>11</v>
      </c>
      <c r="AR224" s="151" t="s">
        <v>593</v>
      </c>
      <c r="AS224" s="152">
        <v>7.5039999999999996</v>
      </c>
      <c r="AT224" s="152">
        <v>3.8080000000000002E-3</v>
      </c>
      <c r="AU224" s="151">
        <v>837.16</v>
      </c>
      <c r="AV224" s="151" t="s">
        <v>1675</v>
      </c>
      <c r="AW224" s="151">
        <v>38.04</v>
      </c>
      <c r="AX224" s="151" t="s">
        <v>1675</v>
      </c>
      <c r="AY224" s="151">
        <v>37.14</v>
      </c>
      <c r="AZ224" s="151" t="s">
        <v>1675</v>
      </c>
      <c r="BB224" s="155">
        <f t="shared" si="66"/>
        <v>11</v>
      </c>
      <c r="BC224" s="156">
        <f t="shared" si="67"/>
        <v>837.16</v>
      </c>
      <c r="BE224" s="150">
        <v>11</v>
      </c>
      <c r="BF224" s="151" t="s">
        <v>593</v>
      </c>
      <c r="BG224" s="152">
        <v>1033</v>
      </c>
      <c r="BH224" s="152">
        <v>1.2230000000000001</v>
      </c>
      <c r="BI224" s="151">
        <v>10.44</v>
      </c>
      <c r="BJ224" s="151" t="s">
        <v>1675</v>
      </c>
      <c r="BK224" s="151">
        <v>3980</v>
      </c>
      <c r="BL224" s="151" t="s">
        <v>1718</v>
      </c>
      <c r="BM224" s="151">
        <v>3949</v>
      </c>
      <c r="BN224" s="151" t="s">
        <v>1718</v>
      </c>
      <c r="BP224" s="155">
        <f t="shared" si="68"/>
        <v>11</v>
      </c>
      <c r="BQ224" s="156">
        <f t="shared" si="69"/>
        <v>10.44</v>
      </c>
      <c r="BS224" s="150">
        <v>11</v>
      </c>
      <c r="BT224" s="151" t="s">
        <v>593</v>
      </c>
      <c r="BU224" s="152">
        <v>1853</v>
      </c>
      <c r="BV224" s="152">
        <v>3.7679999999999998</v>
      </c>
      <c r="BW224" s="151">
        <v>6.79</v>
      </c>
      <c r="BX224" s="151" t="s">
        <v>1675</v>
      </c>
      <c r="BY224" s="151">
        <v>3015</v>
      </c>
      <c r="BZ224" s="151" t="s">
        <v>1718</v>
      </c>
      <c r="CA224" s="151">
        <v>3529</v>
      </c>
      <c r="CB224" s="151" t="s">
        <v>1718</v>
      </c>
      <c r="CD224" s="155">
        <f t="shared" si="70"/>
        <v>11</v>
      </c>
      <c r="CE224" s="156">
        <f t="shared" si="71"/>
        <v>6.79</v>
      </c>
      <c r="CG224" s="150">
        <v>11</v>
      </c>
      <c r="CH224" s="151" t="s">
        <v>593</v>
      </c>
      <c r="CI224" s="152">
        <v>2065</v>
      </c>
      <c r="CJ224" s="152">
        <v>5.2670000000000003</v>
      </c>
      <c r="CK224" s="151">
        <v>6.81</v>
      </c>
      <c r="CL224" s="151" t="s">
        <v>1675</v>
      </c>
      <c r="CM224" s="151">
        <v>3250</v>
      </c>
      <c r="CN224" s="151" t="s">
        <v>1718</v>
      </c>
      <c r="CO224" s="151">
        <v>3976</v>
      </c>
      <c r="CP224" s="151" t="s">
        <v>1718</v>
      </c>
      <c r="CR224" s="155">
        <f t="shared" si="72"/>
        <v>11</v>
      </c>
      <c r="CS224" s="156">
        <f t="shared" si="73"/>
        <v>6.81</v>
      </c>
      <c r="CU224" s="151">
        <v>11</v>
      </c>
      <c r="CV224" s="152" t="s">
        <v>593</v>
      </c>
      <c r="CW224" s="152">
        <v>3576</v>
      </c>
      <c r="CX224" s="152">
        <v>29.23</v>
      </c>
      <c r="CY224" s="151">
        <v>4.66</v>
      </c>
      <c r="CZ224" s="151" t="s">
        <v>1675</v>
      </c>
      <c r="DA224" s="151">
        <v>2846</v>
      </c>
      <c r="DB224" s="151" t="s">
        <v>1718</v>
      </c>
      <c r="DC224" s="151">
        <v>3601</v>
      </c>
      <c r="DD224" t="s">
        <v>1718</v>
      </c>
      <c r="DF224" s="155">
        <f t="shared" si="74"/>
        <v>11</v>
      </c>
      <c r="DG224" s="156">
        <f t="shared" si="75"/>
        <v>4.66</v>
      </c>
      <c r="DI224" s="151">
        <v>11</v>
      </c>
      <c r="DJ224" s="152" t="s">
        <v>593</v>
      </c>
      <c r="DK224" s="152">
        <v>3418</v>
      </c>
      <c r="DL224" s="152">
        <v>27.16</v>
      </c>
      <c r="DM224" s="151">
        <v>4.99</v>
      </c>
      <c r="DN224" s="151" t="s">
        <v>1675</v>
      </c>
      <c r="DO224" s="151">
        <v>2913</v>
      </c>
      <c r="DP224" s="151" t="s">
        <v>1718</v>
      </c>
      <c r="DQ224" s="151">
        <v>3706</v>
      </c>
      <c r="DR224" t="s">
        <v>1718</v>
      </c>
      <c r="DT224" s="155">
        <f t="shared" si="76"/>
        <v>11</v>
      </c>
      <c r="DU224" s="156">
        <f t="shared" si="77"/>
        <v>4.99</v>
      </c>
    </row>
    <row r="225" spans="1:125" x14ac:dyDescent="0.2">
      <c r="A225" s="150">
        <v>12</v>
      </c>
      <c r="B225" s="151" t="s">
        <v>593</v>
      </c>
      <c r="C225" s="152">
        <v>2404</v>
      </c>
      <c r="D225" s="152">
        <v>5.8250000000000002</v>
      </c>
      <c r="E225" s="151">
        <v>6.58</v>
      </c>
      <c r="F225" s="151" t="s">
        <v>1675</v>
      </c>
      <c r="G225" s="151">
        <v>3322</v>
      </c>
      <c r="H225" s="151" t="s">
        <v>1718</v>
      </c>
      <c r="I225" s="151">
        <v>4114</v>
      </c>
      <c r="J225" s="151" t="s">
        <v>1718</v>
      </c>
      <c r="L225" s="155">
        <f t="shared" si="60"/>
        <v>12</v>
      </c>
      <c r="M225" s="156">
        <f t="shared" si="61"/>
        <v>6.58</v>
      </c>
      <c r="O225" s="150">
        <v>12</v>
      </c>
      <c r="P225" s="151" t="s">
        <v>593</v>
      </c>
      <c r="Q225" s="152">
        <v>2078</v>
      </c>
      <c r="R225" s="152">
        <v>4.2450000000000001</v>
      </c>
      <c r="S225" s="151">
        <v>7.06</v>
      </c>
      <c r="T225" s="151" t="s">
        <v>1675</v>
      </c>
      <c r="U225" s="151">
        <v>3192</v>
      </c>
      <c r="V225" s="151" t="s">
        <v>1718</v>
      </c>
      <c r="W225" s="151">
        <v>3823</v>
      </c>
      <c r="X225" s="151" t="s">
        <v>1718</v>
      </c>
      <c r="Z225" s="155">
        <f t="shared" si="62"/>
        <v>12</v>
      </c>
      <c r="AA225" s="156">
        <f t="shared" si="63"/>
        <v>7.06</v>
      </c>
      <c r="AC225" s="150">
        <v>12</v>
      </c>
      <c r="AD225" s="151" t="s">
        <v>593</v>
      </c>
      <c r="AE225" s="152">
        <v>79.260000000000005</v>
      </c>
      <c r="AF225" s="152">
        <v>5.0790000000000002E-2</v>
      </c>
      <c r="AG225" s="151">
        <v>93.33</v>
      </c>
      <c r="AH225" s="151" t="s">
        <v>1675</v>
      </c>
      <c r="AI225" s="151">
        <v>3.83</v>
      </c>
      <c r="AJ225" s="151" t="s">
        <v>1675</v>
      </c>
      <c r="AK225" s="151">
        <v>2.46</v>
      </c>
      <c r="AL225" s="151" t="s">
        <v>1675</v>
      </c>
      <c r="AN225" s="155">
        <f t="shared" si="64"/>
        <v>12</v>
      </c>
      <c r="AO225" s="156">
        <f t="shared" si="65"/>
        <v>93.33</v>
      </c>
      <c r="AQ225" s="150">
        <v>12</v>
      </c>
      <c r="AR225" s="151" t="s">
        <v>593</v>
      </c>
      <c r="AS225" s="152">
        <v>7.0170000000000003</v>
      </c>
      <c r="AT225" s="152">
        <v>3.5239999999999998E-3</v>
      </c>
      <c r="AU225" s="151">
        <v>974.42</v>
      </c>
      <c r="AV225" s="151" t="s">
        <v>1675</v>
      </c>
      <c r="AW225" s="151">
        <v>43.42</v>
      </c>
      <c r="AX225" s="151" t="s">
        <v>1675</v>
      </c>
      <c r="AY225" s="151">
        <v>42.94</v>
      </c>
      <c r="AZ225" s="151" t="s">
        <v>1675</v>
      </c>
      <c r="BB225" s="155">
        <f t="shared" si="66"/>
        <v>12</v>
      </c>
      <c r="BC225" s="156">
        <f t="shared" si="67"/>
        <v>974.42</v>
      </c>
      <c r="BE225" s="150">
        <v>12</v>
      </c>
      <c r="BF225" s="151" t="s">
        <v>593</v>
      </c>
      <c r="BG225" s="152">
        <v>1014</v>
      </c>
      <c r="BH225" s="152">
        <v>1.135</v>
      </c>
      <c r="BI225" s="151">
        <v>11.42</v>
      </c>
      <c r="BJ225" s="151" t="s">
        <v>1675</v>
      </c>
      <c r="BK225" s="151">
        <v>4246</v>
      </c>
      <c r="BL225" s="151" t="s">
        <v>1718</v>
      </c>
      <c r="BM225" s="151">
        <v>4099</v>
      </c>
      <c r="BN225" s="151" t="s">
        <v>1718</v>
      </c>
      <c r="BP225" s="155">
        <f t="shared" si="68"/>
        <v>12</v>
      </c>
      <c r="BQ225" s="156">
        <f t="shared" si="69"/>
        <v>11.42</v>
      </c>
      <c r="BS225" s="150">
        <v>12</v>
      </c>
      <c r="BT225" s="151" t="s">
        <v>593</v>
      </c>
      <c r="BU225" s="152">
        <v>1833</v>
      </c>
      <c r="BV225" s="152">
        <v>3.5030000000000001</v>
      </c>
      <c r="BW225" s="151">
        <v>7.33</v>
      </c>
      <c r="BX225" s="151" t="s">
        <v>1675</v>
      </c>
      <c r="BY225" s="151">
        <v>3133</v>
      </c>
      <c r="BZ225" s="151" t="s">
        <v>1718</v>
      </c>
      <c r="CA225" s="151">
        <v>3609</v>
      </c>
      <c r="CB225" s="151" t="s">
        <v>1718</v>
      </c>
      <c r="CD225" s="155">
        <f t="shared" si="70"/>
        <v>12</v>
      </c>
      <c r="CE225" s="156">
        <f t="shared" si="71"/>
        <v>7.33</v>
      </c>
      <c r="CG225" s="150">
        <v>12</v>
      </c>
      <c r="CH225" s="151" t="s">
        <v>593</v>
      </c>
      <c r="CI225" s="152">
        <v>2072</v>
      </c>
      <c r="CJ225" s="152">
        <v>4.8979999999999997</v>
      </c>
      <c r="CK225" s="151">
        <v>7.29</v>
      </c>
      <c r="CL225" s="151" t="s">
        <v>1675</v>
      </c>
      <c r="CM225" s="151">
        <v>3343</v>
      </c>
      <c r="CN225" s="151" t="s">
        <v>1718</v>
      </c>
      <c r="CO225" s="151">
        <v>4053</v>
      </c>
      <c r="CP225" s="151" t="s">
        <v>1718</v>
      </c>
      <c r="CR225" s="155">
        <f t="shared" si="72"/>
        <v>12</v>
      </c>
      <c r="CS225" s="156">
        <f t="shared" si="73"/>
        <v>7.29</v>
      </c>
      <c r="CU225" s="151">
        <v>12</v>
      </c>
      <c r="CV225" s="152" t="s">
        <v>593</v>
      </c>
      <c r="CW225" s="152">
        <v>3659</v>
      </c>
      <c r="CX225" s="152">
        <v>27.27</v>
      </c>
      <c r="CY225" s="151">
        <v>4.9400000000000004</v>
      </c>
      <c r="CZ225" s="151" t="s">
        <v>1675</v>
      </c>
      <c r="DA225" s="151">
        <v>2895</v>
      </c>
      <c r="DB225" s="151" t="s">
        <v>1718</v>
      </c>
      <c r="DC225" s="151">
        <v>3667</v>
      </c>
      <c r="DD225" t="s">
        <v>1718</v>
      </c>
      <c r="DF225" s="155">
        <f t="shared" si="74"/>
        <v>12</v>
      </c>
      <c r="DG225" s="156">
        <f t="shared" si="75"/>
        <v>4.9400000000000004</v>
      </c>
      <c r="DI225" s="151">
        <v>12</v>
      </c>
      <c r="DJ225" s="152" t="s">
        <v>593</v>
      </c>
      <c r="DK225" s="152">
        <v>3517</v>
      </c>
      <c r="DL225" s="152">
        <v>25.33</v>
      </c>
      <c r="DM225" s="151">
        <v>5.27</v>
      </c>
      <c r="DN225" s="151" t="s">
        <v>1675</v>
      </c>
      <c r="DO225" s="151">
        <v>2964</v>
      </c>
      <c r="DP225" s="151" t="s">
        <v>1718</v>
      </c>
      <c r="DQ225" s="151">
        <v>3776</v>
      </c>
      <c r="DR225" t="s">
        <v>1718</v>
      </c>
      <c r="DT225" s="155">
        <f t="shared" si="76"/>
        <v>12</v>
      </c>
      <c r="DU225" s="156">
        <f t="shared" si="77"/>
        <v>5.27</v>
      </c>
    </row>
    <row r="226" spans="1:125" x14ac:dyDescent="0.2">
      <c r="A226" s="150">
        <v>13</v>
      </c>
      <c r="B226" s="151" t="s">
        <v>593</v>
      </c>
      <c r="C226" s="152">
        <v>2402</v>
      </c>
      <c r="D226" s="152">
        <v>5.4489999999999998</v>
      </c>
      <c r="E226" s="151">
        <v>7</v>
      </c>
      <c r="F226" s="151" t="s">
        <v>1675</v>
      </c>
      <c r="G226" s="151">
        <v>3391</v>
      </c>
      <c r="H226" s="151" t="s">
        <v>1718</v>
      </c>
      <c r="I226" s="151">
        <v>4175</v>
      </c>
      <c r="J226" s="151" t="s">
        <v>1718</v>
      </c>
      <c r="L226" s="155">
        <f t="shared" si="60"/>
        <v>13</v>
      </c>
      <c r="M226" s="156">
        <f t="shared" si="61"/>
        <v>7</v>
      </c>
      <c r="O226" s="150">
        <v>13</v>
      </c>
      <c r="P226" s="151" t="s">
        <v>593</v>
      </c>
      <c r="Q226" s="152">
        <v>2079</v>
      </c>
      <c r="R226" s="152">
        <v>3.9689999999999999</v>
      </c>
      <c r="S226" s="151">
        <v>7.54</v>
      </c>
      <c r="T226" s="151" t="s">
        <v>1675</v>
      </c>
      <c r="U226" s="151">
        <v>3285</v>
      </c>
      <c r="V226" s="151" t="s">
        <v>1718</v>
      </c>
      <c r="W226" s="151">
        <v>3897</v>
      </c>
      <c r="X226" s="151" t="s">
        <v>1718</v>
      </c>
      <c r="Z226" s="155">
        <f t="shared" si="62"/>
        <v>13</v>
      </c>
      <c r="AA226" s="156">
        <f t="shared" si="63"/>
        <v>7.54</v>
      </c>
      <c r="AC226" s="150">
        <v>13</v>
      </c>
      <c r="AD226" s="151" t="s">
        <v>593</v>
      </c>
      <c r="AE226" s="152">
        <v>74.84</v>
      </c>
      <c r="AF226" s="152">
        <v>4.734E-2</v>
      </c>
      <c r="AG226" s="151">
        <v>106.29</v>
      </c>
      <c r="AH226" s="151" t="s">
        <v>1675</v>
      </c>
      <c r="AI226" s="151">
        <v>4.28</v>
      </c>
      <c r="AJ226" s="151" t="s">
        <v>1675</v>
      </c>
      <c r="AK226" s="151">
        <v>2.76</v>
      </c>
      <c r="AL226" s="151" t="s">
        <v>1675</v>
      </c>
      <c r="AN226" s="155">
        <f t="shared" si="64"/>
        <v>13</v>
      </c>
      <c r="AO226" s="156">
        <f t="shared" si="65"/>
        <v>106.29</v>
      </c>
      <c r="AQ226" s="150">
        <v>13</v>
      </c>
      <c r="AR226" s="151" t="s">
        <v>593</v>
      </c>
      <c r="AS226" s="152">
        <v>6.5949999999999998</v>
      </c>
      <c r="AT226" s="152">
        <v>3.2810000000000001E-3</v>
      </c>
      <c r="AU226" s="151">
        <v>1.1200000000000001</v>
      </c>
      <c r="AV226" s="151" t="s">
        <v>1623</v>
      </c>
      <c r="AW226" s="151">
        <v>48.89</v>
      </c>
      <c r="AX226" s="151" t="s">
        <v>1675</v>
      </c>
      <c r="AY226" s="151">
        <v>49.09</v>
      </c>
      <c r="AZ226" s="151" t="s">
        <v>1675</v>
      </c>
      <c r="BB226" s="155">
        <f t="shared" si="66"/>
        <v>13</v>
      </c>
      <c r="BC226" s="156">
        <f t="shared" si="67"/>
        <v>1120</v>
      </c>
      <c r="BE226" s="150">
        <v>13</v>
      </c>
      <c r="BF226" s="151" t="s">
        <v>593</v>
      </c>
      <c r="BG226" s="152">
        <v>996.8</v>
      </c>
      <c r="BH226" s="152">
        <v>1.06</v>
      </c>
      <c r="BI226" s="151">
        <v>12.41</v>
      </c>
      <c r="BJ226" s="151" t="s">
        <v>1675</v>
      </c>
      <c r="BK226" s="151">
        <v>4505</v>
      </c>
      <c r="BL226" s="151" t="s">
        <v>1718</v>
      </c>
      <c r="BM226" s="151">
        <v>4248</v>
      </c>
      <c r="BN226" s="151" t="s">
        <v>1718</v>
      </c>
      <c r="BP226" s="155">
        <f t="shared" si="68"/>
        <v>13</v>
      </c>
      <c r="BQ226" s="156">
        <f t="shared" si="69"/>
        <v>12.41</v>
      </c>
      <c r="BS226" s="150">
        <v>13</v>
      </c>
      <c r="BT226" s="151" t="s">
        <v>593</v>
      </c>
      <c r="BU226" s="152">
        <v>1815</v>
      </c>
      <c r="BV226" s="152">
        <v>3.2749999999999999</v>
      </c>
      <c r="BW226" s="151">
        <v>7.87</v>
      </c>
      <c r="BX226" s="151" t="s">
        <v>1675</v>
      </c>
      <c r="BY226" s="151">
        <v>3250</v>
      </c>
      <c r="BZ226" s="151" t="s">
        <v>1718</v>
      </c>
      <c r="CA226" s="151">
        <v>3687</v>
      </c>
      <c r="CB226" s="151" t="s">
        <v>1718</v>
      </c>
      <c r="CD226" s="155">
        <f t="shared" si="70"/>
        <v>13</v>
      </c>
      <c r="CE226" s="156">
        <f t="shared" si="71"/>
        <v>7.87</v>
      </c>
      <c r="CG226" s="150">
        <v>13</v>
      </c>
      <c r="CH226" s="151" t="s">
        <v>593</v>
      </c>
      <c r="CI226" s="152">
        <v>2076</v>
      </c>
      <c r="CJ226" s="152">
        <v>4.5810000000000004</v>
      </c>
      <c r="CK226" s="151">
        <v>7.77</v>
      </c>
      <c r="CL226" s="151" t="s">
        <v>1675</v>
      </c>
      <c r="CM226" s="151">
        <v>3433</v>
      </c>
      <c r="CN226" s="151" t="s">
        <v>1718</v>
      </c>
      <c r="CO226" s="151">
        <v>4126</v>
      </c>
      <c r="CP226" s="151" t="s">
        <v>1718</v>
      </c>
      <c r="CR226" s="155">
        <f t="shared" si="72"/>
        <v>13</v>
      </c>
      <c r="CS226" s="156">
        <f t="shared" si="73"/>
        <v>7.77</v>
      </c>
      <c r="CU226" s="151">
        <v>13</v>
      </c>
      <c r="CV226" s="152" t="s">
        <v>593</v>
      </c>
      <c r="CW226" s="152">
        <v>3733</v>
      </c>
      <c r="CX226" s="152">
        <v>25.57</v>
      </c>
      <c r="CY226" s="151">
        <v>5.2</v>
      </c>
      <c r="CZ226" s="151" t="s">
        <v>1675</v>
      </c>
      <c r="DA226" s="151">
        <v>2940</v>
      </c>
      <c r="DB226" s="151" t="s">
        <v>1718</v>
      </c>
      <c r="DC226" s="151">
        <v>3729</v>
      </c>
      <c r="DD226" t="s">
        <v>1718</v>
      </c>
      <c r="DF226" s="155">
        <f t="shared" si="74"/>
        <v>13</v>
      </c>
      <c r="DG226" s="156">
        <f t="shared" si="75"/>
        <v>5.2</v>
      </c>
      <c r="DI226" s="151">
        <v>13</v>
      </c>
      <c r="DJ226" s="152" t="s">
        <v>593</v>
      </c>
      <c r="DK226" s="152">
        <v>3605</v>
      </c>
      <c r="DL226" s="152">
        <v>23.75</v>
      </c>
      <c r="DM226" s="151">
        <v>5.55</v>
      </c>
      <c r="DN226" s="151" t="s">
        <v>1675</v>
      </c>
      <c r="DO226" s="151">
        <v>3011</v>
      </c>
      <c r="DP226" s="151" t="s">
        <v>1718</v>
      </c>
      <c r="DQ226" s="151">
        <v>3841</v>
      </c>
      <c r="DR226" t="s">
        <v>1718</v>
      </c>
      <c r="DT226" s="155">
        <f t="shared" si="76"/>
        <v>13</v>
      </c>
      <c r="DU226" s="156">
        <f t="shared" si="77"/>
        <v>5.55</v>
      </c>
    </row>
    <row r="227" spans="1:125" x14ac:dyDescent="0.2">
      <c r="A227" s="150">
        <v>14</v>
      </c>
      <c r="B227" s="151" t="s">
        <v>593</v>
      </c>
      <c r="C227" s="152">
        <v>2399</v>
      </c>
      <c r="D227" s="152">
        <v>5.1219999999999999</v>
      </c>
      <c r="E227" s="151">
        <v>7.41</v>
      </c>
      <c r="F227" s="151" t="s">
        <v>1675</v>
      </c>
      <c r="G227" s="151">
        <v>3459</v>
      </c>
      <c r="H227" s="151" t="s">
        <v>1718</v>
      </c>
      <c r="I227" s="151">
        <v>4234</v>
      </c>
      <c r="J227" s="151" t="s">
        <v>1718</v>
      </c>
      <c r="L227" s="155">
        <f t="shared" si="60"/>
        <v>14</v>
      </c>
      <c r="M227" s="156">
        <f t="shared" si="61"/>
        <v>7.41</v>
      </c>
      <c r="O227" s="150">
        <v>14</v>
      </c>
      <c r="P227" s="151" t="s">
        <v>593</v>
      </c>
      <c r="Q227" s="152">
        <v>2077</v>
      </c>
      <c r="R227" s="152">
        <v>3.73</v>
      </c>
      <c r="S227" s="151">
        <v>8.02</v>
      </c>
      <c r="T227" s="151" t="s">
        <v>1675</v>
      </c>
      <c r="U227" s="151">
        <v>3374</v>
      </c>
      <c r="V227" s="151" t="s">
        <v>1718</v>
      </c>
      <c r="W227" s="151">
        <v>3968</v>
      </c>
      <c r="X227" s="151" t="s">
        <v>1718</v>
      </c>
      <c r="Z227" s="155">
        <f t="shared" si="62"/>
        <v>14</v>
      </c>
      <c r="AA227" s="156">
        <f t="shared" si="63"/>
        <v>8.02</v>
      </c>
      <c r="AC227" s="150">
        <v>14</v>
      </c>
      <c r="AD227" s="151" t="s">
        <v>593</v>
      </c>
      <c r="AE227" s="152">
        <v>70.95</v>
      </c>
      <c r="AF227" s="152">
        <v>4.4339999999999997E-2</v>
      </c>
      <c r="AG227" s="151">
        <v>119.99</v>
      </c>
      <c r="AH227" s="151" t="s">
        <v>1675</v>
      </c>
      <c r="AI227" s="151">
        <v>4.74</v>
      </c>
      <c r="AJ227" s="151" t="s">
        <v>1675</v>
      </c>
      <c r="AK227" s="151">
        <v>3.07</v>
      </c>
      <c r="AL227" s="151" t="s">
        <v>1675</v>
      </c>
      <c r="AN227" s="155">
        <f t="shared" si="64"/>
        <v>14</v>
      </c>
      <c r="AO227" s="156">
        <f t="shared" si="65"/>
        <v>119.99</v>
      </c>
      <c r="AQ227" s="150">
        <v>14</v>
      </c>
      <c r="AR227" s="151" t="s">
        <v>593</v>
      </c>
      <c r="AS227" s="152">
        <v>6.2249999999999996</v>
      </c>
      <c r="AT227" s="152">
        <v>3.0709999999999999E-3</v>
      </c>
      <c r="AU227" s="151">
        <v>1.28</v>
      </c>
      <c r="AV227" s="151" t="s">
        <v>1623</v>
      </c>
      <c r="AW227" s="151">
        <v>54.44</v>
      </c>
      <c r="AX227" s="151" t="s">
        <v>1675</v>
      </c>
      <c r="AY227" s="151">
        <v>55.59</v>
      </c>
      <c r="AZ227" s="151" t="s">
        <v>1675</v>
      </c>
      <c r="BB227" s="155">
        <f t="shared" si="66"/>
        <v>14</v>
      </c>
      <c r="BC227" s="156">
        <f t="shared" si="67"/>
        <v>1280</v>
      </c>
      <c r="BE227" s="150">
        <v>14</v>
      </c>
      <c r="BF227" s="151" t="s">
        <v>593</v>
      </c>
      <c r="BG227" s="152">
        <v>979.7</v>
      </c>
      <c r="BH227" s="152">
        <v>0.99480000000000002</v>
      </c>
      <c r="BI227" s="151">
        <v>13.42</v>
      </c>
      <c r="BJ227" s="151" t="s">
        <v>1675</v>
      </c>
      <c r="BK227" s="151">
        <v>4758</v>
      </c>
      <c r="BL227" s="151" t="s">
        <v>1718</v>
      </c>
      <c r="BM227" s="151">
        <v>4398</v>
      </c>
      <c r="BN227" s="151" t="s">
        <v>1718</v>
      </c>
      <c r="BP227" s="155">
        <f t="shared" si="68"/>
        <v>14</v>
      </c>
      <c r="BQ227" s="156">
        <f t="shared" si="69"/>
        <v>13.42</v>
      </c>
      <c r="BS227" s="150">
        <v>14</v>
      </c>
      <c r="BT227" s="151" t="s">
        <v>593</v>
      </c>
      <c r="BU227" s="152">
        <v>1798</v>
      </c>
      <c r="BV227" s="152">
        <v>3.0760000000000001</v>
      </c>
      <c r="BW227" s="151">
        <v>8.43</v>
      </c>
      <c r="BX227" s="151" t="s">
        <v>1675</v>
      </c>
      <c r="BY227" s="151">
        <v>3364</v>
      </c>
      <c r="BZ227" s="151" t="s">
        <v>1718</v>
      </c>
      <c r="CA227" s="151">
        <v>3765</v>
      </c>
      <c r="CB227" s="151" t="s">
        <v>1718</v>
      </c>
      <c r="CD227" s="155">
        <f t="shared" si="70"/>
        <v>14</v>
      </c>
      <c r="CE227" s="156">
        <f t="shared" si="71"/>
        <v>8.43</v>
      </c>
      <c r="CG227" s="150">
        <v>14</v>
      </c>
      <c r="CH227" s="151" t="s">
        <v>593</v>
      </c>
      <c r="CI227" s="152">
        <v>2078</v>
      </c>
      <c r="CJ227" s="152">
        <v>4.3049999999999997</v>
      </c>
      <c r="CK227" s="151">
        <v>8.25</v>
      </c>
      <c r="CL227" s="151" t="s">
        <v>1675</v>
      </c>
      <c r="CM227" s="151">
        <v>3519</v>
      </c>
      <c r="CN227" s="151" t="s">
        <v>1718</v>
      </c>
      <c r="CO227" s="151">
        <v>4197</v>
      </c>
      <c r="CP227" s="151" t="s">
        <v>1718</v>
      </c>
      <c r="CR227" s="155">
        <f t="shared" si="72"/>
        <v>14</v>
      </c>
      <c r="CS227" s="156">
        <f t="shared" si="73"/>
        <v>8.25</v>
      </c>
      <c r="CU227" s="151">
        <v>14</v>
      </c>
      <c r="CV227" s="152" t="s">
        <v>593</v>
      </c>
      <c r="CW227" s="152">
        <v>3800</v>
      </c>
      <c r="CX227" s="152">
        <v>24.09</v>
      </c>
      <c r="CY227" s="151">
        <v>5.47</v>
      </c>
      <c r="CZ227" s="151" t="s">
        <v>1675</v>
      </c>
      <c r="DA227" s="151">
        <v>2983</v>
      </c>
      <c r="DB227" s="151" t="s">
        <v>1718</v>
      </c>
      <c r="DC227" s="151">
        <v>3787</v>
      </c>
      <c r="DD227" t="s">
        <v>1718</v>
      </c>
      <c r="DF227" s="155">
        <f t="shared" si="74"/>
        <v>14</v>
      </c>
      <c r="DG227" s="156">
        <f t="shared" si="75"/>
        <v>5.47</v>
      </c>
      <c r="DI227" s="151">
        <v>14</v>
      </c>
      <c r="DJ227" s="152" t="s">
        <v>593</v>
      </c>
      <c r="DK227" s="152">
        <v>3683</v>
      </c>
      <c r="DL227" s="152">
        <v>22.37</v>
      </c>
      <c r="DM227" s="151">
        <v>5.82</v>
      </c>
      <c r="DN227" s="151" t="s">
        <v>1675</v>
      </c>
      <c r="DO227" s="151">
        <v>3055</v>
      </c>
      <c r="DP227" s="151" t="s">
        <v>1718</v>
      </c>
      <c r="DQ227" s="151">
        <v>3900</v>
      </c>
      <c r="DR227" t="s">
        <v>1718</v>
      </c>
      <c r="DT227" s="155">
        <f t="shared" si="76"/>
        <v>14</v>
      </c>
      <c r="DU227" s="156">
        <f t="shared" si="77"/>
        <v>5.82</v>
      </c>
    </row>
    <row r="228" spans="1:125" x14ac:dyDescent="0.2">
      <c r="A228" s="150">
        <v>15</v>
      </c>
      <c r="B228" s="151" t="s">
        <v>593</v>
      </c>
      <c r="C228" s="152">
        <v>2393</v>
      </c>
      <c r="D228" s="152">
        <v>4.8339999999999996</v>
      </c>
      <c r="E228" s="151">
        <v>7.83</v>
      </c>
      <c r="F228" s="151" t="s">
        <v>1675</v>
      </c>
      <c r="G228" s="151">
        <v>3525</v>
      </c>
      <c r="H228" s="151" t="s">
        <v>1718</v>
      </c>
      <c r="I228" s="151">
        <v>4290</v>
      </c>
      <c r="J228" s="151" t="s">
        <v>1718</v>
      </c>
      <c r="L228" s="155">
        <f t="shared" si="60"/>
        <v>15</v>
      </c>
      <c r="M228" s="156">
        <f t="shared" si="61"/>
        <v>7.83</v>
      </c>
      <c r="O228" s="150">
        <v>15</v>
      </c>
      <c r="P228" s="151" t="s">
        <v>593</v>
      </c>
      <c r="Q228" s="152">
        <v>2074</v>
      </c>
      <c r="R228" s="152">
        <v>3.5190000000000001</v>
      </c>
      <c r="S228" s="151">
        <v>8.5</v>
      </c>
      <c r="T228" s="151" t="s">
        <v>1675</v>
      </c>
      <c r="U228" s="151">
        <v>3461</v>
      </c>
      <c r="V228" s="151" t="s">
        <v>1718</v>
      </c>
      <c r="W228" s="151">
        <v>4038</v>
      </c>
      <c r="X228" s="151" t="s">
        <v>1718</v>
      </c>
      <c r="Z228" s="155">
        <f t="shared" si="62"/>
        <v>15</v>
      </c>
      <c r="AA228" s="156">
        <f t="shared" si="63"/>
        <v>8.5</v>
      </c>
      <c r="AC228" s="150">
        <v>15</v>
      </c>
      <c r="AD228" s="151" t="s">
        <v>593</v>
      </c>
      <c r="AE228" s="152">
        <v>67.489999999999995</v>
      </c>
      <c r="AF228" s="152">
        <v>4.172E-2</v>
      </c>
      <c r="AG228" s="151">
        <v>134.41999999999999</v>
      </c>
      <c r="AH228" s="151" t="s">
        <v>1675</v>
      </c>
      <c r="AI228" s="151">
        <v>5.2</v>
      </c>
      <c r="AJ228" s="151" t="s">
        <v>1675</v>
      </c>
      <c r="AK228" s="151">
        <v>3.41</v>
      </c>
      <c r="AL228" s="151" t="s">
        <v>1675</v>
      </c>
      <c r="AN228" s="155">
        <f t="shared" si="64"/>
        <v>15</v>
      </c>
      <c r="AO228" s="156">
        <f t="shared" si="65"/>
        <v>134.41999999999999</v>
      </c>
      <c r="AQ228" s="150">
        <v>15</v>
      </c>
      <c r="AR228" s="151" t="s">
        <v>593</v>
      </c>
      <c r="AS228" s="152">
        <v>5.9</v>
      </c>
      <c r="AT228" s="152">
        <v>2.8869999999999998E-3</v>
      </c>
      <c r="AU228" s="151">
        <v>1.44</v>
      </c>
      <c r="AV228" s="151" t="s">
        <v>1623</v>
      </c>
      <c r="AW228" s="151">
        <v>60.08</v>
      </c>
      <c r="AX228" s="151" t="s">
        <v>1675</v>
      </c>
      <c r="AY228" s="151">
        <v>62.44</v>
      </c>
      <c r="AZ228" s="151" t="s">
        <v>1675</v>
      </c>
      <c r="BB228" s="155">
        <f t="shared" si="66"/>
        <v>15</v>
      </c>
      <c r="BC228" s="156">
        <f t="shared" si="67"/>
        <v>1440</v>
      </c>
      <c r="BE228" s="150">
        <v>15</v>
      </c>
      <c r="BF228" s="151" t="s">
        <v>593</v>
      </c>
      <c r="BG228" s="152">
        <v>963.1</v>
      </c>
      <c r="BH228" s="152">
        <v>0.93759999999999999</v>
      </c>
      <c r="BI228" s="151">
        <v>14.45</v>
      </c>
      <c r="BJ228" s="151" t="s">
        <v>1675</v>
      </c>
      <c r="BK228" s="151">
        <v>5007</v>
      </c>
      <c r="BL228" s="151" t="s">
        <v>1718</v>
      </c>
      <c r="BM228" s="151">
        <v>4548</v>
      </c>
      <c r="BN228" s="151" t="s">
        <v>1718</v>
      </c>
      <c r="BP228" s="155">
        <f t="shared" si="68"/>
        <v>15</v>
      </c>
      <c r="BQ228" s="156">
        <f t="shared" si="69"/>
        <v>14.45</v>
      </c>
      <c r="BS228" s="150">
        <v>15</v>
      </c>
      <c r="BT228" s="151" t="s">
        <v>593</v>
      </c>
      <c r="BU228" s="152">
        <v>1781</v>
      </c>
      <c r="BV228" s="152">
        <v>2.9020000000000001</v>
      </c>
      <c r="BW228" s="151">
        <v>8.98</v>
      </c>
      <c r="BX228" s="151" t="s">
        <v>1675</v>
      </c>
      <c r="BY228" s="151">
        <v>3476</v>
      </c>
      <c r="BZ228" s="151" t="s">
        <v>1718</v>
      </c>
      <c r="CA228" s="151">
        <v>3842</v>
      </c>
      <c r="CB228" s="151" t="s">
        <v>1718</v>
      </c>
      <c r="CD228" s="155">
        <f t="shared" si="70"/>
        <v>15</v>
      </c>
      <c r="CE228" s="156">
        <f t="shared" si="71"/>
        <v>8.98</v>
      </c>
      <c r="CG228" s="150">
        <v>15</v>
      </c>
      <c r="CH228" s="151" t="s">
        <v>593</v>
      </c>
      <c r="CI228" s="152">
        <v>2079</v>
      </c>
      <c r="CJ228" s="152">
        <v>4.0620000000000003</v>
      </c>
      <c r="CK228" s="151">
        <v>8.73</v>
      </c>
      <c r="CL228" s="151" t="s">
        <v>1675</v>
      </c>
      <c r="CM228" s="151">
        <v>3604</v>
      </c>
      <c r="CN228" s="151" t="s">
        <v>1718</v>
      </c>
      <c r="CO228" s="151">
        <v>4266</v>
      </c>
      <c r="CP228" s="151" t="s">
        <v>1718</v>
      </c>
      <c r="CR228" s="155">
        <f t="shared" si="72"/>
        <v>15</v>
      </c>
      <c r="CS228" s="156">
        <f t="shared" si="73"/>
        <v>8.73</v>
      </c>
      <c r="CU228" s="151">
        <v>15</v>
      </c>
      <c r="CV228" s="152" t="s">
        <v>593</v>
      </c>
      <c r="CW228" s="152">
        <v>3862</v>
      </c>
      <c r="CX228" s="152">
        <v>22.78</v>
      </c>
      <c r="CY228" s="151">
        <v>5.73</v>
      </c>
      <c r="CZ228" s="151" t="s">
        <v>1675</v>
      </c>
      <c r="DA228" s="151">
        <v>3023</v>
      </c>
      <c r="DB228" s="151" t="s">
        <v>1718</v>
      </c>
      <c r="DC228" s="151">
        <v>3841</v>
      </c>
      <c r="DD228" t="s">
        <v>1718</v>
      </c>
      <c r="DF228" s="155">
        <f t="shared" si="74"/>
        <v>15</v>
      </c>
      <c r="DG228" s="156">
        <f t="shared" si="75"/>
        <v>5.73</v>
      </c>
      <c r="DI228" s="151">
        <v>15</v>
      </c>
      <c r="DJ228" s="152" t="s">
        <v>593</v>
      </c>
      <c r="DK228" s="152">
        <v>3752</v>
      </c>
      <c r="DL228" s="152">
        <v>21.15</v>
      </c>
      <c r="DM228" s="151">
        <v>6.09</v>
      </c>
      <c r="DN228" s="151" t="s">
        <v>1675</v>
      </c>
      <c r="DO228" s="151">
        <v>3096</v>
      </c>
      <c r="DP228" s="151" t="s">
        <v>1718</v>
      </c>
      <c r="DQ228" s="151">
        <v>3956</v>
      </c>
      <c r="DR228" t="s">
        <v>1718</v>
      </c>
      <c r="DT228" s="155">
        <f t="shared" si="76"/>
        <v>15</v>
      </c>
      <c r="DU228" s="156">
        <f t="shared" si="77"/>
        <v>6.09</v>
      </c>
    </row>
    <row r="229" spans="1:125" x14ac:dyDescent="0.2">
      <c r="A229" s="150">
        <v>16</v>
      </c>
      <c r="B229" s="151" t="s">
        <v>593</v>
      </c>
      <c r="C229" s="152">
        <v>2387</v>
      </c>
      <c r="D229" s="152">
        <v>4.5789999999999997</v>
      </c>
      <c r="E229" s="151">
        <v>8.25</v>
      </c>
      <c r="F229" s="151" t="s">
        <v>1675</v>
      </c>
      <c r="G229" s="151">
        <v>3590</v>
      </c>
      <c r="H229" s="151" t="s">
        <v>1718</v>
      </c>
      <c r="I229" s="151">
        <v>4345</v>
      </c>
      <c r="J229" s="151" t="s">
        <v>1718</v>
      </c>
      <c r="L229" s="155">
        <f t="shared" si="60"/>
        <v>16</v>
      </c>
      <c r="M229" s="156">
        <f t="shared" si="61"/>
        <v>8.25</v>
      </c>
      <c r="O229" s="150">
        <v>16</v>
      </c>
      <c r="P229" s="151" t="s">
        <v>593</v>
      </c>
      <c r="Q229" s="152">
        <v>2069</v>
      </c>
      <c r="R229" s="152">
        <v>3.3319999999999999</v>
      </c>
      <c r="S229" s="151">
        <v>8.99</v>
      </c>
      <c r="T229" s="151" t="s">
        <v>1675</v>
      </c>
      <c r="U229" s="151">
        <v>3546</v>
      </c>
      <c r="V229" s="151" t="s">
        <v>1718</v>
      </c>
      <c r="W229" s="151">
        <v>4106</v>
      </c>
      <c r="X229" s="151" t="s">
        <v>1718</v>
      </c>
      <c r="Z229" s="155">
        <f t="shared" si="62"/>
        <v>16</v>
      </c>
      <c r="AA229" s="156">
        <f t="shared" si="63"/>
        <v>8.99</v>
      </c>
      <c r="AC229" s="150">
        <v>16</v>
      </c>
      <c r="AD229" s="151" t="s">
        <v>593</v>
      </c>
      <c r="AE229" s="152">
        <v>64.400000000000006</v>
      </c>
      <c r="AF229" s="152">
        <v>3.9410000000000001E-2</v>
      </c>
      <c r="AG229" s="151">
        <v>149.56</v>
      </c>
      <c r="AH229" s="151" t="s">
        <v>1675</v>
      </c>
      <c r="AI229" s="151">
        <v>5.67</v>
      </c>
      <c r="AJ229" s="151" t="s">
        <v>1675</v>
      </c>
      <c r="AK229" s="151">
        <v>3.75</v>
      </c>
      <c r="AL229" s="151" t="s">
        <v>1675</v>
      </c>
      <c r="AN229" s="155">
        <f t="shared" si="64"/>
        <v>16</v>
      </c>
      <c r="AO229" s="156">
        <f t="shared" si="65"/>
        <v>149.56</v>
      </c>
      <c r="AQ229" s="150">
        <v>16</v>
      </c>
      <c r="AR229" s="151" t="s">
        <v>593</v>
      </c>
      <c r="AS229" s="152">
        <v>5.61</v>
      </c>
      <c r="AT229" s="152">
        <v>2.7260000000000001E-3</v>
      </c>
      <c r="AU229" s="151">
        <v>1.61</v>
      </c>
      <c r="AV229" s="151" t="s">
        <v>1623</v>
      </c>
      <c r="AW229" s="151">
        <v>65.83</v>
      </c>
      <c r="AX229" s="151" t="s">
        <v>1675</v>
      </c>
      <c r="AY229" s="151">
        <v>69.62</v>
      </c>
      <c r="AZ229" s="151" t="s">
        <v>1675</v>
      </c>
      <c r="BB229" s="155">
        <f t="shared" si="66"/>
        <v>16</v>
      </c>
      <c r="BC229" s="156">
        <f t="shared" si="67"/>
        <v>1610</v>
      </c>
      <c r="BE229" s="150">
        <v>16</v>
      </c>
      <c r="BF229" s="151" t="s">
        <v>593</v>
      </c>
      <c r="BG229" s="152">
        <v>947</v>
      </c>
      <c r="BH229" s="152">
        <v>0.88700000000000001</v>
      </c>
      <c r="BI229" s="151">
        <v>15.49</v>
      </c>
      <c r="BJ229" s="151" t="s">
        <v>1675</v>
      </c>
      <c r="BK229" s="151">
        <v>5252</v>
      </c>
      <c r="BL229" s="151" t="s">
        <v>1718</v>
      </c>
      <c r="BM229" s="151">
        <v>4698</v>
      </c>
      <c r="BN229" s="151" t="s">
        <v>1718</v>
      </c>
      <c r="BP229" s="155">
        <f t="shared" si="68"/>
        <v>16</v>
      </c>
      <c r="BQ229" s="156">
        <f t="shared" si="69"/>
        <v>15.49</v>
      </c>
      <c r="BS229" s="150">
        <v>16</v>
      </c>
      <c r="BT229" s="151" t="s">
        <v>593</v>
      </c>
      <c r="BU229" s="152">
        <v>1766</v>
      </c>
      <c r="BV229" s="152">
        <v>2.7480000000000002</v>
      </c>
      <c r="BW229" s="151">
        <v>9.5500000000000007</v>
      </c>
      <c r="BX229" s="151" t="s">
        <v>1675</v>
      </c>
      <c r="BY229" s="151">
        <v>3586</v>
      </c>
      <c r="BZ229" s="151" t="s">
        <v>1718</v>
      </c>
      <c r="CA229" s="151">
        <v>3918</v>
      </c>
      <c r="CB229" s="151" t="s">
        <v>1718</v>
      </c>
      <c r="CD229" s="155">
        <f t="shared" si="70"/>
        <v>16</v>
      </c>
      <c r="CE229" s="156">
        <f t="shared" si="71"/>
        <v>9.5500000000000007</v>
      </c>
      <c r="CG229" s="150">
        <v>16</v>
      </c>
      <c r="CH229" s="151" t="s">
        <v>593</v>
      </c>
      <c r="CI229" s="152">
        <v>2078</v>
      </c>
      <c r="CJ229" s="152">
        <v>3.847</v>
      </c>
      <c r="CK229" s="151">
        <v>9.2100000000000009</v>
      </c>
      <c r="CL229" s="151" t="s">
        <v>1675</v>
      </c>
      <c r="CM229" s="151">
        <v>3685</v>
      </c>
      <c r="CN229" s="151" t="s">
        <v>1718</v>
      </c>
      <c r="CO229" s="151">
        <v>4333</v>
      </c>
      <c r="CP229" s="151" t="s">
        <v>1718</v>
      </c>
      <c r="CR229" s="155">
        <f t="shared" si="72"/>
        <v>16</v>
      </c>
      <c r="CS229" s="156">
        <f t="shared" si="73"/>
        <v>9.2100000000000009</v>
      </c>
      <c r="CU229" s="151">
        <v>16</v>
      </c>
      <c r="CV229" s="152" t="s">
        <v>593</v>
      </c>
      <c r="CW229" s="152">
        <v>3919</v>
      </c>
      <c r="CX229" s="152">
        <v>21.62</v>
      </c>
      <c r="CY229" s="151">
        <v>5.98</v>
      </c>
      <c r="CZ229" s="151" t="s">
        <v>1675</v>
      </c>
      <c r="DA229" s="151">
        <v>3061</v>
      </c>
      <c r="DB229" s="151" t="s">
        <v>1718</v>
      </c>
      <c r="DC229" s="151">
        <v>3891</v>
      </c>
      <c r="DD229" t="s">
        <v>1718</v>
      </c>
      <c r="DF229" s="155">
        <f t="shared" si="74"/>
        <v>16</v>
      </c>
      <c r="DG229" s="156">
        <f t="shared" si="75"/>
        <v>5.98</v>
      </c>
      <c r="DI229" s="151">
        <v>16</v>
      </c>
      <c r="DJ229" s="152" t="s">
        <v>593</v>
      </c>
      <c r="DK229" s="152">
        <v>3814</v>
      </c>
      <c r="DL229" s="152">
        <v>20.07</v>
      </c>
      <c r="DM229" s="151">
        <v>6.35</v>
      </c>
      <c r="DN229" s="151" t="s">
        <v>1675</v>
      </c>
      <c r="DO229" s="151">
        <v>3135</v>
      </c>
      <c r="DP229" s="151" t="s">
        <v>1718</v>
      </c>
      <c r="DQ229" s="151">
        <v>4008</v>
      </c>
      <c r="DR229" t="s">
        <v>1718</v>
      </c>
      <c r="DT229" s="155">
        <f t="shared" si="76"/>
        <v>16</v>
      </c>
      <c r="DU229" s="156">
        <f t="shared" si="77"/>
        <v>6.35</v>
      </c>
    </row>
    <row r="230" spans="1:125" x14ac:dyDescent="0.2">
      <c r="A230" s="150">
        <v>17</v>
      </c>
      <c r="B230" s="151" t="s">
        <v>593</v>
      </c>
      <c r="C230" s="152">
        <v>2379</v>
      </c>
      <c r="D230" s="152">
        <v>4.351</v>
      </c>
      <c r="E230" s="151">
        <v>8.66</v>
      </c>
      <c r="F230" s="151" t="s">
        <v>1675</v>
      </c>
      <c r="G230" s="151">
        <v>3654</v>
      </c>
      <c r="H230" s="151" t="s">
        <v>1718</v>
      </c>
      <c r="I230" s="151">
        <v>4399</v>
      </c>
      <c r="J230" s="151" t="s">
        <v>1718</v>
      </c>
      <c r="L230" s="155">
        <f t="shared" si="60"/>
        <v>17</v>
      </c>
      <c r="M230" s="156">
        <f t="shared" si="61"/>
        <v>8.66</v>
      </c>
      <c r="O230" s="150">
        <v>17</v>
      </c>
      <c r="P230" s="151" t="s">
        <v>593</v>
      </c>
      <c r="Q230" s="152">
        <v>2064</v>
      </c>
      <c r="R230" s="152">
        <v>3.1659999999999999</v>
      </c>
      <c r="S230" s="151">
        <v>9.4700000000000006</v>
      </c>
      <c r="T230" s="151" t="s">
        <v>1675</v>
      </c>
      <c r="U230" s="151">
        <v>3629</v>
      </c>
      <c r="V230" s="151" t="s">
        <v>1718</v>
      </c>
      <c r="W230" s="151">
        <v>4172</v>
      </c>
      <c r="X230" s="151" t="s">
        <v>1718</v>
      </c>
      <c r="Z230" s="155">
        <f t="shared" si="62"/>
        <v>17</v>
      </c>
      <c r="AA230" s="156">
        <f t="shared" si="63"/>
        <v>9.4700000000000006</v>
      </c>
      <c r="AC230" s="150">
        <v>17</v>
      </c>
      <c r="AD230" s="151" t="s">
        <v>593</v>
      </c>
      <c r="AE230" s="152">
        <v>61.6</v>
      </c>
      <c r="AF230" s="152">
        <v>3.7350000000000001E-2</v>
      </c>
      <c r="AG230" s="151">
        <v>165.42</v>
      </c>
      <c r="AH230" s="151" t="s">
        <v>1675</v>
      </c>
      <c r="AI230" s="151">
        <v>6.14</v>
      </c>
      <c r="AJ230" s="151" t="s">
        <v>1675</v>
      </c>
      <c r="AK230" s="151">
        <v>4.1100000000000003</v>
      </c>
      <c r="AL230" s="151" t="s">
        <v>1675</v>
      </c>
      <c r="AN230" s="155">
        <f t="shared" si="64"/>
        <v>17</v>
      </c>
      <c r="AO230" s="156">
        <f t="shared" si="65"/>
        <v>165.42</v>
      </c>
      <c r="AQ230" s="150">
        <v>17</v>
      </c>
      <c r="AR230" s="151" t="s">
        <v>593</v>
      </c>
      <c r="AS230" s="152">
        <v>5.35</v>
      </c>
      <c r="AT230" s="152">
        <v>2.5820000000000001E-3</v>
      </c>
      <c r="AU230" s="151">
        <v>1.8</v>
      </c>
      <c r="AV230" s="151" t="s">
        <v>1623</v>
      </c>
      <c r="AW230" s="151">
        <v>71.69</v>
      </c>
      <c r="AX230" s="151" t="s">
        <v>1675</v>
      </c>
      <c r="AY230" s="151">
        <v>77.13</v>
      </c>
      <c r="AZ230" s="151" t="s">
        <v>1675</v>
      </c>
      <c r="BB230" s="155">
        <f t="shared" si="66"/>
        <v>17</v>
      </c>
      <c r="BC230" s="156">
        <f t="shared" si="67"/>
        <v>1800</v>
      </c>
      <c r="BE230" s="150">
        <v>17</v>
      </c>
      <c r="BF230" s="151" t="s">
        <v>593</v>
      </c>
      <c r="BG230" s="152">
        <v>931.3</v>
      </c>
      <c r="BH230" s="152">
        <v>0.84189999999999998</v>
      </c>
      <c r="BI230" s="151">
        <v>16.55</v>
      </c>
      <c r="BJ230" s="151" t="s">
        <v>1675</v>
      </c>
      <c r="BK230" s="151">
        <v>5494</v>
      </c>
      <c r="BL230" s="151" t="s">
        <v>1718</v>
      </c>
      <c r="BM230" s="151">
        <v>4849</v>
      </c>
      <c r="BN230" s="151" t="s">
        <v>1718</v>
      </c>
      <c r="BP230" s="155">
        <f t="shared" si="68"/>
        <v>17</v>
      </c>
      <c r="BQ230" s="156">
        <f t="shared" si="69"/>
        <v>16.55</v>
      </c>
      <c r="BS230" s="150">
        <v>17</v>
      </c>
      <c r="BT230" s="151" t="s">
        <v>593</v>
      </c>
      <c r="BU230" s="152">
        <v>1752</v>
      </c>
      <c r="BV230" s="152">
        <v>2.61</v>
      </c>
      <c r="BW230" s="151">
        <v>10.11</v>
      </c>
      <c r="BX230" s="151" t="s">
        <v>1675</v>
      </c>
      <c r="BY230" s="151">
        <v>3695</v>
      </c>
      <c r="BZ230" s="151" t="s">
        <v>1718</v>
      </c>
      <c r="CA230" s="151">
        <v>3993</v>
      </c>
      <c r="CB230" s="151" t="s">
        <v>1718</v>
      </c>
      <c r="CD230" s="155">
        <f t="shared" si="70"/>
        <v>17</v>
      </c>
      <c r="CE230" s="156">
        <f t="shared" si="71"/>
        <v>10.11</v>
      </c>
      <c r="CG230" s="150">
        <v>17</v>
      </c>
      <c r="CH230" s="151" t="s">
        <v>593</v>
      </c>
      <c r="CI230" s="152">
        <v>2075</v>
      </c>
      <c r="CJ230" s="152">
        <v>3.6560000000000001</v>
      </c>
      <c r="CK230" s="151">
        <v>9.69</v>
      </c>
      <c r="CL230" s="151" t="s">
        <v>1675</v>
      </c>
      <c r="CM230" s="151">
        <v>3765</v>
      </c>
      <c r="CN230" s="151" t="s">
        <v>1718</v>
      </c>
      <c r="CO230" s="151">
        <v>4398</v>
      </c>
      <c r="CP230" s="151" t="s">
        <v>1718</v>
      </c>
      <c r="CR230" s="155">
        <f t="shared" si="72"/>
        <v>17</v>
      </c>
      <c r="CS230" s="156">
        <f t="shared" si="73"/>
        <v>9.69</v>
      </c>
      <c r="CU230" s="151">
        <v>17</v>
      </c>
      <c r="CV230" s="152" t="s">
        <v>593</v>
      </c>
      <c r="CW230" s="152">
        <v>3971</v>
      </c>
      <c r="CX230" s="152">
        <v>20.58</v>
      </c>
      <c r="CY230" s="151">
        <v>6.23</v>
      </c>
      <c r="CZ230" s="151" t="s">
        <v>1675</v>
      </c>
      <c r="DA230" s="151">
        <v>3097</v>
      </c>
      <c r="DB230" s="151" t="s">
        <v>1718</v>
      </c>
      <c r="DC230" s="151">
        <v>3940</v>
      </c>
      <c r="DD230" t="s">
        <v>1718</v>
      </c>
      <c r="DF230" s="155">
        <f t="shared" si="74"/>
        <v>17</v>
      </c>
      <c r="DG230" s="156">
        <f t="shared" si="75"/>
        <v>6.23</v>
      </c>
      <c r="DI230" s="151">
        <v>17</v>
      </c>
      <c r="DJ230" s="152" t="s">
        <v>593</v>
      </c>
      <c r="DK230" s="152">
        <v>3869</v>
      </c>
      <c r="DL230" s="152">
        <v>19.100000000000001</v>
      </c>
      <c r="DM230" s="151">
        <v>6.61</v>
      </c>
      <c r="DN230" s="151" t="s">
        <v>1675</v>
      </c>
      <c r="DO230" s="151">
        <v>3172</v>
      </c>
      <c r="DP230" s="151" t="s">
        <v>1718</v>
      </c>
      <c r="DQ230" s="151">
        <v>4058</v>
      </c>
      <c r="DR230" t="s">
        <v>1718</v>
      </c>
      <c r="DT230" s="155">
        <f t="shared" si="76"/>
        <v>17</v>
      </c>
      <c r="DU230" s="156">
        <f t="shared" si="77"/>
        <v>6.61</v>
      </c>
    </row>
    <row r="231" spans="1:125" x14ac:dyDescent="0.2">
      <c r="A231" s="150">
        <v>18</v>
      </c>
      <c r="B231" s="151" t="s">
        <v>593</v>
      </c>
      <c r="C231" s="152">
        <v>2371</v>
      </c>
      <c r="D231" s="152">
        <v>4.1470000000000002</v>
      </c>
      <c r="E231" s="151">
        <v>9.08</v>
      </c>
      <c r="F231" s="151" t="s">
        <v>1675</v>
      </c>
      <c r="G231" s="151">
        <v>3717</v>
      </c>
      <c r="H231" s="151" t="s">
        <v>1718</v>
      </c>
      <c r="I231" s="151">
        <v>4452</v>
      </c>
      <c r="J231" s="151" t="s">
        <v>1718</v>
      </c>
      <c r="L231" s="155">
        <f t="shared" si="60"/>
        <v>18</v>
      </c>
      <c r="M231" s="156">
        <f t="shared" si="61"/>
        <v>9.08</v>
      </c>
      <c r="O231" s="150">
        <v>18</v>
      </c>
      <c r="P231" s="151" t="s">
        <v>593</v>
      </c>
      <c r="Q231" s="152">
        <v>2057</v>
      </c>
      <c r="R231" s="152">
        <v>3.016</v>
      </c>
      <c r="S231" s="151">
        <v>9.9499999999999993</v>
      </c>
      <c r="T231" s="151" t="s">
        <v>1675</v>
      </c>
      <c r="U231" s="151">
        <v>3711</v>
      </c>
      <c r="V231" s="151" t="s">
        <v>1718</v>
      </c>
      <c r="W231" s="151">
        <v>4237</v>
      </c>
      <c r="X231" s="151" t="s">
        <v>1718</v>
      </c>
      <c r="Z231" s="155">
        <f t="shared" si="62"/>
        <v>18</v>
      </c>
      <c r="AA231" s="156">
        <f t="shared" si="63"/>
        <v>9.9499999999999993</v>
      </c>
      <c r="AC231" s="150">
        <v>18</v>
      </c>
      <c r="AD231" s="151" t="s">
        <v>593</v>
      </c>
      <c r="AE231" s="152">
        <v>59.07</v>
      </c>
      <c r="AF231" s="152">
        <v>3.551E-2</v>
      </c>
      <c r="AG231" s="151">
        <v>181.97</v>
      </c>
      <c r="AH231" s="151" t="s">
        <v>1675</v>
      </c>
      <c r="AI231" s="151">
        <v>6.61</v>
      </c>
      <c r="AJ231" s="151" t="s">
        <v>1675</v>
      </c>
      <c r="AK231" s="151">
        <v>4.49</v>
      </c>
      <c r="AL231" s="151" t="s">
        <v>1675</v>
      </c>
      <c r="AN231" s="155">
        <f t="shared" si="64"/>
        <v>18</v>
      </c>
      <c r="AO231" s="156">
        <f t="shared" si="65"/>
        <v>181.97</v>
      </c>
      <c r="AQ231" s="150">
        <v>18</v>
      </c>
      <c r="AR231" s="151" t="s">
        <v>593</v>
      </c>
      <c r="AS231" s="152">
        <v>5.1159999999999997</v>
      </c>
      <c r="AT231" s="152">
        <v>2.4529999999999999E-3</v>
      </c>
      <c r="AU231" s="151">
        <v>1.99</v>
      </c>
      <c r="AV231" s="151" t="s">
        <v>1623</v>
      </c>
      <c r="AW231" s="151">
        <v>77.650000000000006</v>
      </c>
      <c r="AX231" s="151" t="s">
        <v>1675</v>
      </c>
      <c r="AY231" s="151">
        <v>84.97</v>
      </c>
      <c r="AZ231" s="151" t="s">
        <v>1675</v>
      </c>
      <c r="BB231" s="155">
        <f t="shared" si="66"/>
        <v>18</v>
      </c>
      <c r="BC231" s="156">
        <f t="shared" si="67"/>
        <v>1990</v>
      </c>
      <c r="BE231" s="150">
        <v>18</v>
      </c>
      <c r="BF231" s="151" t="s">
        <v>593</v>
      </c>
      <c r="BG231" s="152">
        <v>916.1</v>
      </c>
      <c r="BH231" s="152">
        <v>0.8014</v>
      </c>
      <c r="BI231" s="151">
        <v>17.63</v>
      </c>
      <c r="BJ231" s="151" t="s">
        <v>1675</v>
      </c>
      <c r="BK231" s="151">
        <v>5734</v>
      </c>
      <c r="BL231" s="151" t="s">
        <v>1718</v>
      </c>
      <c r="BM231" s="151">
        <v>5001</v>
      </c>
      <c r="BN231" s="151" t="s">
        <v>1718</v>
      </c>
      <c r="BP231" s="155">
        <f t="shared" si="68"/>
        <v>18</v>
      </c>
      <c r="BQ231" s="156">
        <f t="shared" si="69"/>
        <v>17.63</v>
      </c>
      <c r="BS231" s="150">
        <v>18</v>
      </c>
      <c r="BT231" s="151" t="s">
        <v>593</v>
      </c>
      <c r="BU231" s="152">
        <v>1738</v>
      </c>
      <c r="BV231" s="152">
        <v>2.4860000000000002</v>
      </c>
      <c r="BW231" s="151">
        <v>10.68</v>
      </c>
      <c r="BX231" s="151" t="s">
        <v>1675</v>
      </c>
      <c r="BY231" s="151">
        <v>3802</v>
      </c>
      <c r="BZ231" s="151" t="s">
        <v>1718</v>
      </c>
      <c r="CA231" s="151">
        <v>4068</v>
      </c>
      <c r="CB231" s="151" t="s">
        <v>1718</v>
      </c>
      <c r="CD231" s="155">
        <f t="shared" si="70"/>
        <v>18</v>
      </c>
      <c r="CE231" s="156">
        <f t="shared" si="71"/>
        <v>10.68</v>
      </c>
      <c r="CG231" s="150">
        <v>18</v>
      </c>
      <c r="CH231" s="151" t="s">
        <v>593</v>
      </c>
      <c r="CI231" s="152">
        <v>2072</v>
      </c>
      <c r="CJ231" s="152">
        <v>3.4830000000000001</v>
      </c>
      <c r="CK231" s="151">
        <v>10.17</v>
      </c>
      <c r="CL231" s="151" t="s">
        <v>1675</v>
      </c>
      <c r="CM231" s="151">
        <v>3844</v>
      </c>
      <c r="CN231" s="151" t="s">
        <v>1718</v>
      </c>
      <c r="CO231" s="151">
        <v>4461</v>
      </c>
      <c r="CP231" s="151" t="s">
        <v>1718</v>
      </c>
      <c r="CR231" s="155">
        <f t="shared" si="72"/>
        <v>18</v>
      </c>
      <c r="CS231" s="156">
        <f t="shared" si="73"/>
        <v>10.17</v>
      </c>
      <c r="CU231" s="151">
        <v>18</v>
      </c>
      <c r="CV231" s="152" t="s">
        <v>593</v>
      </c>
      <c r="CW231" s="152">
        <v>4020</v>
      </c>
      <c r="CX231" s="152">
        <v>19.64</v>
      </c>
      <c r="CY231" s="151">
        <v>6.48</v>
      </c>
      <c r="CZ231" s="151" t="s">
        <v>1675</v>
      </c>
      <c r="DA231" s="151">
        <v>3132</v>
      </c>
      <c r="DB231" s="151" t="s">
        <v>1718</v>
      </c>
      <c r="DC231" s="151">
        <v>3985</v>
      </c>
      <c r="DD231" t="s">
        <v>1718</v>
      </c>
      <c r="DF231" s="155">
        <f t="shared" si="74"/>
        <v>18</v>
      </c>
      <c r="DG231" s="156">
        <f t="shared" si="75"/>
        <v>6.48</v>
      </c>
      <c r="DI231" s="151">
        <v>18</v>
      </c>
      <c r="DJ231" s="152" t="s">
        <v>593</v>
      </c>
      <c r="DK231" s="152">
        <v>3918</v>
      </c>
      <c r="DL231" s="152">
        <v>18.23</v>
      </c>
      <c r="DM231" s="151">
        <v>6.86</v>
      </c>
      <c r="DN231" s="151" t="s">
        <v>1675</v>
      </c>
      <c r="DO231" s="151">
        <v>3207</v>
      </c>
      <c r="DP231" s="151" t="s">
        <v>1718</v>
      </c>
      <c r="DQ231" s="151">
        <v>4104</v>
      </c>
      <c r="DR231" t="s">
        <v>1718</v>
      </c>
      <c r="DT231" s="155">
        <f t="shared" si="76"/>
        <v>18</v>
      </c>
      <c r="DU231" s="156">
        <f t="shared" si="77"/>
        <v>6.86</v>
      </c>
    </row>
    <row r="232" spans="1:125" x14ac:dyDescent="0.2">
      <c r="A232" s="150">
        <v>20</v>
      </c>
      <c r="B232" s="151" t="s">
        <v>593</v>
      </c>
      <c r="C232" s="152">
        <v>2352</v>
      </c>
      <c r="D232" s="152">
        <v>3.794</v>
      </c>
      <c r="E232" s="151">
        <v>9.93</v>
      </c>
      <c r="F232" s="151" t="s">
        <v>1675</v>
      </c>
      <c r="G232" s="151">
        <v>3932</v>
      </c>
      <c r="H232" s="151" t="s">
        <v>1718</v>
      </c>
      <c r="I232" s="151">
        <v>4555</v>
      </c>
      <c r="J232" s="151" t="s">
        <v>1718</v>
      </c>
      <c r="L232" s="155">
        <f t="shared" si="60"/>
        <v>20</v>
      </c>
      <c r="M232" s="156">
        <f t="shared" si="61"/>
        <v>9.93</v>
      </c>
      <c r="O232" s="150">
        <v>20</v>
      </c>
      <c r="P232" s="151" t="s">
        <v>593</v>
      </c>
      <c r="Q232" s="152">
        <v>2042</v>
      </c>
      <c r="R232" s="152">
        <v>2.758</v>
      </c>
      <c r="S232" s="151">
        <v>10.93</v>
      </c>
      <c r="T232" s="151" t="s">
        <v>1675</v>
      </c>
      <c r="U232" s="151">
        <v>3990</v>
      </c>
      <c r="V232" s="151" t="s">
        <v>1718</v>
      </c>
      <c r="W232" s="151">
        <v>4364</v>
      </c>
      <c r="X232" s="151" t="s">
        <v>1718</v>
      </c>
      <c r="Z232" s="155">
        <f t="shared" si="62"/>
        <v>20</v>
      </c>
      <c r="AA232" s="156">
        <f t="shared" si="63"/>
        <v>10.93</v>
      </c>
      <c r="AC232" s="150">
        <v>20</v>
      </c>
      <c r="AD232" s="151" t="s">
        <v>593</v>
      </c>
      <c r="AE232" s="152">
        <v>54.64</v>
      </c>
      <c r="AF232" s="152">
        <v>3.2340000000000001E-2</v>
      </c>
      <c r="AG232" s="151">
        <v>217.13</v>
      </c>
      <c r="AH232" s="151" t="s">
        <v>1675</v>
      </c>
      <c r="AI232" s="151">
        <v>8.36</v>
      </c>
      <c r="AJ232" s="151" t="s">
        <v>1675</v>
      </c>
      <c r="AK232" s="151">
        <v>5.28</v>
      </c>
      <c r="AL232" s="151" t="s">
        <v>1675</v>
      </c>
      <c r="AN232" s="155">
        <f t="shared" si="64"/>
        <v>20</v>
      </c>
      <c r="AO232" s="156">
        <f t="shared" si="65"/>
        <v>217.13</v>
      </c>
      <c r="AQ232" s="150">
        <v>20</v>
      </c>
      <c r="AR232" s="151" t="s">
        <v>593</v>
      </c>
      <c r="AS232" s="152">
        <v>4.7110000000000003</v>
      </c>
      <c r="AT232" s="152">
        <v>2.232E-3</v>
      </c>
      <c r="AU232" s="151">
        <v>2.39</v>
      </c>
      <c r="AV232" s="151" t="s">
        <v>1623</v>
      </c>
      <c r="AW232" s="151">
        <v>98.57</v>
      </c>
      <c r="AX232" s="151" t="s">
        <v>1675</v>
      </c>
      <c r="AY232" s="151">
        <v>101.63</v>
      </c>
      <c r="AZ232" s="151" t="s">
        <v>1675</v>
      </c>
      <c r="BB232" s="155">
        <f t="shared" si="66"/>
        <v>20</v>
      </c>
      <c r="BC232" s="156">
        <f t="shared" si="67"/>
        <v>2390</v>
      </c>
      <c r="BE232" s="150">
        <v>20</v>
      </c>
      <c r="BF232" s="151" t="s">
        <v>593</v>
      </c>
      <c r="BG232" s="152">
        <v>886.8</v>
      </c>
      <c r="BH232" s="152">
        <v>0.73170000000000002</v>
      </c>
      <c r="BI232" s="151">
        <v>19.850000000000001</v>
      </c>
      <c r="BJ232" s="151" t="s">
        <v>1675</v>
      </c>
      <c r="BK232" s="151">
        <v>6590</v>
      </c>
      <c r="BL232" s="151" t="s">
        <v>1718</v>
      </c>
      <c r="BM232" s="151">
        <v>5308</v>
      </c>
      <c r="BN232" s="151" t="s">
        <v>1718</v>
      </c>
      <c r="BP232" s="155">
        <f t="shared" si="68"/>
        <v>20</v>
      </c>
      <c r="BQ232" s="156">
        <f t="shared" si="69"/>
        <v>19.850000000000001</v>
      </c>
      <c r="BS232" s="150">
        <v>20</v>
      </c>
      <c r="BT232" s="151" t="s">
        <v>593</v>
      </c>
      <c r="BU232" s="152">
        <v>1713</v>
      </c>
      <c r="BV232" s="152">
        <v>2.2730000000000001</v>
      </c>
      <c r="BW232" s="151">
        <v>11.84</v>
      </c>
      <c r="BX232" s="151" t="s">
        <v>1675</v>
      </c>
      <c r="BY232" s="151">
        <v>4175</v>
      </c>
      <c r="BZ232" s="151" t="s">
        <v>1718</v>
      </c>
      <c r="CA232" s="151">
        <v>4217</v>
      </c>
      <c r="CB232" s="151" t="s">
        <v>1718</v>
      </c>
      <c r="CD232" s="155">
        <f t="shared" si="70"/>
        <v>20</v>
      </c>
      <c r="CE232" s="156">
        <f t="shared" si="71"/>
        <v>11.84</v>
      </c>
      <c r="CG232" s="150">
        <v>20</v>
      </c>
      <c r="CH232" s="151" t="s">
        <v>593</v>
      </c>
      <c r="CI232" s="152">
        <v>2063</v>
      </c>
      <c r="CJ232" s="152">
        <v>3.1859999999999999</v>
      </c>
      <c r="CK232" s="151">
        <v>11.14</v>
      </c>
      <c r="CL232" s="151" t="s">
        <v>1675</v>
      </c>
      <c r="CM232" s="151">
        <v>4111</v>
      </c>
      <c r="CN232" s="151" t="s">
        <v>1718</v>
      </c>
      <c r="CO232" s="151">
        <v>4585</v>
      </c>
      <c r="CP232" s="151" t="s">
        <v>1718</v>
      </c>
      <c r="CR232" s="155">
        <f t="shared" si="72"/>
        <v>20</v>
      </c>
      <c r="CS232" s="156">
        <f t="shared" si="73"/>
        <v>11.14</v>
      </c>
      <c r="CU232" s="151">
        <v>20</v>
      </c>
      <c r="CV232" s="152" t="s">
        <v>593</v>
      </c>
      <c r="CW232" s="152">
        <v>4107</v>
      </c>
      <c r="CX232" s="152">
        <v>18.02</v>
      </c>
      <c r="CY232" s="151">
        <v>6.97</v>
      </c>
      <c r="CZ232" s="151" t="s">
        <v>1675</v>
      </c>
      <c r="DA232" s="151">
        <v>3234</v>
      </c>
      <c r="DB232" s="151" t="s">
        <v>1718</v>
      </c>
      <c r="DC232" s="151">
        <v>4071</v>
      </c>
      <c r="DD232" t="s">
        <v>1718</v>
      </c>
      <c r="DF232" s="155">
        <f t="shared" si="74"/>
        <v>20</v>
      </c>
      <c r="DG232" s="156">
        <f t="shared" si="75"/>
        <v>6.97</v>
      </c>
      <c r="DI232" s="151">
        <v>20</v>
      </c>
      <c r="DJ232" s="152" t="s">
        <v>593</v>
      </c>
      <c r="DK232" s="152">
        <v>4003</v>
      </c>
      <c r="DL232" s="152">
        <v>16.72</v>
      </c>
      <c r="DM232" s="151">
        <v>7.37</v>
      </c>
      <c r="DN232" s="151" t="s">
        <v>1675</v>
      </c>
      <c r="DO232" s="151">
        <v>3310</v>
      </c>
      <c r="DP232" s="151" t="s">
        <v>1718</v>
      </c>
      <c r="DQ232" s="151">
        <v>4191</v>
      </c>
      <c r="DR232" t="s">
        <v>1718</v>
      </c>
      <c r="DT232" s="155">
        <f t="shared" si="76"/>
        <v>20</v>
      </c>
      <c r="DU232" s="156">
        <f t="shared" si="77"/>
        <v>7.37</v>
      </c>
    </row>
    <row r="233" spans="1:125" x14ac:dyDescent="0.2">
      <c r="A233" s="150">
        <v>22.5</v>
      </c>
      <c r="B233" s="151" t="s">
        <v>593</v>
      </c>
      <c r="C233" s="152">
        <v>2326</v>
      </c>
      <c r="D233" s="152">
        <v>3.4329999999999998</v>
      </c>
      <c r="E233" s="151">
        <v>11</v>
      </c>
      <c r="F233" s="151" t="s">
        <v>1675</v>
      </c>
      <c r="G233" s="151">
        <v>4243</v>
      </c>
      <c r="H233" s="151" t="s">
        <v>1718</v>
      </c>
      <c r="I233" s="151">
        <v>4680</v>
      </c>
      <c r="J233" s="151" t="s">
        <v>1718</v>
      </c>
      <c r="L233" s="155">
        <f t="shared" si="60"/>
        <v>22.5</v>
      </c>
      <c r="M233" s="156">
        <f t="shared" si="61"/>
        <v>11</v>
      </c>
      <c r="O233" s="150">
        <v>22.5</v>
      </c>
      <c r="P233" s="151" t="s">
        <v>593</v>
      </c>
      <c r="Q233" s="152">
        <v>2019</v>
      </c>
      <c r="R233" s="152">
        <v>2.4950000000000001</v>
      </c>
      <c r="S233" s="151">
        <v>12.15</v>
      </c>
      <c r="T233" s="151" t="s">
        <v>1675</v>
      </c>
      <c r="U233" s="151">
        <v>4388</v>
      </c>
      <c r="V233" s="151" t="s">
        <v>1718</v>
      </c>
      <c r="W233" s="151">
        <v>4518</v>
      </c>
      <c r="X233" s="151" t="s">
        <v>1718</v>
      </c>
      <c r="Z233" s="155">
        <f t="shared" si="62"/>
        <v>22.5</v>
      </c>
      <c r="AA233" s="156">
        <f t="shared" si="63"/>
        <v>12.15</v>
      </c>
      <c r="AC233" s="150">
        <v>22.5</v>
      </c>
      <c r="AD233" s="151" t="s">
        <v>593</v>
      </c>
      <c r="AE233" s="152">
        <v>50.05</v>
      </c>
      <c r="AF233" s="152">
        <v>2.913E-2</v>
      </c>
      <c r="AG233" s="151">
        <v>264.87</v>
      </c>
      <c r="AH233" s="151" t="s">
        <v>1675</v>
      </c>
      <c r="AI233" s="151">
        <v>10.85</v>
      </c>
      <c r="AJ233" s="151" t="s">
        <v>1675</v>
      </c>
      <c r="AK233" s="151">
        <v>6.35</v>
      </c>
      <c r="AL233" s="151" t="s">
        <v>1675</v>
      </c>
      <c r="AN233" s="155">
        <f t="shared" si="64"/>
        <v>22.5</v>
      </c>
      <c r="AO233" s="156">
        <f t="shared" si="65"/>
        <v>264.87</v>
      </c>
      <c r="AQ233" s="150">
        <v>22.5</v>
      </c>
      <c r="AR233" s="151" t="s">
        <v>593</v>
      </c>
      <c r="AS233" s="152">
        <v>4.2939999999999996</v>
      </c>
      <c r="AT233" s="152">
        <v>2.0079999999999998E-3</v>
      </c>
      <c r="AU233" s="151">
        <v>2.95</v>
      </c>
      <c r="AV233" s="151" t="s">
        <v>1623</v>
      </c>
      <c r="AW233" s="151">
        <v>128.36000000000001</v>
      </c>
      <c r="AX233" s="151" t="s">
        <v>1675</v>
      </c>
      <c r="AY233" s="151">
        <v>124.21</v>
      </c>
      <c r="AZ233" s="151" t="s">
        <v>1675</v>
      </c>
      <c r="BB233" s="155">
        <f t="shared" si="66"/>
        <v>22.5</v>
      </c>
      <c r="BC233" s="156">
        <f t="shared" si="67"/>
        <v>2950</v>
      </c>
      <c r="BE233" s="150">
        <v>22.5</v>
      </c>
      <c r="BF233" s="151" t="s">
        <v>593</v>
      </c>
      <c r="BG233" s="152">
        <v>852.3</v>
      </c>
      <c r="BH233" s="152">
        <v>0.66080000000000005</v>
      </c>
      <c r="BI233" s="151">
        <v>22.72</v>
      </c>
      <c r="BJ233" s="151" t="s">
        <v>1675</v>
      </c>
      <c r="BK233" s="151">
        <v>7805</v>
      </c>
      <c r="BL233" s="151" t="s">
        <v>1718</v>
      </c>
      <c r="BM233" s="151">
        <v>5698</v>
      </c>
      <c r="BN233" s="151" t="s">
        <v>1718</v>
      </c>
      <c r="BP233" s="155">
        <f t="shared" si="68"/>
        <v>22.5</v>
      </c>
      <c r="BQ233" s="156">
        <f t="shared" si="69"/>
        <v>22.72</v>
      </c>
      <c r="BS233" s="150">
        <v>22.5</v>
      </c>
      <c r="BT233" s="151" t="s">
        <v>593</v>
      </c>
      <c r="BU233" s="152">
        <v>1683</v>
      </c>
      <c r="BV233" s="152">
        <v>2.0550000000000002</v>
      </c>
      <c r="BW233" s="151">
        <v>13.31</v>
      </c>
      <c r="BX233" s="151" t="s">
        <v>1675</v>
      </c>
      <c r="BY233" s="151">
        <v>4705</v>
      </c>
      <c r="BZ233" s="151" t="s">
        <v>1718</v>
      </c>
      <c r="CA233" s="151">
        <v>4401</v>
      </c>
      <c r="CB233" s="151" t="s">
        <v>1718</v>
      </c>
      <c r="CD233" s="155">
        <f t="shared" si="70"/>
        <v>22.5</v>
      </c>
      <c r="CE233" s="156">
        <f t="shared" si="71"/>
        <v>13.31</v>
      </c>
      <c r="CG233" s="150">
        <v>22.5</v>
      </c>
      <c r="CH233" s="151" t="s">
        <v>593</v>
      </c>
      <c r="CI233" s="152">
        <v>2047</v>
      </c>
      <c r="CJ233" s="152">
        <v>2.8820000000000001</v>
      </c>
      <c r="CK233" s="151">
        <v>12.35</v>
      </c>
      <c r="CL233" s="151" t="s">
        <v>1675</v>
      </c>
      <c r="CM233" s="151">
        <v>4490</v>
      </c>
      <c r="CN233" s="151" t="s">
        <v>1718</v>
      </c>
      <c r="CO233" s="151">
        <v>4734</v>
      </c>
      <c r="CP233" s="151" t="s">
        <v>1718</v>
      </c>
      <c r="CR233" s="155">
        <f t="shared" si="72"/>
        <v>22.5</v>
      </c>
      <c r="CS233" s="156">
        <f t="shared" si="73"/>
        <v>12.35</v>
      </c>
      <c r="CU233" s="151">
        <v>22.5</v>
      </c>
      <c r="CV233" s="152" t="s">
        <v>593</v>
      </c>
      <c r="CW233" s="152">
        <v>4201</v>
      </c>
      <c r="CX233" s="152">
        <v>16.350000000000001</v>
      </c>
      <c r="CY233" s="151">
        <v>7.57</v>
      </c>
      <c r="CZ233" s="151" t="s">
        <v>1675</v>
      </c>
      <c r="DA233" s="151">
        <v>3371</v>
      </c>
      <c r="DB233" s="151" t="s">
        <v>1718</v>
      </c>
      <c r="DC233" s="151">
        <v>4169</v>
      </c>
      <c r="DD233" t="s">
        <v>1718</v>
      </c>
      <c r="DF233" s="155">
        <f t="shared" si="74"/>
        <v>22.5</v>
      </c>
      <c r="DG233" s="156">
        <f t="shared" si="75"/>
        <v>7.57</v>
      </c>
      <c r="DI233" s="151">
        <v>22.5</v>
      </c>
      <c r="DJ233" s="152" t="s">
        <v>593</v>
      </c>
      <c r="DK233" s="152">
        <v>4086</v>
      </c>
      <c r="DL233" s="152">
        <v>15.18</v>
      </c>
      <c r="DM233" s="151">
        <v>7.98</v>
      </c>
      <c r="DN233" s="151" t="s">
        <v>1675</v>
      </c>
      <c r="DO233" s="151">
        <v>3451</v>
      </c>
      <c r="DP233" s="151" t="s">
        <v>1718</v>
      </c>
      <c r="DQ233" s="151">
        <v>4290</v>
      </c>
      <c r="DR233" t="s">
        <v>1718</v>
      </c>
      <c r="DT233" s="155">
        <f t="shared" si="76"/>
        <v>22.5</v>
      </c>
      <c r="DU233" s="156">
        <f t="shared" si="77"/>
        <v>7.98</v>
      </c>
    </row>
    <row r="234" spans="1:125" x14ac:dyDescent="0.2">
      <c r="A234" s="150">
        <v>25</v>
      </c>
      <c r="B234" s="151" t="s">
        <v>593</v>
      </c>
      <c r="C234" s="152">
        <v>2298</v>
      </c>
      <c r="D234" s="152">
        <v>3.1389999999999998</v>
      </c>
      <c r="E234" s="151">
        <v>12.07</v>
      </c>
      <c r="F234" s="151" t="s">
        <v>1675</v>
      </c>
      <c r="G234" s="151">
        <v>4539</v>
      </c>
      <c r="H234" s="151" t="s">
        <v>1718</v>
      </c>
      <c r="I234" s="151">
        <v>4801</v>
      </c>
      <c r="J234" s="151" t="s">
        <v>1718</v>
      </c>
      <c r="L234" s="155">
        <f t="shared" si="60"/>
        <v>25</v>
      </c>
      <c r="M234" s="156">
        <f t="shared" si="61"/>
        <v>12.07</v>
      </c>
      <c r="O234" s="150">
        <v>25</v>
      </c>
      <c r="P234" s="151" t="s">
        <v>593</v>
      </c>
      <c r="Q234" s="152">
        <v>1993</v>
      </c>
      <c r="R234" s="152">
        <v>2.2810000000000001</v>
      </c>
      <c r="S234" s="151">
        <v>13.4</v>
      </c>
      <c r="T234" s="151" t="s">
        <v>1675</v>
      </c>
      <c r="U234" s="151">
        <v>4761</v>
      </c>
      <c r="V234" s="151" t="s">
        <v>1718</v>
      </c>
      <c r="W234" s="151">
        <v>4668</v>
      </c>
      <c r="X234" s="151" t="s">
        <v>1718</v>
      </c>
      <c r="Z234" s="155">
        <f t="shared" si="62"/>
        <v>25</v>
      </c>
      <c r="AA234" s="156">
        <f t="shared" si="63"/>
        <v>13.4</v>
      </c>
      <c r="AC234" s="150">
        <v>25</v>
      </c>
      <c r="AD234" s="151" t="s">
        <v>593</v>
      </c>
      <c r="AE234" s="152">
        <v>46.25</v>
      </c>
      <c r="AF234" s="152">
        <v>2.6530000000000001E-2</v>
      </c>
      <c r="AG234" s="151">
        <v>316.77</v>
      </c>
      <c r="AH234" s="151" t="s">
        <v>1675</v>
      </c>
      <c r="AI234" s="151">
        <v>13.21</v>
      </c>
      <c r="AJ234" s="151" t="s">
        <v>1675</v>
      </c>
      <c r="AK234" s="151">
        <v>7.51</v>
      </c>
      <c r="AL234" s="151" t="s">
        <v>1675</v>
      </c>
      <c r="AN234" s="155">
        <f t="shared" si="64"/>
        <v>25</v>
      </c>
      <c r="AO234" s="156">
        <f t="shared" si="65"/>
        <v>316.77</v>
      </c>
      <c r="AQ234" s="150">
        <v>25</v>
      </c>
      <c r="AR234" s="151" t="s">
        <v>593</v>
      </c>
      <c r="AS234" s="152">
        <v>3.9529999999999998</v>
      </c>
      <c r="AT234" s="152">
        <v>1.8259999999999999E-3</v>
      </c>
      <c r="AU234" s="151">
        <v>3.55</v>
      </c>
      <c r="AV234" s="151" t="s">
        <v>1623</v>
      </c>
      <c r="AW234" s="151">
        <v>156.85</v>
      </c>
      <c r="AX234" s="151" t="s">
        <v>1675</v>
      </c>
      <c r="AY234" s="151">
        <v>148.71</v>
      </c>
      <c r="AZ234" s="151" t="s">
        <v>1675</v>
      </c>
      <c r="BB234" s="155">
        <f t="shared" si="66"/>
        <v>25</v>
      </c>
      <c r="BC234" s="156">
        <f t="shared" si="67"/>
        <v>3550</v>
      </c>
      <c r="BE234" s="150">
        <v>25</v>
      </c>
      <c r="BF234" s="151" t="s">
        <v>593</v>
      </c>
      <c r="BG234" s="152">
        <v>820.4</v>
      </c>
      <c r="BH234" s="152">
        <v>0.60299999999999998</v>
      </c>
      <c r="BI234" s="151">
        <v>25.71</v>
      </c>
      <c r="BJ234" s="151" t="s">
        <v>1675</v>
      </c>
      <c r="BK234" s="151">
        <v>8935</v>
      </c>
      <c r="BL234" s="151" t="s">
        <v>1718</v>
      </c>
      <c r="BM234" s="151">
        <v>6095</v>
      </c>
      <c r="BN234" s="151" t="s">
        <v>1718</v>
      </c>
      <c r="BP234" s="155">
        <f t="shared" si="68"/>
        <v>25</v>
      </c>
      <c r="BQ234" s="156">
        <f t="shared" si="69"/>
        <v>25.71</v>
      </c>
      <c r="BS234" s="150">
        <v>25</v>
      </c>
      <c r="BT234" s="151" t="s">
        <v>593</v>
      </c>
      <c r="BU234" s="152">
        <v>1656</v>
      </c>
      <c r="BV234" s="152">
        <v>1.8779999999999999</v>
      </c>
      <c r="BW234" s="151">
        <v>14.8</v>
      </c>
      <c r="BX234" s="151" t="s">
        <v>1675</v>
      </c>
      <c r="BY234" s="151">
        <v>5196</v>
      </c>
      <c r="BZ234" s="151" t="s">
        <v>1718</v>
      </c>
      <c r="CA234" s="151">
        <v>4583</v>
      </c>
      <c r="CB234" s="151" t="s">
        <v>1718</v>
      </c>
      <c r="CD234" s="155">
        <f t="shared" si="70"/>
        <v>25</v>
      </c>
      <c r="CE234" s="156">
        <f t="shared" si="71"/>
        <v>14.8</v>
      </c>
      <c r="CG234" s="150">
        <v>25</v>
      </c>
      <c r="CH234" s="151" t="s">
        <v>593</v>
      </c>
      <c r="CI234" s="152">
        <v>2029</v>
      </c>
      <c r="CJ234" s="152">
        <v>2.6349999999999998</v>
      </c>
      <c r="CK234" s="151">
        <v>13.58</v>
      </c>
      <c r="CL234" s="151" t="s">
        <v>1675</v>
      </c>
      <c r="CM234" s="151">
        <v>4845</v>
      </c>
      <c r="CN234" s="151" t="s">
        <v>1718</v>
      </c>
      <c r="CO234" s="151">
        <v>4878</v>
      </c>
      <c r="CP234" s="151" t="s">
        <v>1718</v>
      </c>
      <c r="CR234" s="155">
        <f t="shared" si="72"/>
        <v>25</v>
      </c>
      <c r="CS234" s="156">
        <f t="shared" si="73"/>
        <v>13.58</v>
      </c>
      <c r="CU234" s="151">
        <v>25</v>
      </c>
      <c r="CV234" s="152" t="s">
        <v>593</v>
      </c>
      <c r="CW234" s="152">
        <v>4281</v>
      </c>
      <c r="CX234" s="152">
        <v>14.99</v>
      </c>
      <c r="CY234" s="151">
        <v>8.15</v>
      </c>
      <c r="CZ234" s="151" t="s">
        <v>1675</v>
      </c>
      <c r="DA234" s="151">
        <v>3498</v>
      </c>
      <c r="DB234" s="151" t="s">
        <v>1718</v>
      </c>
      <c r="DC234" s="151">
        <v>4259</v>
      </c>
      <c r="DD234" t="s">
        <v>1718</v>
      </c>
      <c r="DF234" s="155">
        <f t="shared" si="74"/>
        <v>25</v>
      </c>
      <c r="DG234" s="156">
        <f t="shared" si="75"/>
        <v>8.15</v>
      </c>
      <c r="DI234" s="151">
        <v>25</v>
      </c>
      <c r="DJ234" s="152" t="s">
        <v>593</v>
      </c>
      <c r="DK234" s="152">
        <v>4151</v>
      </c>
      <c r="DL234" s="152">
        <v>13.91</v>
      </c>
      <c r="DM234" s="151">
        <v>8.58</v>
      </c>
      <c r="DN234" s="151" t="s">
        <v>1675</v>
      </c>
      <c r="DO234" s="151">
        <v>3581</v>
      </c>
      <c r="DP234" s="151" t="s">
        <v>1718</v>
      </c>
      <c r="DQ234" s="151">
        <v>4381</v>
      </c>
      <c r="DR234" t="s">
        <v>1718</v>
      </c>
      <c r="DT234" s="155">
        <f t="shared" si="76"/>
        <v>25</v>
      </c>
      <c r="DU234" s="156">
        <f t="shared" si="77"/>
        <v>8.58</v>
      </c>
    </row>
    <row r="235" spans="1:125" x14ac:dyDescent="0.2">
      <c r="A235" s="150">
        <v>27.5</v>
      </c>
      <c r="B235" s="151" t="s">
        <v>593</v>
      </c>
      <c r="C235" s="152">
        <v>2269</v>
      </c>
      <c r="D235" s="152">
        <v>2.8940000000000001</v>
      </c>
      <c r="E235" s="151">
        <v>13.17</v>
      </c>
      <c r="F235" s="151" t="s">
        <v>1675</v>
      </c>
      <c r="G235" s="151">
        <v>4823</v>
      </c>
      <c r="H235" s="151" t="s">
        <v>1718</v>
      </c>
      <c r="I235" s="151">
        <v>4920</v>
      </c>
      <c r="J235" s="151" t="s">
        <v>1718</v>
      </c>
      <c r="L235" s="155">
        <f t="shared" si="60"/>
        <v>27.5</v>
      </c>
      <c r="M235" s="156">
        <f t="shared" si="61"/>
        <v>13.17</v>
      </c>
      <c r="O235" s="150">
        <v>27.5</v>
      </c>
      <c r="P235" s="151" t="s">
        <v>593</v>
      </c>
      <c r="Q235" s="152">
        <v>1966</v>
      </c>
      <c r="R235" s="152">
        <v>2.1019999999999999</v>
      </c>
      <c r="S235" s="151">
        <v>14.66</v>
      </c>
      <c r="T235" s="151" t="s">
        <v>1675</v>
      </c>
      <c r="U235" s="151">
        <v>5115</v>
      </c>
      <c r="V235" s="151" t="s">
        <v>1718</v>
      </c>
      <c r="W235" s="151">
        <v>4816</v>
      </c>
      <c r="X235" s="151" t="s">
        <v>1718</v>
      </c>
      <c r="Z235" s="155">
        <f t="shared" si="62"/>
        <v>27.5</v>
      </c>
      <c r="AA235" s="156">
        <f t="shared" si="63"/>
        <v>14.66</v>
      </c>
      <c r="AC235" s="150">
        <v>27.5</v>
      </c>
      <c r="AD235" s="151" t="s">
        <v>593</v>
      </c>
      <c r="AE235" s="152">
        <v>43.04</v>
      </c>
      <c r="AF235" s="152">
        <v>2.4369999999999999E-2</v>
      </c>
      <c r="AG235" s="151">
        <v>372.74</v>
      </c>
      <c r="AH235" s="151" t="s">
        <v>1675</v>
      </c>
      <c r="AI235" s="151">
        <v>15.52</v>
      </c>
      <c r="AJ235" s="151" t="s">
        <v>1675</v>
      </c>
      <c r="AK235" s="151">
        <v>8.74</v>
      </c>
      <c r="AL235" s="151" t="s">
        <v>1675</v>
      </c>
      <c r="AN235" s="155">
        <f t="shared" si="64"/>
        <v>27.5</v>
      </c>
      <c r="AO235" s="156">
        <f t="shared" si="65"/>
        <v>372.74</v>
      </c>
      <c r="AQ235" s="150">
        <v>27.5</v>
      </c>
      <c r="AR235" s="151" t="s">
        <v>593</v>
      </c>
      <c r="AS235" s="152">
        <v>3.6669999999999998</v>
      </c>
      <c r="AT235" s="152">
        <v>1.676E-3</v>
      </c>
      <c r="AU235" s="151">
        <v>4.2</v>
      </c>
      <c r="AV235" s="151" t="s">
        <v>1623</v>
      </c>
      <c r="AW235" s="151">
        <v>184.92</v>
      </c>
      <c r="AX235" s="151" t="s">
        <v>1675</v>
      </c>
      <c r="AY235" s="151">
        <v>175.06</v>
      </c>
      <c r="AZ235" s="151" t="s">
        <v>1675</v>
      </c>
      <c r="BB235" s="155">
        <f t="shared" si="66"/>
        <v>27.5</v>
      </c>
      <c r="BC235" s="156">
        <f t="shared" si="67"/>
        <v>4200</v>
      </c>
      <c r="BE235" s="150">
        <v>27.5</v>
      </c>
      <c r="BF235" s="151" t="s">
        <v>593</v>
      </c>
      <c r="BG235" s="152">
        <v>785.6</v>
      </c>
      <c r="BH235" s="152">
        <v>0.55510000000000004</v>
      </c>
      <c r="BI235" s="151">
        <v>28.82</v>
      </c>
      <c r="BJ235" s="151" t="s">
        <v>1675</v>
      </c>
      <c r="BK235" s="151">
        <v>1</v>
      </c>
      <c r="BL235" s="151" t="s">
        <v>1675</v>
      </c>
      <c r="BM235" s="151">
        <v>6502</v>
      </c>
      <c r="BN235" s="151" t="s">
        <v>1718</v>
      </c>
      <c r="BP235" s="155">
        <f t="shared" si="68"/>
        <v>27.5</v>
      </c>
      <c r="BQ235" s="156">
        <f t="shared" si="69"/>
        <v>28.82</v>
      </c>
      <c r="BS235" s="150">
        <v>27.5</v>
      </c>
      <c r="BT235" s="151" t="s">
        <v>593</v>
      </c>
      <c r="BU235" s="152">
        <v>1630</v>
      </c>
      <c r="BV235" s="152">
        <v>1.7310000000000001</v>
      </c>
      <c r="BW235" s="151">
        <v>16.32</v>
      </c>
      <c r="BX235" s="151" t="s">
        <v>1675</v>
      </c>
      <c r="BY235" s="151">
        <v>5658</v>
      </c>
      <c r="BZ235" s="151" t="s">
        <v>1718</v>
      </c>
      <c r="CA235" s="151">
        <v>4764</v>
      </c>
      <c r="CB235" s="151" t="s">
        <v>1718</v>
      </c>
      <c r="CD235" s="155">
        <f t="shared" si="70"/>
        <v>27.5</v>
      </c>
      <c r="CE235" s="156">
        <f t="shared" si="71"/>
        <v>16.32</v>
      </c>
      <c r="CG235" s="150">
        <v>27.5</v>
      </c>
      <c r="CH235" s="151" t="s">
        <v>593</v>
      </c>
      <c r="CI235" s="152">
        <v>2008</v>
      </c>
      <c r="CJ235" s="152">
        <v>2.4289999999999998</v>
      </c>
      <c r="CK235" s="151">
        <v>14.81</v>
      </c>
      <c r="CL235" s="151" t="s">
        <v>1675</v>
      </c>
      <c r="CM235" s="151">
        <v>5182</v>
      </c>
      <c r="CN235" s="151" t="s">
        <v>1718</v>
      </c>
      <c r="CO235" s="151">
        <v>5019</v>
      </c>
      <c r="CP235" s="151" t="s">
        <v>1718</v>
      </c>
      <c r="CR235" s="155">
        <f t="shared" si="72"/>
        <v>27.5</v>
      </c>
      <c r="CS235" s="156">
        <f t="shared" si="73"/>
        <v>14.81</v>
      </c>
      <c r="CU235" s="151">
        <v>27.5</v>
      </c>
      <c r="CV235" s="152" t="s">
        <v>593</v>
      </c>
      <c r="CW235" s="152">
        <v>4349</v>
      </c>
      <c r="CX235" s="152">
        <v>13.85</v>
      </c>
      <c r="CY235" s="151">
        <v>8.73</v>
      </c>
      <c r="CZ235" s="151" t="s">
        <v>1675</v>
      </c>
      <c r="DA235" s="151">
        <v>3615</v>
      </c>
      <c r="DB235" s="151" t="s">
        <v>1718</v>
      </c>
      <c r="DC235" s="151">
        <v>4342</v>
      </c>
      <c r="DD235" t="s">
        <v>1718</v>
      </c>
      <c r="DF235" s="155">
        <f t="shared" si="74"/>
        <v>27.5</v>
      </c>
      <c r="DG235" s="156">
        <f t="shared" si="75"/>
        <v>8.73</v>
      </c>
      <c r="DI235" s="151">
        <v>27.5</v>
      </c>
      <c r="DJ235" s="152" t="s">
        <v>593</v>
      </c>
      <c r="DK235" s="152">
        <v>4201</v>
      </c>
      <c r="DL235" s="152">
        <v>12.85</v>
      </c>
      <c r="DM235" s="151">
        <v>9.18</v>
      </c>
      <c r="DN235" s="151" t="s">
        <v>1675</v>
      </c>
      <c r="DO235" s="151">
        <v>3702</v>
      </c>
      <c r="DP235" s="151" t="s">
        <v>1718</v>
      </c>
      <c r="DQ235" s="151">
        <v>4465</v>
      </c>
      <c r="DR235" t="s">
        <v>1718</v>
      </c>
      <c r="DT235" s="155">
        <f t="shared" si="76"/>
        <v>27.5</v>
      </c>
      <c r="DU235" s="156">
        <f t="shared" si="77"/>
        <v>9.18</v>
      </c>
    </row>
    <row r="236" spans="1:125" x14ac:dyDescent="0.2">
      <c r="A236" s="150">
        <v>30</v>
      </c>
      <c r="B236" s="151" t="s">
        <v>593</v>
      </c>
      <c r="C236" s="152">
        <v>2240</v>
      </c>
      <c r="D236" s="152">
        <v>2.6869999999999998</v>
      </c>
      <c r="E236" s="151">
        <v>14.27</v>
      </c>
      <c r="F236" s="151" t="s">
        <v>1675</v>
      </c>
      <c r="G236" s="151">
        <v>5097</v>
      </c>
      <c r="H236" s="151" t="s">
        <v>1718</v>
      </c>
      <c r="I236" s="151">
        <v>5038</v>
      </c>
      <c r="J236" s="151" t="s">
        <v>1718</v>
      </c>
      <c r="L236" s="155">
        <f t="shared" si="60"/>
        <v>30</v>
      </c>
      <c r="M236" s="156">
        <f t="shared" si="61"/>
        <v>14.27</v>
      </c>
      <c r="O236" s="150">
        <v>30</v>
      </c>
      <c r="P236" s="151" t="s">
        <v>593</v>
      </c>
      <c r="Q236" s="152">
        <v>1937</v>
      </c>
      <c r="R236" s="152">
        <v>1.9510000000000001</v>
      </c>
      <c r="S236" s="151">
        <v>15.94</v>
      </c>
      <c r="T236" s="151" t="s">
        <v>1675</v>
      </c>
      <c r="U236" s="151">
        <v>5456</v>
      </c>
      <c r="V236" s="151" t="s">
        <v>1718</v>
      </c>
      <c r="W236" s="151">
        <v>4962</v>
      </c>
      <c r="X236" s="151" t="s">
        <v>1718</v>
      </c>
      <c r="Z236" s="155">
        <f t="shared" si="62"/>
        <v>30</v>
      </c>
      <c r="AA236" s="156">
        <f t="shared" si="63"/>
        <v>15.94</v>
      </c>
      <c r="AC236" s="150">
        <v>30</v>
      </c>
      <c r="AD236" s="151" t="s">
        <v>593</v>
      </c>
      <c r="AE236" s="152">
        <v>40.29</v>
      </c>
      <c r="AF236" s="152">
        <v>2.2550000000000001E-2</v>
      </c>
      <c r="AG236" s="151">
        <v>432.7</v>
      </c>
      <c r="AH236" s="151" t="s">
        <v>1675</v>
      </c>
      <c r="AI236" s="151">
        <v>17.809999999999999</v>
      </c>
      <c r="AJ236" s="151" t="s">
        <v>1675</v>
      </c>
      <c r="AK236" s="151">
        <v>10.06</v>
      </c>
      <c r="AL236" s="151" t="s">
        <v>1675</v>
      </c>
      <c r="AN236" s="155">
        <f t="shared" si="64"/>
        <v>30</v>
      </c>
      <c r="AO236" s="156">
        <f t="shared" si="65"/>
        <v>432.7</v>
      </c>
      <c r="AQ236" s="150">
        <v>30</v>
      </c>
      <c r="AR236" s="151" t="s">
        <v>593</v>
      </c>
      <c r="AS236" s="152">
        <v>3.4249999999999998</v>
      </c>
      <c r="AT236" s="152">
        <v>1.5499999999999999E-3</v>
      </c>
      <c r="AU236" s="151">
        <v>4.91</v>
      </c>
      <c r="AV236" s="151" t="s">
        <v>1623</v>
      </c>
      <c r="AW236" s="151">
        <v>212.98</v>
      </c>
      <c r="AX236" s="151" t="s">
        <v>1675</v>
      </c>
      <c r="AY236" s="151">
        <v>203.23</v>
      </c>
      <c r="AZ236" s="151" t="s">
        <v>1675</v>
      </c>
      <c r="BB236" s="155">
        <f t="shared" si="66"/>
        <v>30</v>
      </c>
      <c r="BC236" s="156">
        <f t="shared" si="67"/>
        <v>4910</v>
      </c>
      <c r="BE236" s="150">
        <v>30</v>
      </c>
      <c r="BF236" s="151" t="s">
        <v>593</v>
      </c>
      <c r="BG236" s="152">
        <v>750.5</v>
      </c>
      <c r="BH236" s="152">
        <v>0.51459999999999995</v>
      </c>
      <c r="BI236" s="151">
        <v>32.07</v>
      </c>
      <c r="BJ236" s="151" t="s">
        <v>1675</v>
      </c>
      <c r="BK236" s="151">
        <v>1.1100000000000001</v>
      </c>
      <c r="BL236" s="151" t="s">
        <v>1675</v>
      </c>
      <c r="BM236" s="151">
        <v>6922</v>
      </c>
      <c r="BN236" s="151" t="s">
        <v>1718</v>
      </c>
      <c r="BP236" s="155">
        <f t="shared" si="68"/>
        <v>30</v>
      </c>
      <c r="BQ236" s="156">
        <f t="shared" si="69"/>
        <v>32.07</v>
      </c>
      <c r="BS236" s="150">
        <v>30</v>
      </c>
      <c r="BT236" s="151" t="s">
        <v>593</v>
      </c>
      <c r="BU236" s="152">
        <v>1605</v>
      </c>
      <c r="BV236" s="152">
        <v>1.6060000000000001</v>
      </c>
      <c r="BW236" s="151">
        <v>17.87</v>
      </c>
      <c r="BX236" s="151" t="s">
        <v>1675</v>
      </c>
      <c r="BY236" s="151">
        <v>6099</v>
      </c>
      <c r="BZ236" s="151" t="s">
        <v>1718</v>
      </c>
      <c r="CA236" s="151">
        <v>4945</v>
      </c>
      <c r="CB236" s="151" t="s">
        <v>1718</v>
      </c>
      <c r="CD236" s="155">
        <f t="shared" si="70"/>
        <v>30</v>
      </c>
      <c r="CE236" s="156">
        <f t="shared" si="71"/>
        <v>17.87</v>
      </c>
      <c r="CG236" s="150">
        <v>30</v>
      </c>
      <c r="CH236" s="151" t="s">
        <v>593</v>
      </c>
      <c r="CI236" s="152">
        <v>1985</v>
      </c>
      <c r="CJ236" s="152">
        <v>2.254</v>
      </c>
      <c r="CK236" s="151">
        <v>16.059999999999999</v>
      </c>
      <c r="CL236" s="151" t="s">
        <v>1675</v>
      </c>
      <c r="CM236" s="151">
        <v>5505</v>
      </c>
      <c r="CN236" s="151" t="s">
        <v>1718</v>
      </c>
      <c r="CO236" s="151">
        <v>5158</v>
      </c>
      <c r="CP236" s="151" t="s">
        <v>1718</v>
      </c>
      <c r="CR236" s="155">
        <f t="shared" si="72"/>
        <v>30</v>
      </c>
      <c r="CS236" s="156">
        <f t="shared" si="73"/>
        <v>16.059999999999999</v>
      </c>
      <c r="CU236" s="151">
        <v>30</v>
      </c>
      <c r="CV236" s="152" t="s">
        <v>593</v>
      </c>
      <c r="CW236" s="152">
        <v>4408</v>
      </c>
      <c r="CX236" s="152">
        <v>12.89</v>
      </c>
      <c r="CY236" s="151">
        <v>9.3000000000000007</v>
      </c>
      <c r="CZ236" s="151" t="s">
        <v>1675</v>
      </c>
      <c r="DA236" s="151">
        <v>3724</v>
      </c>
      <c r="DB236" s="151" t="s">
        <v>1718</v>
      </c>
      <c r="DC236" s="151">
        <v>4419</v>
      </c>
      <c r="DD236" t="s">
        <v>1718</v>
      </c>
      <c r="DF236" s="155">
        <f t="shared" si="74"/>
        <v>30</v>
      </c>
      <c r="DG236" s="156">
        <f t="shared" si="75"/>
        <v>9.3000000000000007</v>
      </c>
      <c r="DI236" s="151">
        <v>30</v>
      </c>
      <c r="DJ236" s="152" t="s">
        <v>593</v>
      </c>
      <c r="DK236" s="152">
        <v>4240</v>
      </c>
      <c r="DL236" s="152">
        <v>11.95</v>
      </c>
      <c r="DM236" s="151">
        <v>9.77</v>
      </c>
      <c r="DN236" s="151" t="s">
        <v>1675</v>
      </c>
      <c r="DO236" s="151">
        <v>3816</v>
      </c>
      <c r="DP236" s="151" t="s">
        <v>1718</v>
      </c>
      <c r="DQ236" s="151">
        <v>4543</v>
      </c>
      <c r="DR236" t="s">
        <v>1718</v>
      </c>
      <c r="DT236" s="155">
        <f t="shared" si="76"/>
        <v>30</v>
      </c>
      <c r="DU236" s="156">
        <f t="shared" si="77"/>
        <v>9.77</v>
      </c>
    </row>
    <row r="237" spans="1:125" x14ac:dyDescent="0.2">
      <c r="A237" s="150">
        <v>32.5</v>
      </c>
      <c r="B237" s="151" t="s">
        <v>593</v>
      </c>
      <c r="C237" s="152">
        <v>2209</v>
      </c>
      <c r="D237" s="152">
        <v>2.5089999999999999</v>
      </c>
      <c r="E237" s="151">
        <v>15.39</v>
      </c>
      <c r="F237" s="151" t="s">
        <v>1675</v>
      </c>
      <c r="G237" s="151">
        <v>5364</v>
      </c>
      <c r="H237" s="151" t="s">
        <v>1718</v>
      </c>
      <c r="I237" s="151">
        <v>5155</v>
      </c>
      <c r="J237" s="151" t="s">
        <v>1718</v>
      </c>
      <c r="L237" s="155">
        <f t="shared" si="60"/>
        <v>32.5</v>
      </c>
      <c r="M237" s="156">
        <f t="shared" si="61"/>
        <v>15.39</v>
      </c>
      <c r="O237" s="150">
        <v>32.5</v>
      </c>
      <c r="P237" s="151" t="s">
        <v>593</v>
      </c>
      <c r="Q237" s="152">
        <v>1908</v>
      </c>
      <c r="R237" s="152">
        <v>1.821</v>
      </c>
      <c r="S237" s="151">
        <v>17.239999999999998</v>
      </c>
      <c r="T237" s="151" t="s">
        <v>1675</v>
      </c>
      <c r="U237" s="151">
        <v>5786</v>
      </c>
      <c r="V237" s="151" t="s">
        <v>1718</v>
      </c>
      <c r="W237" s="151">
        <v>5107</v>
      </c>
      <c r="X237" s="151" t="s">
        <v>1718</v>
      </c>
      <c r="Z237" s="155">
        <f t="shared" si="62"/>
        <v>32.5</v>
      </c>
      <c r="AA237" s="156">
        <f t="shared" si="63"/>
        <v>17.239999999999998</v>
      </c>
      <c r="AC237" s="150">
        <v>32.5</v>
      </c>
      <c r="AD237" s="151" t="s">
        <v>593</v>
      </c>
      <c r="AE237" s="152">
        <v>37.9</v>
      </c>
      <c r="AF237" s="152">
        <v>2.0990000000000002E-2</v>
      </c>
      <c r="AG237" s="151">
        <v>496.59</v>
      </c>
      <c r="AH237" s="151" t="s">
        <v>1675</v>
      </c>
      <c r="AI237" s="151">
        <v>20.100000000000001</v>
      </c>
      <c r="AJ237" s="151" t="s">
        <v>1675</v>
      </c>
      <c r="AK237" s="151">
        <v>11.46</v>
      </c>
      <c r="AL237" s="151" t="s">
        <v>1675</v>
      </c>
      <c r="AN237" s="155">
        <f t="shared" si="64"/>
        <v>32.5</v>
      </c>
      <c r="AO237" s="156">
        <f t="shared" si="65"/>
        <v>496.59</v>
      </c>
      <c r="AQ237" s="150">
        <v>32.5</v>
      </c>
      <c r="AR237" s="151" t="s">
        <v>593</v>
      </c>
      <c r="AS237" s="152">
        <v>3.2160000000000002</v>
      </c>
      <c r="AT237" s="152">
        <v>1.4419999999999999E-3</v>
      </c>
      <c r="AU237" s="151">
        <v>5.66</v>
      </c>
      <c r="AV237" s="151" t="s">
        <v>1623</v>
      </c>
      <c r="AW237" s="151">
        <v>241.23</v>
      </c>
      <c r="AX237" s="151" t="s">
        <v>1675</v>
      </c>
      <c r="AY237" s="151">
        <v>233.17</v>
      </c>
      <c r="AZ237" s="151" t="s">
        <v>1675</v>
      </c>
      <c r="BB237" s="155">
        <f t="shared" si="66"/>
        <v>32.5</v>
      </c>
      <c r="BC237" s="156">
        <f t="shared" si="67"/>
        <v>5660</v>
      </c>
      <c r="BE237" s="150">
        <v>32.5</v>
      </c>
      <c r="BF237" s="151" t="s">
        <v>593</v>
      </c>
      <c r="BG237" s="152">
        <v>721</v>
      </c>
      <c r="BH237" s="152">
        <v>0.4798</v>
      </c>
      <c r="BI237" s="151">
        <v>35.47</v>
      </c>
      <c r="BJ237" s="151" t="s">
        <v>1675</v>
      </c>
      <c r="BK237" s="151">
        <v>1.21</v>
      </c>
      <c r="BL237" s="151" t="s">
        <v>1675</v>
      </c>
      <c r="BM237" s="151">
        <v>7354</v>
      </c>
      <c r="BN237" s="151" t="s">
        <v>1718</v>
      </c>
      <c r="BP237" s="155">
        <f t="shared" si="68"/>
        <v>32.5</v>
      </c>
      <c r="BQ237" s="156">
        <f t="shared" si="69"/>
        <v>35.47</v>
      </c>
      <c r="BS237" s="150">
        <v>32.5</v>
      </c>
      <c r="BT237" s="151" t="s">
        <v>593</v>
      </c>
      <c r="BU237" s="152">
        <v>1581</v>
      </c>
      <c r="BV237" s="152">
        <v>1.4990000000000001</v>
      </c>
      <c r="BW237" s="151">
        <v>19.43</v>
      </c>
      <c r="BX237" s="151" t="s">
        <v>1675</v>
      </c>
      <c r="BY237" s="151">
        <v>6522</v>
      </c>
      <c r="BZ237" s="151" t="s">
        <v>1718</v>
      </c>
      <c r="CA237" s="151">
        <v>5125</v>
      </c>
      <c r="CB237" s="151" t="s">
        <v>1718</v>
      </c>
      <c r="CD237" s="155">
        <f t="shared" si="70"/>
        <v>32.5</v>
      </c>
      <c r="CE237" s="156">
        <f t="shared" si="71"/>
        <v>19.43</v>
      </c>
      <c r="CG237" s="150">
        <v>32.5</v>
      </c>
      <c r="CH237" s="151" t="s">
        <v>593</v>
      </c>
      <c r="CI237" s="152">
        <v>1961</v>
      </c>
      <c r="CJ237" s="152">
        <v>2.1040000000000001</v>
      </c>
      <c r="CK237" s="151">
        <v>17.329999999999998</v>
      </c>
      <c r="CL237" s="151" t="s">
        <v>1675</v>
      </c>
      <c r="CM237" s="151">
        <v>5816</v>
      </c>
      <c r="CN237" s="151" t="s">
        <v>1718</v>
      </c>
      <c r="CO237" s="151">
        <v>5294</v>
      </c>
      <c r="CP237" s="151" t="s">
        <v>1718</v>
      </c>
      <c r="CR237" s="155">
        <f t="shared" si="72"/>
        <v>32.5</v>
      </c>
      <c r="CS237" s="156">
        <f t="shared" si="73"/>
        <v>17.329999999999998</v>
      </c>
      <c r="CU237" s="151">
        <v>32.5</v>
      </c>
      <c r="CV237" s="152" t="s">
        <v>593</v>
      </c>
      <c r="CW237" s="152">
        <v>4458</v>
      </c>
      <c r="CX237" s="152">
        <v>12.06</v>
      </c>
      <c r="CY237" s="151">
        <v>9.86</v>
      </c>
      <c r="CZ237" s="151" t="s">
        <v>1675</v>
      </c>
      <c r="DA237" s="151">
        <v>3828</v>
      </c>
      <c r="DB237" s="151" t="s">
        <v>1718</v>
      </c>
      <c r="DC237" s="151">
        <v>4492</v>
      </c>
      <c r="DD237" t="s">
        <v>1718</v>
      </c>
      <c r="DF237" s="155">
        <f t="shared" si="74"/>
        <v>32.5</v>
      </c>
      <c r="DG237" s="156">
        <f t="shared" si="75"/>
        <v>9.86</v>
      </c>
      <c r="DI237" s="151">
        <v>32.5</v>
      </c>
      <c r="DJ237" s="152" t="s">
        <v>593</v>
      </c>
      <c r="DK237" s="152">
        <v>4269</v>
      </c>
      <c r="DL237" s="152">
        <v>11.18</v>
      </c>
      <c r="DM237" s="151">
        <v>10.35</v>
      </c>
      <c r="DN237" s="151" t="s">
        <v>1675</v>
      </c>
      <c r="DO237" s="151">
        <v>3924</v>
      </c>
      <c r="DP237" s="151" t="s">
        <v>1718</v>
      </c>
      <c r="DQ237" s="151">
        <v>4617</v>
      </c>
      <c r="DR237" t="s">
        <v>1718</v>
      </c>
      <c r="DT237" s="155">
        <f t="shared" si="76"/>
        <v>32.5</v>
      </c>
      <c r="DU237" s="156">
        <f t="shared" si="77"/>
        <v>10.35</v>
      </c>
    </row>
    <row r="238" spans="1:125" x14ac:dyDescent="0.2">
      <c r="A238" s="150">
        <v>35</v>
      </c>
      <c r="B238" s="151" t="s">
        <v>593</v>
      </c>
      <c r="C238" s="152">
        <v>2179</v>
      </c>
      <c r="D238" s="152">
        <v>2.3540000000000001</v>
      </c>
      <c r="E238" s="151">
        <v>16.53</v>
      </c>
      <c r="F238" s="151" t="s">
        <v>1675</v>
      </c>
      <c r="G238" s="151">
        <v>5625</v>
      </c>
      <c r="H238" s="151" t="s">
        <v>1718</v>
      </c>
      <c r="I238" s="151">
        <v>5271</v>
      </c>
      <c r="J238" s="151" t="s">
        <v>1718</v>
      </c>
      <c r="L238" s="155">
        <f t="shared" si="60"/>
        <v>35</v>
      </c>
      <c r="M238" s="156">
        <f t="shared" si="61"/>
        <v>16.53</v>
      </c>
      <c r="O238" s="150">
        <v>35</v>
      </c>
      <c r="P238" s="151" t="s">
        <v>593</v>
      </c>
      <c r="Q238" s="152">
        <v>1878</v>
      </c>
      <c r="R238" s="152">
        <v>1.708</v>
      </c>
      <c r="S238" s="151">
        <v>18.55</v>
      </c>
      <c r="T238" s="151" t="s">
        <v>1675</v>
      </c>
      <c r="U238" s="151">
        <v>6107</v>
      </c>
      <c r="V238" s="151" t="s">
        <v>1718</v>
      </c>
      <c r="W238" s="151">
        <v>5251</v>
      </c>
      <c r="X238" s="151" t="s">
        <v>1718</v>
      </c>
      <c r="Z238" s="155">
        <f t="shared" si="62"/>
        <v>35</v>
      </c>
      <c r="AA238" s="156">
        <f t="shared" si="63"/>
        <v>18.55</v>
      </c>
      <c r="AC238" s="150">
        <v>35</v>
      </c>
      <c r="AD238" s="151" t="s">
        <v>593</v>
      </c>
      <c r="AE238" s="152">
        <v>35.82</v>
      </c>
      <c r="AF238" s="152">
        <v>1.9650000000000001E-2</v>
      </c>
      <c r="AG238" s="151">
        <v>564.36</v>
      </c>
      <c r="AH238" s="151" t="s">
        <v>1675</v>
      </c>
      <c r="AI238" s="151">
        <v>22.41</v>
      </c>
      <c r="AJ238" s="151" t="s">
        <v>1675</v>
      </c>
      <c r="AK238" s="151">
        <v>12.93</v>
      </c>
      <c r="AL238" s="151" t="s">
        <v>1675</v>
      </c>
      <c r="AN238" s="155">
        <f t="shared" si="64"/>
        <v>35</v>
      </c>
      <c r="AO238" s="156">
        <f t="shared" si="65"/>
        <v>564.36</v>
      </c>
      <c r="AQ238" s="150">
        <v>35</v>
      </c>
      <c r="AR238" s="151" t="s">
        <v>593</v>
      </c>
      <c r="AS238" s="152">
        <v>3.0339999999999998</v>
      </c>
      <c r="AT238" s="152">
        <v>1.3489999999999999E-3</v>
      </c>
      <c r="AU238" s="151">
        <v>6.46</v>
      </c>
      <c r="AV238" s="151" t="s">
        <v>1623</v>
      </c>
      <c r="AW238" s="151">
        <v>269.8</v>
      </c>
      <c r="AX238" s="151" t="s">
        <v>1675</v>
      </c>
      <c r="AY238" s="151">
        <v>264.83</v>
      </c>
      <c r="AZ238" s="151" t="s">
        <v>1675</v>
      </c>
      <c r="BB238" s="155">
        <f t="shared" si="66"/>
        <v>35</v>
      </c>
      <c r="BC238" s="156">
        <f t="shared" si="67"/>
        <v>6460</v>
      </c>
      <c r="BE238" s="150">
        <v>35</v>
      </c>
      <c r="BF238" s="151" t="s">
        <v>593</v>
      </c>
      <c r="BG238" s="152">
        <v>693.5</v>
      </c>
      <c r="BH238" s="152">
        <v>0.44979999999999998</v>
      </c>
      <c r="BI238" s="151">
        <v>39</v>
      </c>
      <c r="BJ238" s="151" t="s">
        <v>1675</v>
      </c>
      <c r="BK238" s="151">
        <v>1.32</v>
      </c>
      <c r="BL238" s="151" t="s">
        <v>1675</v>
      </c>
      <c r="BM238" s="151">
        <v>7800</v>
      </c>
      <c r="BN238" s="151" t="s">
        <v>1718</v>
      </c>
      <c r="BP238" s="155">
        <f t="shared" si="68"/>
        <v>35</v>
      </c>
      <c r="BQ238" s="156">
        <f t="shared" si="69"/>
        <v>39</v>
      </c>
      <c r="BS238" s="150">
        <v>35</v>
      </c>
      <c r="BT238" s="151" t="s">
        <v>593</v>
      </c>
      <c r="BU238" s="152">
        <v>1557</v>
      </c>
      <c r="BV238" s="152">
        <v>1.4059999999999999</v>
      </c>
      <c r="BW238" s="151">
        <v>21.02</v>
      </c>
      <c r="BX238" s="151" t="s">
        <v>1675</v>
      </c>
      <c r="BY238" s="151">
        <v>6931</v>
      </c>
      <c r="BZ238" s="151" t="s">
        <v>1718</v>
      </c>
      <c r="CA238" s="151">
        <v>5306</v>
      </c>
      <c r="CB238" s="151" t="s">
        <v>1718</v>
      </c>
      <c r="CD238" s="155">
        <f t="shared" si="70"/>
        <v>35</v>
      </c>
      <c r="CE238" s="156">
        <f t="shared" si="71"/>
        <v>21.02</v>
      </c>
      <c r="CG238" s="150">
        <v>35</v>
      </c>
      <c r="CH238" s="151" t="s">
        <v>593</v>
      </c>
      <c r="CI238" s="152">
        <v>1937</v>
      </c>
      <c r="CJ238" s="152">
        <v>1.9750000000000001</v>
      </c>
      <c r="CK238" s="151">
        <v>18.61</v>
      </c>
      <c r="CL238" s="151" t="s">
        <v>1675</v>
      </c>
      <c r="CM238" s="151">
        <v>6119</v>
      </c>
      <c r="CN238" s="151" t="s">
        <v>1718</v>
      </c>
      <c r="CO238" s="151">
        <v>5429</v>
      </c>
      <c r="CP238" s="151" t="s">
        <v>1718</v>
      </c>
      <c r="CR238" s="155">
        <f t="shared" si="72"/>
        <v>35</v>
      </c>
      <c r="CS238" s="156">
        <f t="shared" si="73"/>
        <v>18.61</v>
      </c>
      <c r="CU238" s="151">
        <v>35</v>
      </c>
      <c r="CV238" s="152" t="s">
        <v>593</v>
      </c>
      <c r="CW238" s="152">
        <v>4501</v>
      </c>
      <c r="CX238" s="152">
        <v>11.33</v>
      </c>
      <c r="CY238" s="151">
        <v>10.42</v>
      </c>
      <c r="CZ238" s="151" t="s">
        <v>1675</v>
      </c>
      <c r="DA238" s="151">
        <v>3926</v>
      </c>
      <c r="DB238" s="151" t="s">
        <v>1718</v>
      </c>
      <c r="DC238" s="151">
        <v>4562</v>
      </c>
      <c r="DD238" t="s">
        <v>1718</v>
      </c>
      <c r="DF238" s="155">
        <f t="shared" si="74"/>
        <v>35</v>
      </c>
      <c r="DG238" s="156">
        <f t="shared" si="75"/>
        <v>10.42</v>
      </c>
      <c r="DI238" s="151">
        <v>35</v>
      </c>
      <c r="DJ238" s="152" t="s">
        <v>593</v>
      </c>
      <c r="DK238" s="152">
        <v>4292</v>
      </c>
      <c r="DL238" s="152">
        <v>10.51</v>
      </c>
      <c r="DM238" s="151">
        <v>10.94</v>
      </c>
      <c r="DN238" s="151" t="s">
        <v>1675</v>
      </c>
      <c r="DO238" s="151">
        <v>4028</v>
      </c>
      <c r="DP238" s="151" t="s">
        <v>1718</v>
      </c>
      <c r="DQ238" s="151">
        <v>4688</v>
      </c>
      <c r="DR238" t="s">
        <v>1718</v>
      </c>
      <c r="DT238" s="155">
        <f t="shared" si="76"/>
        <v>35</v>
      </c>
      <c r="DU238" s="156">
        <f t="shared" si="77"/>
        <v>10.94</v>
      </c>
    </row>
    <row r="239" spans="1:125" x14ac:dyDescent="0.2">
      <c r="A239" s="150">
        <v>37.5</v>
      </c>
      <c r="B239" s="151" t="s">
        <v>593</v>
      </c>
      <c r="C239" s="152">
        <v>2149</v>
      </c>
      <c r="D239" s="152">
        <v>2.2189999999999999</v>
      </c>
      <c r="E239" s="151">
        <v>17.690000000000001</v>
      </c>
      <c r="F239" s="151" t="s">
        <v>1675</v>
      </c>
      <c r="G239" s="151">
        <v>5882</v>
      </c>
      <c r="H239" s="151" t="s">
        <v>1718</v>
      </c>
      <c r="I239" s="151">
        <v>5386</v>
      </c>
      <c r="J239" s="151" t="s">
        <v>1718</v>
      </c>
      <c r="L239" s="155">
        <f t="shared" si="60"/>
        <v>37.5</v>
      </c>
      <c r="M239" s="156">
        <f t="shared" si="61"/>
        <v>17.690000000000001</v>
      </c>
      <c r="O239" s="150">
        <v>37.5</v>
      </c>
      <c r="P239" s="151" t="s">
        <v>593</v>
      </c>
      <c r="Q239" s="152">
        <v>1849</v>
      </c>
      <c r="R239" s="152">
        <v>1.61</v>
      </c>
      <c r="S239" s="151">
        <v>19.89</v>
      </c>
      <c r="T239" s="151" t="s">
        <v>1675</v>
      </c>
      <c r="U239" s="151">
        <v>6421</v>
      </c>
      <c r="V239" s="151" t="s">
        <v>1718</v>
      </c>
      <c r="W239" s="151">
        <v>5394</v>
      </c>
      <c r="X239" s="151" t="s">
        <v>1718</v>
      </c>
      <c r="Z239" s="155">
        <f t="shared" si="62"/>
        <v>37.5</v>
      </c>
      <c r="AA239" s="156">
        <f t="shared" si="63"/>
        <v>19.89</v>
      </c>
      <c r="AC239" s="150">
        <v>37.5</v>
      </c>
      <c r="AD239" s="151" t="s">
        <v>593</v>
      </c>
      <c r="AE239" s="152">
        <v>33.97</v>
      </c>
      <c r="AF239" s="152">
        <v>1.847E-2</v>
      </c>
      <c r="AG239" s="151">
        <v>635.95000000000005</v>
      </c>
      <c r="AH239" s="151" t="s">
        <v>1675</v>
      </c>
      <c r="AI239" s="151">
        <v>24.74</v>
      </c>
      <c r="AJ239" s="151" t="s">
        <v>1675</v>
      </c>
      <c r="AK239" s="151">
        <v>14.48</v>
      </c>
      <c r="AL239" s="151" t="s">
        <v>1675</v>
      </c>
      <c r="AN239" s="155">
        <f t="shared" si="64"/>
        <v>37.5</v>
      </c>
      <c r="AO239" s="156">
        <f t="shared" si="65"/>
        <v>635.95000000000005</v>
      </c>
      <c r="AQ239" s="150">
        <v>37.5</v>
      </c>
      <c r="AR239" s="151" t="s">
        <v>593</v>
      </c>
      <c r="AS239" s="152">
        <v>2.875</v>
      </c>
      <c r="AT239" s="152">
        <v>1.2669999999999999E-3</v>
      </c>
      <c r="AU239" s="151">
        <v>7.3</v>
      </c>
      <c r="AV239" s="151" t="s">
        <v>1623</v>
      </c>
      <c r="AW239" s="151">
        <v>298.76</v>
      </c>
      <c r="AX239" s="151" t="s">
        <v>1675</v>
      </c>
      <c r="AY239" s="151">
        <v>298.18</v>
      </c>
      <c r="AZ239" s="151" t="s">
        <v>1675</v>
      </c>
      <c r="BB239" s="155">
        <f t="shared" si="66"/>
        <v>37.5</v>
      </c>
      <c r="BC239" s="156">
        <f t="shared" si="67"/>
        <v>7300</v>
      </c>
      <c r="BE239" s="150">
        <v>37.5</v>
      </c>
      <c r="BF239" s="151" t="s">
        <v>593</v>
      </c>
      <c r="BG239" s="152">
        <v>667.8</v>
      </c>
      <c r="BH239" s="152">
        <v>0.4234</v>
      </c>
      <c r="BI239" s="151">
        <v>42.67</v>
      </c>
      <c r="BJ239" s="151" t="s">
        <v>1675</v>
      </c>
      <c r="BK239" s="151">
        <v>1.42</v>
      </c>
      <c r="BL239" s="151" t="s">
        <v>1675</v>
      </c>
      <c r="BM239" s="151">
        <v>8259</v>
      </c>
      <c r="BN239" s="151" t="s">
        <v>1718</v>
      </c>
      <c r="BP239" s="155">
        <f t="shared" si="68"/>
        <v>37.5</v>
      </c>
      <c r="BQ239" s="156">
        <f t="shared" si="69"/>
        <v>42.67</v>
      </c>
      <c r="BS239" s="150">
        <v>37.5</v>
      </c>
      <c r="BT239" s="151" t="s">
        <v>593</v>
      </c>
      <c r="BU239" s="152">
        <v>1535</v>
      </c>
      <c r="BV239" s="152">
        <v>1.3240000000000001</v>
      </c>
      <c r="BW239" s="151">
        <v>22.64</v>
      </c>
      <c r="BX239" s="151" t="s">
        <v>1675</v>
      </c>
      <c r="BY239" s="151">
        <v>7329</v>
      </c>
      <c r="BZ239" s="151" t="s">
        <v>1718</v>
      </c>
      <c r="CA239" s="151">
        <v>5486</v>
      </c>
      <c r="CB239" s="151" t="s">
        <v>1718</v>
      </c>
      <c r="CD239" s="155">
        <f t="shared" si="70"/>
        <v>37.5</v>
      </c>
      <c r="CE239" s="156">
        <f t="shared" si="71"/>
        <v>22.64</v>
      </c>
      <c r="CG239" s="150">
        <v>37.5</v>
      </c>
      <c r="CH239" s="151" t="s">
        <v>593</v>
      </c>
      <c r="CI239" s="152">
        <v>1912</v>
      </c>
      <c r="CJ239" s="152">
        <v>1.861</v>
      </c>
      <c r="CK239" s="151">
        <v>19.899999999999999</v>
      </c>
      <c r="CL239" s="151" t="s">
        <v>1675</v>
      </c>
      <c r="CM239" s="151">
        <v>6414</v>
      </c>
      <c r="CN239" s="151" t="s">
        <v>1718</v>
      </c>
      <c r="CO239" s="151">
        <v>5564</v>
      </c>
      <c r="CP239" s="151" t="s">
        <v>1718</v>
      </c>
      <c r="CR239" s="155">
        <f t="shared" si="72"/>
        <v>37.5</v>
      </c>
      <c r="CS239" s="156">
        <f t="shared" si="73"/>
        <v>19.899999999999999</v>
      </c>
      <c r="CU239" s="151">
        <v>37.5</v>
      </c>
      <c r="CV239" s="152" t="s">
        <v>593</v>
      </c>
      <c r="CW239" s="152">
        <v>4537</v>
      </c>
      <c r="CX239" s="152">
        <v>10.7</v>
      </c>
      <c r="CY239" s="151">
        <v>10.97</v>
      </c>
      <c r="CZ239" s="151" t="s">
        <v>1675</v>
      </c>
      <c r="DA239" s="151">
        <v>4020</v>
      </c>
      <c r="DB239" s="151" t="s">
        <v>1718</v>
      </c>
      <c r="DC239" s="151">
        <v>4628</v>
      </c>
      <c r="DD239" t="s">
        <v>1718</v>
      </c>
      <c r="DF239" s="155">
        <f t="shared" si="74"/>
        <v>37.5</v>
      </c>
      <c r="DG239" s="156">
        <f t="shared" si="75"/>
        <v>10.97</v>
      </c>
      <c r="DI239" s="151">
        <v>37.5</v>
      </c>
      <c r="DJ239" s="152" t="s">
        <v>593</v>
      </c>
      <c r="DK239" s="152">
        <v>4308</v>
      </c>
      <c r="DL239" s="152">
        <v>9.9179999999999993</v>
      </c>
      <c r="DM239" s="151">
        <v>11.52</v>
      </c>
      <c r="DN239" s="151" t="s">
        <v>1675</v>
      </c>
      <c r="DO239" s="151">
        <v>4128</v>
      </c>
      <c r="DP239" s="151" t="s">
        <v>1718</v>
      </c>
      <c r="DQ239" s="151">
        <v>4755</v>
      </c>
      <c r="DR239" t="s">
        <v>1718</v>
      </c>
      <c r="DT239" s="155">
        <f t="shared" si="76"/>
        <v>37.5</v>
      </c>
      <c r="DU239" s="156">
        <f t="shared" si="77"/>
        <v>11.52</v>
      </c>
    </row>
    <row r="240" spans="1:125" x14ac:dyDescent="0.2">
      <c r="A240" s="150">
        <v>40</v>
      </c>
      <c r="B240" s="151" t="s">
        <v>593</v>
      </c>
      <c r="C240" s="152">
        <v>2118</v>
      </c>
      <c r="D240" s="152">
        <v>2.0990000000000002</v>
      </c>
      <c r="E240" s="151">
        <v>18.86</v>
      </c>
      <c r="F240" s="151" t="s">
        <v>1675</v>
      </c>
      <c r="G240" s="151">
        <v>6134</v>
      </c>
      <c r="H240" s="151" t="s">
        <v>1718</v>
      </c>
      <c r="I240" s="151">
        <v>5502</v>
      </c>
      <c r="J240" s="151" t="s">
        <v>1718</v>
      </c>
      <c r="L240" s="155">
        <f t="shared" si="60"/>
        <v>40</v>
      </c>
      <c r="M240" s="156">
        <f t="shared" si="61"/>
        <v>18.86</v>
      </c>
      <c r="O240" s="150">
        <v>40</v>
      </c>
      <c r="P240" s="151" t="s">
        <v>593</v>
      </c>
      <c r="Q240" s="152">
        <v>1815</v>
      </c>
      <c r="R240" s="152">
        <v>1.522</v>
      </c>
      <c r="S240" s="151">
        <v>21.26</v>
      </c>
      <c r="T240" s="151" t="s">
        <v>1675</v>
      </c>
      <c r="U240" s="151">
        <v>6731</v>
      </c>
      <c r="V240" s="151" t="s">
        <v>1718</v>
      </c>
      <c r="W240" s="151">
        <v>5538</v>
      </c>
      <c r="X240" s="151" t="s">
        <v>1718</v>
      </c>
      <c r="Z240" s="155">
        <f t="shared" si="62"/>
        <v>40</v>
      </c>
      <c r="AA240" s="156">
        <f t="shared" si="63"/>
        <v>21.26</v>
      </c>
      <c r="AC240" s="150">
        <v>40</v>
      </c>
      <c r="AD240" s="151" t="s">
        <v>593</v>
      </c>
      <c r="AE240" s="152">
        <v>32.32</v>
      </c>
      <c r="AF240" s="152">
        <v>1.7440000000000001E-2</v>
      </c>
      <c r="AG240" s="151">
        <v>711.3</v>
      </c>
      <c r="AH240" s="151" t="s">
        <v>1675</v>
      </c>
      <c r="AI240" s="151">
        <v>27.1</v>
      </c>
      <c r="AJ240" s="151" t="s">
        <v>1675</v>
      </c>
      <c r="AK240" s="151">
        <v>16.100000000000001</v>
      </c>
      <c r="AL240" s="151" t="s">
        <v>1675</v>
      </c>
      <c r="AN240" s="155">
        <f t="shared" si="64"/>
        <v>40</v>
      </c>
      <c r="AO240" s="156">
        <f t="shared" si="65"/>
        <v>711.3</v>
      </c>
      <c r="AQ240" s="150">
        <v>40</v>
      </c>
      <c r="AR240" s="151" t="s">
        <v>593</v>
      </c>
      <c r="AS240" s="152">
        <v>2.7330000000000001</v>
      </c>
      <c r="AT240" s="152">
        <v>1.1950000000000001E-3</v>
      </c>
      <c r="AU240" s="151">
        <v>8.19</v>
      </c>
      <c r="AV240" s="151" t="s">
        <v>1623</v>
      </c>
      <c r="AW240" s="151">
        <v>328.14</v>
      </c>
      <c r="AX240" s="151" t="s">
        <v>1675</v>
      </c>
      <c r="AY240" s="151">
        <v>333.19</v>
      </c>
      <c r="AZ240" s="151" t="s">
        <v>1675</v>
      </c>
      <c r="BB240" s="155">
        <f t="shared" si="66"/>
        <v>40</v>
      </c>
      <c r="BC240" s="156">
        <f t="shared" si="67"/>
        <v>8189.9999999999991</v>
      </c>
      <c r="BE240" s="150">
        <v>40</v>
      </c>
      <c r="BF240" s="151" t="s">
        <v>593</v>
      </c>
      <c r="BG240" s="152">
        <v>643.70000000000005</v>
      </c>
      <c r="BH240" s="152">
        <v>0.40010000000000001</v>
      </c>
      <c r="BI240" s="151">
        <v>46.48</v>
      </c>
      <c r="BJ240" s="151" t="s">
        <v>1675</v>
      </c>
      <c r="BK240" s="151">
        <v>1.53</v>
      </c>
      <c r="BL240" s="151" t="s">
        <v>1675</v>
      </c>
      <c r="BM240" s="151">
        <v>8732</v>
      </c>
      <c r="BN240" s="151" t="s">
        <v>1718</v>
      </c>
      <c r="BP240" s="155">
        <f t="shared" si="68"/>
        <v>40</v>
      </c>
      <c r="BQ240" s="156">
        <f t="shared" si="69"/>
        <v>46.48</v>
      </c>
      <c r="BS240" s="150">
        <v>40</v>
      </c>
      <c r="BT240" s="151" t="s">
        <v>593</v>
      </c>
      <c r="BU240" s="152">
        <v>1507</v>
      </c>
      <c r="BV240" s="152">
        <v>1.252</v>
      </c>
      <c r="BW240" s="151">
        <v>24.28</v>
      </c>
      <c r="BX240" s="151" t="s">
        <v>1675</v>
      </c>
      <c r="BY240" s="151">
        <v>7719</v>
      </c>
      <c r="BZ240" s="151" t="s">
        <v>1718</v>
      </c>
      <c r="CA240" s="151">
        <v>5666</v>
      </c>
      <c r="CB240" s="151" t="s">
        <v>1718</v>
      </c>
      <c r="CD240" s="155">
        <f t="shared" si="70"/>
        <v>40</v>
      </c>
      <c r="CE240" s="156">
        <f t="shared" si="71"/>
        <v>24.28</v>
      </c>
      <c r="CG240" s="150">
        <v>40</v>
      </c>
      <c r="CH240" s="151" t="s">
        <v>593</v>
      </c>
      <c r="CI240" s="152">
        <v>1886</v>
      </c>
      <c r="CJ240" s="152">
        <v>1.76</v>
      </c>
      <c r="CK240" s="151">
        <v>21.22</v>
      </c>
      <c r="CL240" s="151" t="s">
        <v>1675</v>
      </c>
      <c r="CM240" s="151">
        <v>6704</v>
      </c>
      <c r="CN240" s="151" t="s">
        <v>1718</v>
      </c>
      <c r="CO240" s="151">
        <v>5697</v>
      </c>
      <c r="CP240" s="151" t="s">
        <v>1718</v>
      </c>
      <c r="CR240" s="155">
        <f t="shared" si="72"/>
        <v>40</v>
      </c>
      <c r="CS240" s="156">
        <f t="shared" si="73"/>
        <v>21.22</v>
      </c>
      <c r="CU240" s="151">
        <v>40</v>
      </c>
      <c r="CV240" s="152" t="s">
        <v>593</v>
      </c>
      <c r="CW240" s="152">
        <v>4568</v>
      </c>
      <c r="CX240" s="152">
        <v>10.130000000000001</v>
      </c>
      <c r="CY240" s="151">
        <v>11.51</v>
      </c>
      <c r="CZ240" s="151" t="s">
        <v>1675</v>
      </c>
      <c r="DA240" s="151">
        <v>4110</v>
      </c>
      <c r="DB240" s="151" t="s">
        <v>1718</v>
      </c>
      <c r="DC240" s="151">
        <v>4691</v>
      </c>
      <c r="DD240" t="s">
        <v>1718</v>
      </c>
      <c r="DF240" s="155">
        <f t="shared" si="74"/>
        <v>40</v>
      </c>
      <c r="DG240" s="156">
        <f t="shared" si="75"/>
        <v>11.51</v>
      </c>
      <c r="DI240" s="151">
        <v>40</v>
      </c>
      <c r="DJ240" s="152" t="s">
        <v>593</v>
      </c>
      <c r="DK240" s="152">
        <v>4319</v>
      </c>
      <c r="DL240" s="152">
        <v>9.3940000000000001</v>
      </c>
      <c r="DM240" s="151">
        <v>12.09</v>
      </c>
      <c r="DN240" s="151" t="s">
        <v>1675</v>
      </c>
      <c r="DO240" s="151">
        <v>4225</v>
      </c>
      <c r="DP240" s="151" t="s">
        <v>1718</v>
      </c>
      <c r="DQ240" s="151">
        <v>4820</v>
      </c>
      <c r="DR240" t="s">
        <v>1718</v>
      </c>
      <c r="DT240" s="155">
        <f t="shared" si="76"/>
        <v>40</v>
      </c>
      <c r="DU240" s="156">
        <f t="shared" si="77"/>
        <v>12.09</v>
      </c>
    </row>
    <row r="241" spans="1:125" x14ac:dyDescent="0.2">
      <c r="A241" s="150">
        <v>45</v>
      </c>
      <c r="B241" s="151" t="s">
        <v>593</v>
      </c>
      <c r="C241" s="152">
        <v>2058</v>
      </c>
      <c r="D241" s="152">
        <v>1.8959999999999999</v>
      </c>
      <c r="E241" s="151">
        <v>21.25</v>
      </c>
      <c r="F241" s="151" t="s">
        <v>1675</v>
      </c>
      <c r="G241" s="151">
        <v>7047</v>
      </c>
      <c r="H241" s="151" t="s">
        <v>1718</v>
      </c>
      <c r="I241" s="151">
        <v>5733</v>
      </c>
      <c r="J241" s="151" t="s">
        <v>1718</v>
      </c>
      <c r="L241" s="155">
        <f t="shared" si="60"/>
        <v>45</v>
      </c>
      <c r="M241" s="156">
        <f t="shared" si="61"/>
        <v>21.25</v>
      </c>
      <c r="O241" s="150">
        <v>45</v>
      </c>
      <c r="P241" s="151" t="s">
        <v>593</v>
      </c>
      <c r="Q241" s="152">
        <v>1736</v>
      </c>
      <c r="R241" s="152">
        <v>1.375</v>
      </c>
      <c r="S241" s="151">
        <v>24.07</v>
      </c>
      <c r="T241" s="151" t="s">
        <v>1675</v>
      </c>
      <c r="U241" s="151">
        <v>7869</v>
      </c>
      <c r="V241" s="151" t="s">
        <v>1718</v>
      </c>
      <c r="W241" s="151">
        <v>5829</v>
      </c>
      <c r="X241" s="151" t="s">
        <v>1718</v>
      </c>
      <c r="Z241" s="155">
        <f t="shared" si="62"/>
        <v>45</v>
      </c>
      <c r="AA241" s="156">
        <f t="shared" si="63"/>
        <v>24.07</v>
      </c>
      <c r="AC241" s="150">
        <v>45</v>
      </c>
      <c r="AD241" s="151" t="s">
        <v>593</v>
      </c>
      <c r="AE241" s="152">
        <v>29.51</v>
      </c>
      <c r="AF241" s="152">
        <v>1.5689999999999999E-2</v>
      </c>
      <c r="AG241" s="151">
        <v>873.03</v>
      </c>
      <c r="AH241" s="151" t="s">
        <v>1675</v>
      </c>
      <c r="AI241" s="151">
        <v>35.76</v>
      </c>
      <c r="AJ241" s="151" t="s">
        <v>1675</v>
      </c>
      <c r="AK241" s="151">
        <v>19.57</v>
      </c>
      <c r="AL241" s="151" t="s">
        <v>1675</v>
      </c>
      <c r="AN241" s="155">
        <f t="shared" si="64"/>
        <v>45</v>
      </c>
      <c r="AO241" s="156">
        <f t="shared" si="65"/>
        <v>873.03</v>
      </c>
      <c r="AQ241" s="150">
        <v>45</v>
      </c>
      <c r="AR241" s="151" t="s">
        <v>593</v>
      </c>
      <c r="AS241" s="152">
        <v>2.4929999999999999</v>
      </c>
      <c r="AT241" s="152">
        <v>1.0740000000000001E-3</v>
      </c>
      <c r="AU241" s="151">
        <v>10.1</v>
      </c>
      <c r="AV241" s="151" t="s">
        <v>1623</v>
      </c>
      <c r="AW241" s="151">
        <v>432.32</v>
      </c>
      <c r="AX241" s="151" t="s">
        <v>1675</v>
      </c>
      <c r="AY241" s="151">
        <v>408.06</v>
      </c>
      <c r="AZ241" s="151" t="s">
        <v>1675</v>
      </c>
      <c r="BB241" s="155">
        <f t="shared" si="66"/>
        <v>45</v>
      </c>
      <c r="BC241" s="156">
        <f t="shared" si="67"/>
        <v>10100</v>
      </c>
      <c r="BE241" s="150">
        <v>45</v>
      </c>
      <c r="BF241" s="151" t="s">
        <v>593</v>
      </c>
      <c r="BG241" s="152">
        <v>599.79999999999995</v>
      </c>
      <c r="BH241" s="152">
        <v>0.36080000000000001</v>
      </c>
      <c r="BI241" s="151">
        <v>54.52</v>
      </c>
      <c r="BJ241" s="151" t="s">
        <v>1675</v>
      </c>
      <c r="BK241" s="151">
        <v>1.92</v>
      </c>
      <c r="BL241" s="151" t="s">
        <v>1675</v>
      </c>
      <c r="BM241" s="151">
        <v>9722</v>
      </c>
      <c r="BN241" s="151" t="s">
        <v>1718</v>
      </c>
      <c r="BP241" s="155">
        <f t="shared" si="68"/>
        <v>45</v>
      </c>
      <c r="BQ241" s="156">
        <f t="shared" si="69"/>
        <v>54.52</v>
      </c>
      <c r="BS241" s="150">
        <v>45</v>
      </c>
      <c r="BT241" s="151" t="s">
        <v>593</v>
      </c>
      <c r="BU241" s="152">
        <v>1445</v>
      </c>
      <c r="BV241" s="152">
        <v>1.131</v>
      </c>
      <c r="BW241" s="151">
        <v>27.66</v>
      </c>
      <c r="BX241" s="151" t="s">
        <v>1675</v>
      </c>
      <c r="BY241" s="151">
        <v>9137</v>
      </c>
      <c r="BZ241" s="151" t="s">
        <v>1718</v>
      </c>
      <c r="CA241" s="151">
        <v>6032</v>
      </c>
      <c r="CB241" s="151" t="s">
        <v>1718</v>
      </c>
      <c r="CD241" s="155">
        <f t="shared" si="70"/>
        <v>45</v>
      </c>
      <c r="CE241" s="156">
        <f t="shared" si="71"/>
        <v>27.66</v>
      </c>
      <c r="CG241" s="150">
        <v>45</v>
      </c>
      <c r="CH241" s="151" t="s">
        <v>593</v>
      </c>
      <c r="CI241" s="152">
        <v>1835</v>
      </c>
      <c r="CJ241" s="152">
        <v>1.59</v>
      </c>
      <c r="CK241" s="151">
        <v>23.9</v>
      </c>
      <c r="CL241" s="151" t="s">
        <v>1675</v>
      </c>
      <c r="CM241" s="151">
        <v>7750</v>
      </c>
      <c r="CN241" s="151" t="s">
        <v>1718</v>
      </c>
      <c r="CO241" s="151">
        <v>5964</v>
      </c>
      <c r="CP241" s="151" t="s">
        <v>1718</v>
      </c>
      <c r="CR241" s="155">
        <f t="shared" si="72"/>
        <v>45</v>
      </c>
      <c r="CS241" s="156">
        <f t="shared" si="73"/>
        <v>23.9</v>
      </c>
      <c r="CU241" s="151">
        <v>45</v>
      </c>
      <c r="CV241" s="152" t="s">
        <v>593</v>
      </c>
      <c r="CW241" s="152">
        <v>4615</v>
      </c>
      <c r="CX241" s="152">
        <v>9.1750000000000007</v>
      </c>
      <c r="CY241" s="151">
        <v>12.6</v>
      </c>
      <c r="CZ241" s="151" t="s">
        <v>1675</v>
      </c>
      <c r="DA241" s="151">
        <v>4416</v>
      </c>
      <c r="DB241" s="151" t="s">
        <v>1718</v>
      </c>
      <c r="DC241" s="151">
        <v>4811</v>
      </c>
      <c r="DD241" t="s">
        <v>1718</v>
      </c>
      <c r="DF241" s="155">
        <f t="shared" si="74"/>
        <v>45</v>
      </c>
      <c r="DG241" s="156">
        <f t="shared" si="75"/>
        <v>12.6</v>
      </c>
      <c r="DI241" s="151">
        <v>45</v>
      </c>
      <c r="DJ241" s="152" t="s">
        <v>593</v>
      </c>
      <c r="DK241" s="152">
        <v>4330</v>
      </c>
      <c r="DL241" s="152">
        <v>8.5060000000000002</v>
      </c>
      <c r="DM241" s="151">
        <v>13.25</v>
      </c>
      <c r="DN241" s="151" t="s">
        <v>1675</v>
      </c>
      <c r="DO241" s="151">
        <v>4557</v>
      </c>
      <c r="DP241" s="151" t="s">
        <v>1718</v>
      </c>
      <c r="DQ241" s="151">
        <v>4943</v>
      </c>
      <c r="DR241" t="s">
        <v>1718</v>
      </c>
      <c r="DT241" s="155">
        <f t="shared" si="76"/>
        <v>45</v>
      </c>
      <c r="DU241" s="156">
        <f t="shared" si="77"/>
        <v>13.25</v>
      </c>
    </row>
    <row r="242" spans="1:125" x14ac:dyDescent="0.2">
      <c r="A242" s="150">
        <v>50</v>
      </c>
      <c r="B242" s="151" t="s">
        <v>593</v>
      </c>
      <c r="C242" s="152">
        <v>1979</v>
      </c>
      <c r="D242" s="152">
        <v>1.7310000000000001</v>
      </c>
      <c r="E242" s="151">
        <v>23.72</v>
      </c>
      <c r="F242" s="151" t="s">
        <v>1675</v>
      </c>
      <c r="G242" s="151">
        <v>7909</v>
      </c>
      <c r="H242" s="151" t="s">
        <v>1718</v>
      </c>
      <c r="I242" s="151">
        <v>5968</v>
      </c>
      <c r="J242" s="151" t="s">
        <v>1718</v>
      </c>
      <c r="L242" s="155">
        <f t="shared" si="60"/>
        <v>50</v>
      </c>
      <c r="M242" s="156">
        <f t="shared" si="61"/>
        <v>23.72</v>
      </c>
      <c r="O242" s="150">
        <v>50</v>
      </c>
      <c r="P242" s="151" t="s">
        <v>593</v>
      </c>
      <c r="Q242" s="152">
        <v>1670</v>
      </c>
      <c r="R242" s="152">
        <v>1.2549999999999999</v>
      </c>
      <c r="S242" s="151">
        <v>27</v>
      </c>
      <c r="T242" s="151" t="s">
        <v>1675</v>
      </c>
      <c r="U242" s="151">
        <v>8941</v>
      </c>
      <c r="V242" s="151" t="s">
        <v>1718</v>
      </c>
      <c r="W242" s="151">
        <v>6126</v>
      </c>
      <c r="X242" s="151" t="s">
        <v>1718</v>
      </c>
      <c r="Z242" s="155">
        <f t="shared" si="62"/>
        <v>50</v>
      </c>
      <c r="AA242" s="156">
        <f t="shared" si="63"/>
        <v>27</v>
      </c>
      <c r="AC242" s="150">
        <v>50</v>
      </c>
      <c r="AD242" s="151" t="s">
        <v>593</v>
      </c>
      <c r="AE242" s="152">
        <v>27.19</v>
      </c>
      <c r="AF242" s="152">
        <v>1.427E-2</v>
      </c>
      <c r="AG242" s="151">
        <v>1.05</v>
      </c>
      <c r="AH242" s="151" t="s">
        <v>1623</v>
      </c>
      <c r="AI242" s="151">
        <v>43.9</v>
      </c>
      <c r="AJ242" s="151" t="s">
        <v>1675</v>
      </c>
      <c r="AK242" s="151">
        <v>23.32</v>
      </c>
      <c r="AL242" s="151" t="s">
        <v>1675</v>
      </c>
      <c r="AN242" s="155">
        <f t="shared" si="64"/>
        <v>50</v>
      </c>
      <c r="AO242" s="156">
        <f t="shared" si="65"/>
        <v>1050</v>
      </c>
      <c r="AQ242" s="150">
        <v>50</v>
      </c>
      <c r="AR242" s="151" t="s">
        <v>593</v>
      </c>
      <c r="AS242" s="152">
        <v>2.2970000000000002</v>
      </c>
      <c r="AT242" s="152">
        <v>9.7670000000000005E-4</v>
      </c>
      <c r="AU242" s="151">
        <v>12.18</v>
      </c>
      <c r="AV242" s="151" t="s">
        <v>1623</v>
      </c>
      <c r="AW242" s="151">
        <v>530.91999999999996</v>
      </c>
      <c r="AX242" s="151" t="s">
        <v>1675</v>
      </c>
      <c r="AY242" s="151">
        <v>489.19</v>
      </c>
      <c r="AZ242" s="151" t="s">
        <v>1675</v>
      </c>
      <c r="BB242" s="155">
        <f t="shared" si="66"/>
        <v>50</v>
      </c>
      <c r="BC242" s="156">
        <f t="shared" si="67"/>
        <v>12180</v>
      </c>
      <c r="BE242" s="150">
        <v>50</v>
      </c>
      <c r="BF242" s="151" t="s">
        <v>593</v>
      </c>
      <c r="BG242" s="152">
        <v>561.1</v>
      </c>
      <c r="BH242" s="152">
        <v>0.32890000000000003</v>
      </c>
      <c r="BI242" s="151">
        <v>63.13</v>
      </c>
      <c r="BJ242" s="151" t="s">
        <v>1675</v>
      </c>
      <c r="BK242" s="151">
        <v>2.2799999999999998</v>
      </c>
      <c r="BL242" s="151" t="s">
        <v>1675</v>
      </c>
      <c r="BM242" s="151">
        <v>1.08</v>
      </c>
      <c r="BN242" s="151" t="s">
        <v>1675</v>
      </c>
      <c r="BP242" s="155">
        <f t="shared" si="68"/>
        <v>50</v>
      </c>
      <c r="BQ242" s="156">
        <f t="shared" si="69"/>
        <v>63.13</v>
      </c>
      <c r="BS242" s="150">
        <v>50</v>
      </c>
      <c r="BT242" s="151" t="s">
        <v>593</v>
      </c>
      <c r="BU242" s="152">
        <v>1394</v>
      </c>
      <c r="BV242" s="152">
        <v>1.032</v>
      </c>
      <c r="BW242" s="151">
        <v>31.18</v>
      </c>
      <c r="BX242" s="151" t="s">
        <v>1675</v>
      </c>
      <c r="BY242" s="151">
        <v>1.05</v>
      </c>
      <c r="BZ242" s="151" t="s">
        <v>1675</v>
      </c>
      <c r="CA242" s="151">
        <v>6405</v>
      </c>
      <c r="CB242" s="151" t="s">
        <v>1718</v>
      </c>
      <c r="CD242" s="155">
        <f t="shared" si="70"/>
        <v>50</v>
      </c>
      <c r="CE242" s="156">
        <f t="shared" si="71"/>
        <v>31.18</v>
      </c>
      <c r="CG242" s="150">
        <v>50</v>
      </c>
      <c r="CH242" s="151" t="s">
        <v>593</v>
      </c>
      <c r="CI242" s="152">
        <v>1766</v>
      </c>
      <c r="CJ242" s="152">
        <v>1.4510000000000001</v>
      </c>
      <c r="CK242" s="151">
        <v>26.68</v>
      </c>
      <c r="CL242" s="151" t="s">
        <v>1675</v>
      </c>
      <c r="CM242" s="151">
        <v>8729</v>
      </c>
      <c r="CN242" s="151" t="s">
        <v>1718</v>
      </c>
      <c r="CO242" s="151">
        <v>6232</v>
      </c>
      <c r="CP242" s="151" t="s">
        <v>1718</v>
      </c>
      <c r="CR242" s="155">
        <f t="shared" si="72"/>
        <v>50</v>
      </c>
      <c r="CS242" s="156">
        <f t="shared" si="73"/>
        <v>26.68</v>
      </c>
      <c r="CU242" s="151">
        <v>50</v>
      </c>
      <c r="CV242" s="152" t="s">
        <v>593</v>
      </c>
      <c r="CW242" s="152">
        <v>4645</v>
      </c>
      <c r="CX242" s="152">
        <v>8.3940000000000001</v>
      </c>
      <c r="CY242" s="151">
        <v>13.68</v>
      </c>
      <c r="CZ242" s="151" t="s">
        <v>1675</v>
      </c>
      <c r="DA242" s="151">
        <v>4697</v>
      </c>
      <c r="DB242" s="151" t="s">
        <v>1718</v>
      </c>
      <c r="DC242" s="151">
        <v>4923</v>
      </c>
      <c r="DD242" t="s">
        <v>1718</v>
      </c>
      <c r="DF242" s="155">
        <f t="shared" si="74"/>
        <v>50</v>
      </c>
      <c r="DG242" s="156">
        <f t="shared" si="75"/>
        <v>13.68</v>
      </c>
      <c r="DI242" s="151">
        <v>50</v>
      </c>
      <c r="DJ242" s="152" t="s">
        <v>593</v>
      </c>
      <c r="DK242" s="152">
        <v>4328</v>
      </c>
      <c r="DL242" s="152">
        <v>7.7809999999999997</v>
      </c>
      <c r="DM242" s="151">
        <v>14.4</v>
      </c>
      <c r="DN242" s="151" t="s">
        <v>1675</v>
      </c>
      <c r="DO242" s="151">
        <v>4866</v>
      </c>
      <c r="DP242" s="151" t="s">
        <v>1718</v>
      </c>
      <c r="DQ242" s="151">
        <v>5060</v>
      </c>
      <c r="DR242" t="s">
        <v>1718</v>
      </c>
      <c r="DT242" s="155">
        <f t="shared" si="76"/>
        <v>50</v>
      </c>
      <c r="DU242" s="156">
        <f t="shared" si="77"/>
        <v>14.4</v>
      </c>
    </row>
    <row r="243" spans="1:125" x14ac:dyDescent="0.2">
      <c r="A243" s="153">
        <v>55</v>
      </c>
      <c r="B243" s="151" t="s">
        <v>593</v>
      </c>
      <c r="C243" s="152">
        <v>1912</v>
      </c>
      <c r="D243" s="152">
        <v>1.5940000000000001</v>
      </c>
      <c r="E243" s="151">
        <v>26.29</v>
      </c>
      <c r="F243" s="151" t="s">
        <v>1675</v>
      </c>
      <c r="G243" s="151">
        <v>8742</v>
      </c>
      <c r="H243" s="151" t="s">
        <v>1718</v>
      </c>
      <c r="I243" s="151">
        <v>6208</v>
      </c>
      <c r="J243" s="151" t="s">
        <v>1718</v>
      </c>
      <c r="L243" s="155">
        <f t="shared" si="60"/>
        <v>55</v>
      </c>
      <c r="M243" s="156">
        <f t="shared" si="61"/>
        <v>26.29</v>
      </c>
      <c r="O243" s="153">
        <v>55</v>
      </c>
      <c r="P243" s="151" t="s">
        <v>593</v>
      </c>
      <c r="Q243" s="152">
        <v>1608</v>
      </c>
      <c r="R243" s="152">
        <v>1.155</v>
      </c>
      <c r="S243" s="151">
        <v>30.05</v>
      </c>
      <c r="T243" s="151" t="s">
        <v>1675</v>
      </c>
      <c r="U243" s="151">
        <v>9971</v>
      </c>
      <c r="V243" s="151" t="s">
        <v>1718</v>
      </c>
      <c r="W243" s="151">
        <v>6429</v>
      </c>
      <c r="X243" s="151" t="s">
        <v>1718</v>
      </c>
      <c r="Z243" s="155">
        <f t="shared" si="62"/>
        <v>55</v>
      </c>
      <c r="AA243" s="156">
        <f t="shared" si="63"/>
        <v>30.05</v>
      </c>
      <c r="AC243" s="153">
        <v>55</v>
      </c>
      <c r="AD243" s="151" t="s">
        <v>593</v>
      </c>
      <c r="AE243" s="152">
        <v>25.24</v>
      </c>
      <c r="AF243" s="152">
        <v>1.3100000000000001E-2</v>
      </c>
      <c r="AG243" s="151">
        <v>1.24</v>
      </c>
      <c r="AH243" s="151" t="s">
        <v>1623</v>
      </c>
      <c r="AI243" s="151">
        <v>51.85</v>
      </c>
      <c r="AJ243" s="151" t="s">
        <v>1675</v>
      </c>
      <c r="AK243" s="151">
        <v>27.35</v>
      </c>
      <c r="AL243" s="151" t="s">
        <v>1675</v>
      </c>
      <c r="AN243" s="155">
        <f t="shared" si="64"/>
        <v>55</v>
      </c>
      <c r="AO243" s="156">
        <f t="shared" si="65"/>
        <v>1240</v>
      </c>
      <c r="AQ243" s="153">
        <v>55</v>
      </c>
      <c r="AR243" s="151" t="s">
        <v>593</v>
      </c>
      <c r="AS243" s="152">
        <v>2.133</v>
      </c>
      <c r="AT243" s="152">
        <v>8.9579999999999998E-4</v>
      </c>
      <c r="AU243" s="151">
        <v>14.43</v>
      </c>
      <c r="AV243" s="151" t="s">
        <v>1623</v>
      </c>
      <c r="AW243" s="151">
        <v>627.41999999999996</v>
      </c>
      <c r="AX243" s="151" t="s">
        <v>1675</v>
      </c>
      <c r="AY243" s="151">
        <v>576.34</v>
      </c>
      <c r="AZ243" s="151" t="s">
        <v>1675</v>
      </c>
      <c r="BB243" s="155">
        <f t="shared" si="66"/>
        <v>55</v>
      </c>
      <c r="BC243" s="156">
        <f t="shared" si="67"/>
        <v>14430</v>
      </c>
      <c r="BE243" s="153">
        <v>55</v>
      </c>
      <c r="BF243" s="151" t="s">
        <v>593</v>
      </c>
      <c r="BG243" s="152">
        <v>526.79999999999995</v>
      </c>
      <c r="BH243" s="152">
        <v>0.3024</v>
      </c>
      <c r="BI243" s="151">
        <v>72.319999999999993</v>
      </c>
      <c r="BJ243" s="151" t="s">
        <v>1675</v>
      </c>
      <c r="BK243" s="151">
        <v>2.64</v>
      </c>
      <c r="BL243" s="151" t="s">
        <v>1675</v>
      </c>
      <c r="BM243" s="151">
        <v>1.19</v>
      </c>
      <c r="BN243" s="151" t="s">
        <v>1675</v>
      </c>
      <c r="BP243" s="155">
        <f t="shared" si="68"/>
        <v>55</v>
      </c>
      <c r="BQ243" s="156">
        <f t="shared" si="69"/>
        <v>72.319999999999993</v>
      </c>
      <c r="BS243" s="153">
        <v>55</v>
      </c>
      <c r="BT243" s="151" t="s">
        <v>593</v>
      </c>
      <c r="BU243" s="152">
        <v>1345</v>
      </c>
      <c r="BV243" s="152">
        <v>0.94950000000000001</v>
      </c>
      <c r="BW243" s="151">
        <v>34.83</v>
      </c>
      <c r="BX243" s="151" t="s">
        <v>1675</v>
      </c>
      <c r="BY243" s="151">
        <v>1.17</v>
      </c>
      <c r="BZ243" s="151" t="s">
        <v>1675</v>
      </c>
      <c r="CA243" s="151">
        <v>6784</v>
      </c>
      <c r="CB243" s="151" t="s">
        <v>1718</v>
      </c>
      <c r="CD243" s="155">
        <f t="shared" si="70"/>
        <v>55</v>
      </c>
      <c r="CE243" s="156">
        <f t="shared" si="71"/>
        <v>34.83</v>
      </c>
      <c r="CG243" s="153">
        <v>55</v>
      </c>
      <c r="CH243" s="151" t="s">
        <v>593</v>
      </c>
      <c r="CI243" s="152">
        <v>1707</v>
      </c>
      <c r="CJ243" s="152">
        <v>1.3360000000000001</v>
      </c>
      <c r="CK243" s="151">
        <v>29.55</v>
      </c>
      <c r="CL243" s="151" t="s">
        <v>1675</v>
      </c>
      <c r="CM243" s="151">
        <v>9673</v>
      </c>
      <c r="CN243" s="151" t="s">
        <v>1718</v>
      </c>
      <c r="CO243" s="151">
        <v>6505</v>
      </c>
      <c r="CP243" s="151" t="s">
        <v>1718</v>
      </c>
      <c r="CR243" s="155">
        <f t="shared" si="72"/>
        <v>55</v>
      </c>
      <c r="CS243" s="156">
        <f t="shared" si="73"/>
        <v>29.55</v>
      </c>
      <c r="CU243" s="151">
        <v>55</v>
      </c>
      <c r="CV243" s="152" t="s">
        <v>593</v>
      </c>
      <c r="CW243" s="152">
        <v>4661</v>
      </c>
      <c r="CX243" s="152">
        <v>7.7430000000000003</v>
      </c>
      <c r="CY243" s="151">
        <v>14.75</v>
      </c>
      <c r="CZ243" s="151" t="s">
        <v>1675</v>
      </c>
      <c r="DA243" s="151">
        <v>4959</v>
      </c>
      <c r="DB243" s="151" t="s">
        <v>1718</v>
      </c>
      <c r="DC243" s="151">
        <v>5029</v>
      </c>
      <c r="DD243" t="s">
        <v>1718</v>
      </c>
      <c r="DF243" s="155">
        <f t="shared" si="74"/>
        <v>55</v>
      </c>
      <c r="DG243" s="156">
        <f t="shared" si="75"/>
        <v>14.75</v>
      </c>
      <c r="DI243" s="151">
        <v>55</v>
      </c>
      <c r="DJ243" s="152" t="s">
        <v>593</v>
      </c>
      <c r="DK243" s="152">
        <v>4316</v>
      </c>
      <c r="DL243" s="152">
        <v>7.1769999999999996</v>
      </c>
      <c r="DM243" s="151">
        <v>15.55</v>
      </c>
      <c r="DN243" s="151" t="s">
        <v>1675</v>
      </c>
      <c r="DO243" s="151">
        <v>5157</v>
      </c>
      <c r="DP243" s="151" t="s">
        <v>1718</v>
      </c>
      <c r="DQ243" s="151">
        <v>5171</v>
      </c>
      <c r="DR243" t="s">
        <v>1718</v>
      </c>
      <c r="DT243" s="155">
        <f t="shared" si="76"/>
        <v>55</v>
      </c>
      <c r="DU243" s="156">
        <f t="shared" si="77"/>
        <v>15.55</v>
      </c>
    </row>
    <row r="244" spans="1:125" x14ac:dyDescent="0.2">
      <c r="A244" s="153">
        <v>60</v>
      </c>
      <c r="B244" s="151" t="s">
        <v>593</v>
      </c>
      <c r="C244" s="152">
        <v>1851</v>
      </c>
      <c r="D244" s="152">
        <v>1.478</v>
      </c>
      <c r="E244" s="151">
        <v>28.94</v>
      </c>
      <c r="F244" s="151" t="s">
        <v>1675</v>
      </c>
      <c r="G244" s="151">
        <v>9553</v>
      </c>
      <c r="H244" s="151" t="s">
        <v>1718</v>
      </c>
      <c r="I244" s="151">
        <v>6452</v>
      </c>
      <c r="J244" s="151" t="s">
        <v>1718</v>
      </c>
      <c r="L244" s="155">
        <f t="shared" si="60"/>
        <v>60</v>
      </c>
      <c r="M244" s="156">
        <f t="shared" si="61"/>
        <v>28.94</v>
      </c>
      <c r="O244" s="153">
        <v>60</v>
      </c>
      <c r="P244" s="151" t="s">
        <v>593</v>
      </c>
      <c r="Q244" s="152">
        <v>1550</v>
      </c>
      <c r="R244" s="152">
        <v>1.071</v>
      </c>
      <c r="S244" s="151">
        <v>33.22</v>
      </c>
      <c r="T244" s="151" t="s">
        <v>1675</v>
      </c>
      <c r="U244" s="151">
        <v>1.1000000000000001</v>
      </c>
      <c r="V244" s="151" t="s">
        <v>1675</v>
      </c>
      <c r="W244" s="151">
        <v>6740</v>
      </c>
      <c r="X244" s="151" t="s">
        <v>1718</v>
      </c>
      <c r="Z244" s="155">
        <f t="shared" si="62"/>
        <v>60</v>
      </c>
      <c r="AA244" s="156">
        <f t="shared" si="63"/>
        <v>33.22</v>
      </c>
      <c r="AC244" s="153">
        <v>60</v>
      </c>
      <c r="AD244" s="151" t="s">
        <v>593</v>
      </c>
      <c r="AE244" s="152">
        <v>23.59</v>
      </c>
      <c r="AF244" s="152">
        <v>1.2120000000000001E-2</v>
      </c>
      <c r="AG244" s="151">
        <v>1.44</v>
      </c>
      <c r="AH244" s="151" t="s">
        <v>1623</v>
      </c>
      <c r="AI244" s="151">
        <v>59.74</v>
      </c>
      <c r="AJ244" s="151" t="s">
        <v>1675</v>
      </c>
      <c r="AK244" s="151">
        <v>31.66</v>
      </c>
      <c r="AL244" s="151" t="s">
        <v>1675</v>
      </c>
      <c r="AN244" s="155">
        <f t="shared" si="64"/>
        <v>60</v>
      </c>
      <c r="AO244" s="156">
        <f t="shared" si="65"/>
        <v>1440</v>
      </c>
      <c r="AQ244" s="153">
        <v>60</v>
      </c>
      <c r="AR244" s="151" t="s">
        <v>593</v>
      </c>
      <c r="AS244" s="152">
        <v>1.9950000000000001</v>
      </c>
      <c r="AT244" s="152">
        <v>8.2779999999999996E-4</v>
      </c>
      <c r="AU244" s="151">
        <v>16.850000000000001</v>
      </c>
      <c r="AV244" s="151" t="s">
        <v>1623</v>
      </c>
      <c r="AW244" s="151">
        <v>723.38</v>
      </c>
      <c r="AX244" s="151" t="s">
        <v>1675</v>
      </c>
      <c r="AY244" s="151">
        <v>669.3</v>
      </c>
      <c r="AZ244" s="151" t="s">
        <v>1675</v>
      </c>
      <c r="BB244" s="155">
        <f t="shared" si="66"/>
        <v>60</v>
      </c>
      <c r="BC244" s="156">
        <f t="shared" si="67"/>
        <v>16850</v>
      </c>
      <c r="BE244" s="153">
        <v>60</v>
      </c>
      <c r="BF244" s="151" t="s">
        <v>593</v>
      </c>
      <c r="BG244" s="152">
        <v>496.2</v>
      </c>
      <c r="BH244" s="152">
        <v>0.28010000000000002</v>
      </c>
      <c r="BI244" s="151">
        <v>82.1</v>
      </c>
      <c r="BJ244" s="151" t="s">
        <v>1675</v>
      </c>
      <c r="BK244" s="151">
        <v>2.99</v>
      </c>
      <c r="BL244" s="151" t="s">
        <v>1675</v>
      </c>
      <c r="BM244" s="151">
        <v>1.31</v>
      </c>
      <c r="BN244" s="151" t="s">
        <v>1675</v>
      </c>
      <c r="BP244" s="155">
        <f t="shared" si="68"/>
        <v>60</v>
      </c>
      <c r="BQ244" s="156">
        <f t="shared" si="69"/>
        <v>82.1</v>
      </c>
      <c r="BS244" s="153">
        <v>60</v>
      </c>
      <c r="BT244" s="151" t="s">
        <v>593</v>
      </c>
      <c r="BU244" s="152">
        <v>1298</v>
      </c>
      <c r="BV244" s="152">
        <v>0.88</v>
      </c>
      <c r="BW244" s="151">
        <v>38.61</v>
      </c>
      <c r="BX244" s="151" t="s">
        <v>1675</v>
      </c>
      <c r="BY244" s="151">
        <v>1.29</v>
      </c>
      <c r="BZ244" s="151" t="s">
        <v>1675</v>
      </c>
      <c r="CA244" s="151">
        <v>7171</v>
      </c>
      <c r="CB244" s="151" t="s">
        <v>1718</v>
      </c>
      <c r="CD244" s="155">
        <f t="shared" si="70"/>
        <v>60</v>
      </c>
      <c r="CE244" s="156">
        <f t="shared" si="71"/>
        <v>38.61</v>
      </c>
      <c r="CG244" s="153">
        <v>60</v>
      </c>
      <c r="CH244" s="151" t="s">
        <v>593</v>
      </c>
      <c r="CI244" s="152">
        <v>1652</v>
      </c>
      <c r="CJ244" s="152">
        <v>1.238</v>
      </c>
      <c r="CK244" s="151">
        <v>32.53</v>
      </c>
      <c r="CL244" s="151" t="s">
        <v>1675</v>
      </c>
      <c r="CM244" s="151">
        <v>1.06</v>
      </c>
      <c r="CN244" s="151" t="s">
        <v>1675</v>
      </c>
      <c r="CO244" s="151">
        <v>6783</v>
      </c>
      <c r="CP244" s="151" t="s">
        <v>1718</v>
      </c>
      <c r="CR244" s="155">
        <f t="shared" si="72"/>
        <v>60</v>
      </c>
      <c r="CS244" s="156">
        <f t="shared" si="73"/>
        <v>32.53</v>
      </c>
      <c r="CU244" s="151">
        <v>60</v>
      </c>
      <c r="CV244" s="152" t="s">
        <v>593</v>
      </c>
      <c r="CW244" s="152">
        <v>4667</v>
      </c>
      <c r="CX244" s="152">
        <v>7.1920000000000002</v>
      </c>
      <c r="CY244" s="151">
        <v>15.82</v>
      </c>
      <c r="CZ244" s="151" t="s">
        <v>1675</v>
      </c>
      <c r="DA244" s="151">
        <v>5206</v>
      </c>
      <c r="DB244" s="151" t="s">
        <v>1718</v>
      </c>
      <c r="DC244" s="151">
        <v>5130</v>
      </c>
      <c r="DD244" t="s">
        <v>1718</v>
      </c>
      <c r="DF244" s="155">
        <f t="shared" si="74"/>
        <v>60</v>
      </c>
      <c r="DG244" s="156">
        <f t="shared" si="75"/>
        <v>15.82</v>
      </c>
      <c r="DI244" s="151">
        <v>60</v>
      </c>
      <c r="DJ244" s="152" t="s">
        <v>593</v>
      </c>
      <c r="DK244" s="152">
        <v>4298</v>
      </c>
      <c r="DL244" s="152">
        <v>6.665</v>
      </c>
      <c r="DM244" s="151">
        <v>16.71</v>
      </c>
      <c r="DN244" s="151" t="s">
        <v>1675</v>
      </c>
      <c r="DO244" s="151">
        <v>5433</v>
      </c>
      <c r="DP244" s="151" t="s">
        <v>1718</v>
      </c>
      <c r="DQ244" s="151">
        <v>5278</v>
      </c>
      <c r="DR244" t="s">
        <v>1718</v>
      </c>
      <c r="DT244" s="155">
        <f t="shared" si="76"/>
        <v>60</v>
      </c>
      <c r="DU244" s="156">
        <f t="shared" si="77"/>
        <v>16.71</v>
      </c>
    </row>
    <row r="245" spans="1:125" x14ac:dyDescent="0.2">
      <c r="A245" s="153">
        <v>65</v>
      </c>
      <c r="B245" s="151" t="s">
        <v>593</v>
      </c>
      <c r="C245" s="152">
        <v>1792</v>
      </c>
      <c r="D245" s="152">
        <v>1.379</v>
      </c>
      <c r="E245" s="151">
        <v>31.69</v>
      </c>
      <c r="F245" s="151" t="s">
        <v>1675</v>
      </c>
      <c r="G245" s="151">
        <v>1.03</v>
      </c>
      <c r="H245" s="151" t="s">
        <v>1675</v>
      </c>
      <c r="I245" s="151">
        <v>6703</v>
      </c>
      <c r="J245" s="151" t="s">
        <v>1718</v>
      </c>
      <c r="L245" s="155">
        <f t="shared" si="60"/>
        <v>65</v>
      </c>
      <c r="M245" s="156">
        <f t="shared" si="61"/>
        <v>31.69</v>
      </c>
      <c r="O245" s="153">
        <v>65</v>
      </c>
      <c r="P245" s="151" t="s">
        <v>593</v>
      </c>
      <c r="Q245" s="152">
        <v>1495</v>
      </c>
      <c r="R245" s="152">
        <v>0.99850000000000005</v>
      </c>
      <c r="S245" s="151">
        <v>36.5</v>
      </c>
      <c r="T245" s="151" t="s">
        <v>1675</v>
      </c>
      <c r="U245" s="151">
        <v>1.2</v>
      </c>
      <c r="V245" s="151" t="s">
        <v>1675</v>
      </c>
      <c r="W245" s="151">
        <v>7059</v>
      </c>
      <c r="X245" s="151" t="s">
        <v>1718</v>
      </c>
      <c r="Z245" s="155">
        <f t="shared" si="62"/>
        <v>65</v>
      </c>
      <c r="AA245" s="156">
        <f t="shared" si="63"/>
        <v>36.5</v>
      </c>
      <c r="AC245" s="153">
        <v>65</v>
      </c>
      <c r="AD245" s="151" t="s">
        <v>593</v>
      </c>
      <c r="AE245" s="152">
        <v>22.15</v>
      </c>
      <c r="AF245" s="152">
        <v>1.1270000000000001E-2</v>
      </c>
      <c r="AG245" s="151">
        <v>1.66</v>
      </c>
      <c r="AH245" s="151" t="s">
        <v>1623</v>
      </c>
      <c r="AI245" s="151">
        <v>67.63</v>
      </c>
      <c r="AJ245" s="151" t="s">
        <v>1675</v>
      </c>
      <c r="AK245" s="151">
        <v>36.229999999999997</v>
      </c>
      <c r="AL245" s="151" t="s">
        <v>1675</v>
      </c>
      <c r="AN245" s="155">
        <f t="shared" si="64"/>
        <v>65</v>
      </c>
      <c r="AO245" s="156">
        <f t="shared" si="65"/>
        <v>1660</v>
      </c>
      <c r="AQ245" s="153">
        <v>65</v>
      </c>
      <c r="AR245" s="151" t="s">
        <v>593</v>
      </c>
      <c r="AS245" s="152">
        <v>1.877</v>
      </c>
      <c r="AT245" s="152">
        <v>7.6979999999999995E-4</v>
      </c>
      <c r="AU245" s="151">
        <v>19.420000000000002</v>
      </c>
      <c r="AV245" s="151" t="s">
        <v>1623</v>
      </c>
      <c r="AW245" s="151">
        <v>819.57</v>
      </c>
      <c r="AX245" s="151" t="s">
        <v>1675</v>
      </c>
      <c r="AY245" s="151">
        <v>767.89</v>
      </c>
      <c r="AZ245" s="151" t="s">
        <v>1675</v>
      </c>
      <c r="BB245" s="155">
        <f t="shared" si="66"/>
        <v>65</v>
      </c>
      <c r="BC245" s="156">
        <f t="shared" si="67"/>
        <v>19420</v>
      </c>
      <c r="BE245" s="153">
        <v>65</v>
      </c>
      <c r="BF245" s="151" t="s">
        <v>593</v>
      </c>
      <c r="BG245" s="152">
        <v>468.8</v>
      </c>
      <c r="BH245" s="152">
        <v>0.26100000000000001</v>
      </c>
      <c r="BI245" s="151">
        <v>92.46</v>
      </c>
      <c r="BJ245" s="151" t="s">
        <v>1675</v>
      </c>
      <c r="BK245" s="151">
        <v>3.34</v>
      </c>
      <c r="BL245" s="151" t="s">
        <v>1675</v>
      </c>
      <c r="BM245" s="151">
        <v>1.43</v>
      </c>
      <c r="BN245" s="151" t="s">
        <v>1675</v>
      </c>
      <c r="BP245" s="155">
        <f t="shared" si="68"/>
        <v>65</v>
      </c>
      <c r="BQ245" s="156">
        <f t="shared" si="69"/>
        <v>92.46</v>
      </c>
      <c r="BS245" s="153">
        <v>65</v>
      </c>
      <c r="BT245" s="151" t="s">
        <v>593</v>
      </c>
      <c r="BU245" s="152">
        <v>1254</v>
      </c>
      <c r="BV245" s="152">
        <v>0.8206</v>
      </c>
      <c r="BW245" s="151">
        <v>42.53</v>
      </c>
      <c r="BX245" s="151" t="s">
        <v>1675</v>
      </c>
      <c r="BY245" s="151">
        <v>1.41</v>
      </c>
      <c r="BZ245" s="151" t="s">
        <v>1675</v>
      </c>
      <c r="CA245" s="151">
        <v>7568</v>
      </c>
      <c r="CB245" s="151" t="s">
        <v>1718</v>
      </c>
      <c r="CD245" s="155">
        <f t="shared" si="70"/>
        <v>65</v>
      </c>
      <c r="CE245" s="156">
        <f t="shared" si="71"/>
        <v>42.53</v>
      </c>
      <c r="CG245" s="153">
        <v>65</v>
      </c>
      <c r="CH245" s="151" t="s">
        <v>593</v>
      </c>
      <c r="CI245" s="152">
        <v>1599</v>
      </c>
      <c r="CJ245" s="152">
        <v>1.155</v>
      </c>
      <c r="CK245" s="151">
        <v>35.6</v>
      </c>
      <c r="CL245" s="151" t="s">
        <v>1675</v>
      </c>
      <c r="CM245" s="151">
        <v>1.1499999999999999</v>
      </c>
      <c r="CN245" s="151" t="s">
        <v>1675</v>
      </c>
      <c r="CO245" s="151">
        <v>7065</v>
      </c>
      <c r="CP245" s="151" t="s">
        <v>1718</v>
      </c>
      <c r="CR245" s="155">
        <f t="shared" si="72"/>
        <v>65</v>
      </c>
      <c r="CS245" s="156">
        <f t="shared" si="73"/>
        <v>35.6</v>
      </c>
      <c r="CU245" s="151">
        <v>65</v>
      </c>
      <c r="CV245" s="152" t="s">
        <v>593</v>
      </c>
      <c r="CW245" s="152">
        <v>4663</v>
      </c>
      <c r="CX245" s="152">
        <v>6.718</v>
      </c>
      <c r="CY245" s="151">
        <v>16.89</v>
      </c>
      <c r="CZ245" s="151" t="s">
        <v>1675</v>
      </c>
      <c r="DA245" s="151">
        <v>5441</v>
      </c>
      <c r="DB245" s="151" t="s">
        <v>1718</v>
      </c>
      <c r="DC245" s="151">
        <v>5227</v>
      </c>
      <c r="DD245" t="s">
        <v>1718</v>
      </c>
      <c r="DF245" s="155">
        <f t="shared" si="74"/>
        <v>65</v>
      </c>
      <c r="DG245" s="156">
        <f t="shared" si="75"/>
        <v>16.89</v>
      </c>
      <c r="DI245" s="151">
        <v>65</v>
      </c>
      <c r="DJ245" s="152" t="s">
        <v>593</v>
      </c>
      <c r="DK245" s="152">
        <v>4275</v>
      </c>
      <c r="DL245" s="152">
        <v>6.226</v>
      </c>
      <c r="DM245" s="151">
        <v>17.87</v>
      </c>
      <c r="DN245" s="151" t="s">
        <v>1675</v>
      </c>
      <c r="DO245" s="151">
        <v>5699</v>
      </c>
      <c r="DP245" s="151" t="s">
        <v>1718</v>
      </c>
      <c r="DQ245" s="151">
        <v>5382</v>
      </c>
      <c r="DR245" t="s">
        <v>1718</v>
      </c>
      <c r="DT245" s="155">
        <f t="shared" si="76"/>
        <v>65</v>
      </c>
      <c r="DU245" s="156">
        <f t="shared" si="77"/>
        <v>17.87</v>
      </c>
    </row>
    <row r="246" spans="1:125" x14ac:dyDescent="0.2">
      <c r="A246" s="153">
        <v>70</v>
      </c>
      <c r="B246" s="151" t="s">
        <v>593</v>
      </c>
      <c r="C246" s="152">
        <v>1736</v>
      </c>
      <c r="D246" s="152">
        <v>1.2929999999999999</v>
      </c>
      <c r="E246" s="151">
        <v>34.520000000000003</v>
      </c>
      <c r="F246" s="151" t="s">
        <v>1675</v>
      </c>
      <c r="G246" s="151">
        <v>1.1100000000000001</v>
      </c>
      <c r="H246" s="151" t="s">
        <v>1675</v>
      </c>
      <c r="I246" s="151">
        <v>6959</v>
      </c>
      <c r="J246" s="151" t="s">
        <v>1718</v>
      </c>
      <c r="L246" s="155">
        <f t="shared" si="60"/>
        <v>70</v>
      </c>
      <c r="M246" s="156">
        <f t="shared" si="61"/>
        <v>34.520000000000003</v>
      </c>
      <c r="O246" s="153">
        <v>70</v>
      </c>
      <c r="P246" s="151" t="s">
        <v>593</v>
      </c>
      <c r="Q246" s="152">
        <v>1443</v>
      </c>
      <c r="R246" s="152">
        <v>0.93589999999999995</v>
      </c>
      <c r="S246" s="151">
        <v>39.9</v>
      </c>
      <c r="T246" s="151" t="s">
        <v>1675</v>
      </c>
      <c r="U246" s="151">
        <v>1.29</v>
      </c>
      <c r="V246" s="151" t="s">
        <v>1675</v>
      </c>
      <c r="W246" s="151">
        <v>7387</v>
      </c>
      <c r="X246" s="151" t="s">
        <v>1718</v>
      </c>
      <c r="Z246" s="155">
        <f t="shared" si="62"/>
        <v>70</v>
      </c>
      <c r="AA246" s="156">
        <f t="shared" si="63"/>
        <v>39.9</v>
      </c>
      <c r="AC246" s="153">
        <v>70</v>
      </c>
      <c r="AD246" s="151" t="s">
        <v>593</v>
      </c>
      <c r="AE246" s="152">
        <v>20.9</v>
      </c>
      <c r="AF246" s="152">
        <v>1.055E-2</v>
      </c>
      <c r="AG246" s="151">
        <v>1.9</v>
      </c>
      <c r="AH246" s="151" t="s">
        <v>1623</v>
      </c>
      <c r="AI246" s="151">
        <v>75.59</v>
      </c>
      <c r="AJ246" s="151" t="s">
        <v>1675</v>
      </c>
      <c r="AK246" s="151">
        <v>41.07</v>
      </c>
      <c r="AL246" s="151" t="s">
        <v>1675</v>
      </c>
      <c r="AN246" s="155">
        <f t="shared" si="64"/>
        <v>70</v>
      </c>
      <c r="AO246" s="156">
        <f t="shared" si="65"/>
        <v>1900</v>
      </c>
      <c r="AQ246" s="153">
        <v>70</v>
      </c>
      <c r="AR246" s="151" t="s">
        <v>593</v>
      </c>
      <c r="AS246" s="152">
        <v>1.774</v>
      </c>
      <c r="AT246" s="152">
        <v>7.1960000000000004E-4</v>
      </c>
      <c r="AU246" s="151">
        <v>22.16</v>
      </c>
      <c r="AV246" s="151" t="s">
        <v>1623</v>
      </c>
      <c r="AW246" s="151">
        <v>916.43</v>
      </c>
      <c r="AX246" s="151" t="s">
        <v>1675</v>
      </c>
      <c r="AY246" s="151">
        <v>871.91</v>
      </c>
      <c r="AZ246" s="151" t="s">
        <v>1675</v>
      </c>
      <c r="BB246" s="155">
        <f t="shared" si="66"/>
        <v>70</v>
      </c>
      <c r="BC246" s="156">
        <f t="shared" si="67"/>
        <v>22160</v>
      </c>
      <c r="BE246" s="153">
        <v>70</v>
      </c>
      <c r="BF246" s="151" t="s">
        <v>593</v>
      </c>
      <c r="BG246" s="152">
        <v>444.2</v>
      </c>
      <c r="BH246" s="152">
        <v>0.24440000000000001</v>
      </c>
      <c r="BI246" s="151">
        <v>103.41</v>
      </c>
      <c r="BJ246" s="151" t="s">
        <v>1675</v>
      </c>
      <c r="BK246" s="151">
        <v>3.7</v>
      </c>
      <c r="BL246" s="151" t="s">
        <v>1675</v>
      </c>
      <c r="BM246" s="151">
        <v>1.56</v>
      </c>
      <c r="BN246" s="151" t="s">
        <v>1675</v>
      </c>
      <c r="BP246" s="155">
        <f t="shared" si="68"/>
        <v>70</v>
      </c>
      <c r="BQ246" s="156">
        <f t="shared" si="69"/>
        <v>103.41</v>
      </c>
      <c r="BS246" s="153">
        <v>70</v>
      </c>
      <c r="BT246" s="151" t="s">
        <v>593</v>
      </c>
      <c r="BU246" s="152">
        <v>1211</v>
      </c>
      <c r="BV246" s="152">
        <v>0.76900000000000002</v>
      </c>
      <c r="BW246" s="151">
        <v>46.58</v>
      </c>
      <c r="BX246" s="151" t="s">
        <v>1675</v>
      </c>
      <c r="BY246" s="151">
        <v>1.53</v>
      </c>
      <c r="BZ246" s="151" t="s">
        <v>1675</v>
      </c>
      <c r="CA246" s="151">
        <v>7974</v>
      </c>
      <c r="CB246" s="151" t="s">
        <v>1718</v>
      </c>
      <c r="CD246" s="155">
        <f t="shared" si="70"/>
        <v>70</v>
      </c>
      <c r="CE246" s="156">
        <f t="shared" si="71"/>
        <v>46.58</v>
      </c>
      <c r="CG246" s="153">
        <v>70</v>
      </c>
      <c r="CH246" s="151" t="s">
        <v>593</v>
      </c>
      <c r="CI246" s="152">
        <v>1549</v>
      </c>
      <c r="CJ246" s="152">
        <v>1.083</v>
      </c>
      <c r="CK246" s="151">
        <v>38.78</v>
      </c>
      <c r="CL246" s="151" t="s">
        <v>1675</v>
      </c>
      <c r="CM246" s="151">
        <v>1.24</v>
      </c>
      <c r="CN246" s="151" t="s">
        <v>1675</v>
      </c>
      <c r="CO246" s="151">
        <v>7354</v>
      </c>
      <c r="CP246" s="151" t="s">
        <v>1718</v>
      </c>
      <c r="CR246" s="155">
        <f t="shared" si="72"/>
        <v>70</v>
      </c>
      <c r="CS246" s="156">
        <f t="shared" si="73"/>
        <v>38.78</v>
      </c>
      <c r="CU246" s="151">
        <v>70</v>
      </c>
      <c r="CV246" s="152" t="s">
        <v>593</v>
      </c>
      <c r="CW246" s="152">
        <v>4652</v>
      </c>
      <c r="CX246" s="152">
        <v>6.3070000000000004</v>
      </c>
      <c r="CY246" s="151">
        <v>17.96</v>
      </c>
      <c r="CZ246" s="151" t="s">
        <v>1675</v>
      </c>
      <c r="DA246" s="151">
        <v>5667</v>
      </c>
      <c r="DB246" s="151" t="s">
        <v>1718</v>
      </c>
      <c r="DC246" s="151">
        <v>5322</v>
      </c>
      <c r="DD246" t="s">
        <v>1718</v>
      </c>
      <c r="DF246" s="155">
        <f t="shared" si="74"/>
        <v>70</v>
      </c>
      <c r="DG246" s="156">
        <f t="shared" si="75"/>
        <v>17.96</v>
      </c>
      <c r="DI246" s="151">
        <v>70</v>
      </c>
      <c r="DJ246" s="152" t="s">
        <v>593</v>
      </c>
      <c r="DK246" s="152">
        <v>4248</v>
      </c>
      <c r="DL246" s="152">
        <v>5.8440000000000003</v>
      </c>
      <c r="DM246" s="151">
        <v>19.04</v>
      </c>
      <c r="DN246" s="151" t="s">
        <v>1675</v>
      </c>
      <c r="DO246" s="151">
        <v>5955</v>
      </c>
      <c r="DP246" s="151" t="s">
        <v>1718</v>
      </c>
      <c r="DQ246" s="151">
        <v>5483</v>
      </c>
      <c r="DR246" t="s">
        <v>1718</v>
      </c>
      <c r="DT246" s="155">
        <f t="shared" si="76"/>
        <v>70</v>
      </c>
      <c r="DU246" s="156">
        <f t="shared" si="77"/>
        <v>19.04</v>
      </c>
    </row>
    <row r="247" spans="1:125" x14ac:dyDescent="0.2">
      <c r="A247" s="153">
        <v>80</v>
      </c>
      <c r="B247" s="151" t="s">
        <v>593</v>
      </c>
      <c r="C247" s="152">
        <v>1634</v>
      </c>
      <c r="D247" s="152">
        <v>1.1499999999999999</v>
      </c>
      <c r="E247" s="151">
        <v>40.450000000000003</v>
      </c>
      <c r="F247" s="151" t="s">
        <v>1675</v>
      </c>
      <c r="G247" s="151">
        <v>1.4</v>
      </c>
      <c r="H247" s="151" t="s">
        <v>1675</v>
      </c>
      <c r="I247" s="151">
        <v>7493</v>
      </c>
      <c r="J247" s="151" t="s">
        <v>1718</v>
      </c>
      <c r="L247" s="155">
        <f t="shared" si="60"/>
        <v>80</v>
      </c>
      <c r="M247" s="156">
        <f t="shared" si="61"/>
        <v>40.450000000000003</v>
      </c>
      <c r="O247" s="153">
        <v>80</v>
      </c>
      <c r="P247" s="151" t="s">
        <v>593</v>
      </c>
      <c r="Q247" s="152">
        <v>1347</v>
      </c>
      <c r="R247" s="152">
        <v>0.83260000000000001</v>
      </c>
      <c r="S247" s="151">
        <v>47.07</v>
      </c>
      <c r="T247" s="151" t="s">
        <v>1675</v>
      </c>
      <c r="U247" s="151">
        <v>1.65</v>
      </c>
      <c r="V247" s="151" t="s">
        <v>1675</v>
      </c>
      <c r="W247" s="151">
        <v>8071</v>
      </c>
      <c r="X247" s="151" t="s">
        <v>1718</v>
      </c>
      <c r="Z247" s="155">
        <f t="shared" si="62"/>
        <v>80</v>
      </c>
      <c r="AA247" s="156">
        <f t="shared" si="63"/>
        <v>47.07</v>
      </c>
      <c r="AC247" s="153">
        <v>80</v>
      </c>
      <c r="AD247" s="151" t="s">
        <v>593</v>
      </c>
      <c r="AE247" s="152">
        <v>18.82</v>
      </c>
      <c r="AF247" s="152">
        <v>9.3500000000000007E-3</v>
      </c>
      <c r="AG247" s="151">
        <v>2.4</v>
      </c>
      <c r="AH247" s="151" t="s">
        <v>1623</v>
      </c>
      <c r="AI247" s="151">
        <v>104.61</v>
      </c>
      <c r="AJ247" s="151" t="s">
        <v>1675</v>
      </c>
      <c r="AK247" s="151">
        <v>51.51</v>
      </c>
      <c r="AL247" s="151" t="s">
        <v>1675</v>
      </c>
      <c r="AN247" s="155">
        <f t="shared" si="64"/>
        <v>80</v>
      </c>
      <c r="AO247" s="156">
        <f t="shared" si="65"/>
        <v>2400</v>
      </c>
      <c r="AQ247" s="153">
        <v>80</v>
      </c>
      <c r="AR247" s="151" t="s">
        <v>593</v>
      </c>
      <c r="AS247" s="152">
        <v>1.6040000000000001</v>
      </c>
      <c r="AT247" s="152">
        <v>6.3730000000000004E-4</v>
      </c>
      <c r="AU247" s="151">
        <v>28.07</v>
      </c>
      <c r="AV247" s="151" t="s">
        <v>1623</v>
      </c>
      <c r="AW247" s="151">
        <v>1.26</v>
      </c>
      <c r="AX247" s="151" t="s">
        <v>1623</v>
      </c>
      <c r="AY247" s="151">
        <v>1.1000000000000001</v>
      </c>
      <c r="AZ247" s="151" t="s">
        <v>1623</v>
      </c>
      <c r="BB247" s="155">
        <f t="shared" si="66"/>
        <v>80</v>
      </c>
      <c r="BC247" s="156">
        <f t="shared" si="67"/>
        <v>28070</v>
      </c>
      <c r="BE247" s="153">
        <v>80</v>
      </c>
      <c r="BF247" s="151" t="s">
        <v>593</v>
      </c>
      <c r="BG247" s="152">
        <v>401.9</v>
      </c>
      <c r="BH247" s="152">
        <v>0.2172</v>
      </c>
      <c r="BI247" s="151">
        <v>127.07</v>
      </c>
      <c r="BJ247" s="151" t="s">
        <v>1675</v>
      </c>
      <c r="BK247" s="151">
        <v>5.01</v>
      </c>
      <c r="BL247" s="151" t="s">
        <v>1675</v>
      </c>
      <c r="BM247" s="151">
        <v>1.84</v>
      </c>
      <c r="BN247" s="151" t="s">
        <v>1675</v>
      </c>
      <c r="BP247" s="155">
        <f t="shared" si="68"/>
        <v>80</v>
      </c>
      <c r="BQ247" s="156">
        <f t="shared" si="69"/>
        <v>127.07</v>
      </c>
      <c r="BS247" s="153">
        <v>80</v>
      </c>
      <c r="BT247" s="151" t="s">
        <v>593</v>
      </c>
      <c r="BU247" s="152">
        <v>1131</v>
      </c>
      <c r="BV247" s="152">
        <v>0.68400000000000005</v>
      </c>
      <c r="BW247" s="151">
        <v>55.12</v>
      </c>
      <c r="BX247" s="151" t="s">
        <v>1675</v>
      </c>
      <c r="BY247" s="151">
        <v>1.96</v>
      </c>
      <c r="BZ247" s="151" t="s">
        <v>1675</v>
      </c>
      <c r="CA247" s="151">
        <v>8816</v>
      </c>
      <c r="CB247" s="151" t="s">
        <v>1718</v>
      </c>
      <c r="CD247" s="155">
        <f t="shared" si="70"/>
        <v>80</v>
      </c>
      <c r="CE247" s="156">
        <f t="shared" si="71"/>
        <v>55.12</v>
      </c>
      <c r="CG247" s="153">
        <v>80</v>
      </c>
      <c r="CH247" s="151" t="s">
        <v>593</v>
      </c>
      <c r="CI247" s="152">
        <v>1457</v>
      </c>
      <c r="CJ247" s="152">
        <v>0.96319999999999995</v>
      </c>
      <c r="CK247" s="151">
        <v>45.43</v>
      </c>
      <c r="CL247" s="151" t="s">
        <v>1675</v>
      </c>
      <c r="CM247" s="151">
        <v>1.56</v>
      </c>
      <c r="CN247" s="151" t="s">
        <v>1675</v>
      </c>
      <c r="CO247" s="151">
        <v>7953</v>
      </c>
      <c r="CP247" s="151" t="s">
        <v>1718</v>
      </c>
      <c r="CR247" s="155">
        <f t="shared" si="72"/>
        <v>80</v>
      </c>
      <c r="CS247" s="156">
        <f t="shared" si="73"/>
        <v>45.43</v>
      </c>
      <c r="CU247" s="151">
        <v>80</v>
      </c>
      <c r="CV247" s="152" t="s">
        <v>593</v>
      </c>
      <c r="CW247" s="152">
        <v>4615</v>
      </c>
      <c r="CX247" s="152">
        <v>5.6260000000000003</v>
      </c>
      <c r="CY247" s="151">
        <v>20.11</v>
      </c>
      <c r="CZ247" s="151" t="s">
        <v>1675</v>
      </c>
      <c r="DA247" s="151">
        <v>6467</v>
      </c>
      <c r="DB247" s="151" t="s">
        <v>1718</v>
      </c>
      <c r="DC247" s="151">
        <v>5503</v>
      </c>
      <c r="DD247" t="s">
        <v>1718</v>
      </c>
      <c r="DF247" s="155">
        <f t="shared" si="74"/>
        <v>80</v>
      </c>
      <c r="DG247" s="156">
        <f t="shared" si="75"/>
        <v>20.11</v>
      </c>
      <c r="DI247" s="151">
        <v>80</v>
      </c>
      <c r="DJ247" s="152" t="s">
        <v>593</v>
      </c>
      <c r="DK247" s="152">
        <v>4187</v>
      </c>
      <c r="DL247" s="152">
        <v>5.2130000000000001</v>
      </c>
      <c r="DM247" s="151">
        <v>21.41</v>
      </c>
      <c r="DN247" s="151" t="s">
        <v>1675</v>
      </c>
      <c r="DO247" s="151">
        <v>6866</v>
      </c>
      <c r="DP247" s="151" t="s">
        <v>1718</v>
      </c>
      <c r="DQ247" s="151">
        <v>5680</v>
      </c>
      <c r="DR247" t="s">
        <v>1718</v>
      </c>
      <c r="DT247" s="155">
        <f t="shared" si="76"/>
        <v>80</v>
      </c>
      <c r="DU247" s="156">
        <f t="shared" si="77"/>
        <v>21.41</v>
      </c>
    </row>
    <row r="248" spans="1:125" x14ac:dyDescent="0.2">
      <c r="A248" s="153">
        <v>90</v>
      </c>
      <c r="B248" s="151" t="s">
        <v>593</v>
      </c>
      <c r="C248" s="152">
        <v>1542</v>
      </c>
      <c r="D248" s="152">
        <v>1.038</v>
      </c>
      <c r="E248" s="151">
        <v>46.75</v>
      </c>
      <c r="F248" s="151" t="s">
        <v>1675</v>
      </c>
      <c r="G248" s="151">
        <v>1.67</v>
      </c>
      <c r="H248" s="151" t="s">
        <v>1675</v>
      </c>
      <c r="I248" s="151">
        <v>8054</v>
      </c>
      <c r="J248" s="151" t="s">
        <v>1718</v>
      </c>
      <c r="L248" s="155">
        <f t="shared" si="60"/>
        <v>90</v>
      </c>
      <c r="M248" s="156">
        <f t="shared" si="61"/>
        <v>46.75</v>
      </c>
      <c r="O248" s="153">
        <v>90</v>
      </c>
      <c r="P248" s="151" t="s">
        <v>593</v>
      </c>
      <c r="Q248" s="152">
        <v>1263</v>
      </c>
      <c r="R248" s="152">
        <v>0.75090000000000001</v>
      </c>
      <c r="S248" s="151">
        <v>54.73</v>
      </c>
      <c r="T248" s="151" t="s">
        <v>1675</v>
      </c>
      <c r="U248" s="151">
        <v>1.98</v>
      </c>
      <c r="V248" s="151" t="s">
        <v>1675</v>
      </c>
      <c r="W248" s="151">
        <v>8795</v>
      </c>
      <c r="X248" s="151" t="s">
        <v>1718</v>
      </c>
      <c r="Z248" s="155">
        <f t="shared" si="62"/>
        <v>90</v>
      </c>
      <c r="AA248" s="156">
        <f t="shared" si="63"/>
        <v>54.73</v>
      </c>
      <c r="AC248" s="153">
        <v>90</v>
      </c>
      <c r="AD248" s="151" t="s">
        <v>593</v>
      </c>
      <c r="AE248" s="152">
        <v>17.149999999999999</v>
      </c>
      <c r="AF248" s="152">
        <v>8.4060000000000003E-3</v>
      </c>
      <c r="AG248" s="151">
        <v>2.96</v>
      </c>
      <c r="AH248" s="151" t="s">
        <v>1623</v>
      </c>
      <c r="AI248" s="151">
        <v>131.66999999999999</v>
      </c>
      <c r="AJ248" s="151" t="s">
        <v>1675</v>
      </c>
      <c r="AK248" s="151">
        <v>62.96</v>
      </c>
      <c r="AL248" s="151" t="s">
        <v>1675</v>
      </c>
      <c r="AN248" s="155">
        <f t="shared" si="64"/>
        <v>90</v>
      </c>
      <c r="AO248" s="156">
        <f t="shared" si="65"/>
        <v>2960</v>
      </c>
      <c r="AQ248" s="153">
        <v>90</v>
      </c>
      <c r="AR248" s="151" t="s">
        <v>593</v>
      </c>
      <c r="AS248" s="152">
        <v>1.4690000000000001</v>
      </c>
      <c r="AT248" s="152">
        <v>5.7249999999999998E-4</v>
      </c>
      <c r="AU248" s="151">
        <v>34.56</v>
      </c>
      <c r="AV248" s="151" t="s">
        <v>1623</v>
      </c>
      <c r="AW248" s="151">
        <v>1.58</v>
      </c>
      <c r="AX248" s="151" t="s">
        <v>1623</v>
      </c>
      <c r="AY248" s="151">
        <v>1.34</v>
      </c>
      <c r="AZ248" s="151" t="s">
        <v>1623</v>
      </c>
      <c r="BB248" s="155">
        <f t="shared" si="66"/>
        <v>90</v>
      </c>
      <c r="BC248" s="156">
        <f t="shared" si="67"/>
        <v>34560</v>
      </c>
      <c r="BE248" s="153">
        <v>90</v>
      </c>
      <c r="BF248" s="151" t="s">
        <v>593</v>
      </c>
      <c r="BG248" s="152">
        <v>366.9</v>
      </c>
      <c r="BH248" s="152">
        <v>0.1956</v>
      </c>
      <c r="BI248" s="151">
        <v>153.1</v>
      </c>
      <c r="BJ248" s="151" t="s">
        <v>1675</v>
      </c>
      <c r="BK248" s="151">
        <v>6.24</v>
      </c>
      <c r="BL248" s="151" t="s">
        <v>1675</v>
      </c>
      <c r="BM248" s="151">
        <v>2.15</v>
      </c>
      <c r="BN248" s="151" t="s">
        <v>1675</v>
      </c>
      <c r="BP248" s="155">
        <f t="shared" si="68"/>
        <v>90</v>
      </c>
      <c r="BQ248" s="156">
        <f t="shared" si="69"/>
        <v>153.1</v>
      </c>
      <c r="BS248" s="153">
        <v>90</v>
      </c>
      <c r="BT248" s="151" t="s">
        <v>593</v>
      </c>
      <c r="BU248" s="152">
        <v>1059</v>
      </c>
      <c r="BV248" s="152">
        <v>0.61670000000000003</v>
      </c>
      <c r="BW248" s="151">
        <v>64.25</v>
      </c>
      <c r="BX248" s="151" t="s">
        <v>1675</v>
      </c>
      <c r="BY248" s="151">
        <v>2.35</v>
      </c>
      <c r="BZ248" s="151" t="s">
        <v>1675</v>
      </c>
      <c r="CA248" s="151">
        <v>9704</v>
      </c>
      <c r="CB248" s="151" t="s">
        <v>1718</v>
      </c>
      <c r="CD248" s="155">
        <f t="shared" si="70"/>
        <v>90</v>
      </c>
      <c r="CE248" s="156">
        <f t="shared" si="71"/>
        <v>64.25</v>
      </c>
      <c r="CG248" s="153">
        <v>90</v>
      </c>
      <c r="CH248" s="151" t="s">
        <v>593</v>
      </c>
      <c r="CI248" s="152">
        <v>1373</v>
      </c>
      <c r="CJ248" s="152">
        <v>0.86880000000000002</v>
      </c>
      <c r="CK248" s="151">
        <v>52.49</v>
      </c>
      <c r="CL248" s="151" t="s">
        <v>1675</v>
      </c>
      <c r="CM248" s="151">
        <v>1.86</v>
      </c>
      <c r="CN248" s="151" t="s">
        <v>1675</v>
      </c>
      <c r="CO248" s="151">
        <v>8580</v>
      </c>
      <c r="CP248" s="151" t="s">
        <v>1718</v>
      </c>
      <c r="CR248" s="155">
        <f t="shared" si="72"/>
        <v>90</v>
      </c>
      <c r="CS248" s="156">
        <f t="shared" si="73"/>
        <v>52.49</v>
      </c>
      <c r="CU248" s="151">
        <v>90</v>
      </c>
      <c r="CV248" s="152" t="s">
        <v>593</v>
      </c>
      <c r="CW248" s="152">
        <v>4528</v>
      </c>
      <c r="CX248" s="152">
        <v>5.085</v>
      </c>
      <c r="CY248" s="151">
        <v>22.3</v>
      </c>
      <c r="CZ248" s="151" t="s">
        <v>1675</v>
      </c>
      <c r="DA248" s="151">
        <v>7196</v>
      </c>
      <c r="DB248" s="151" t="s">
        <v>1718</v>
      </c>
      <c r="DC248" s="151">
        <v>5678</v>
      </c>
      <c r="DD248" t="s">
        <v>1718</v>
      </c>
      <c r="DF248" s="155">
        <f t="shared" si="74"/>
        <v>90</v>
      </c>
      <c r="DG248" s="156">
        <f t="shared" si="75"/>
        <v>22.3</v>
      </c>
      <c r="DI248" s="151">
        <v>90</v>
      </c>
      <c r="DJ248" s="152" t="s">
        <v>593</v>
      </c>
      <c r="DK248" s="152">
        <v>4104</v>
      </c>
      <c r="DL248" s="152">
        <v>4.7110000000000003</v>
      </c>
      <c r="DM248" s="151">
        <v>23.82</v>
      </c>
      <c r="DN248" s="151" t="s">
        <v>1675</v>
      </c>
      <c r="DO248" s="151">
        <v>7696</v>
      </c>
      <c r="DP248" s="151" t="s">
        <v>1718</v>
      </c>
      <c r="DQ248" s="151">
        <v>5871</v>
      </c>
      <c r="DR248" t="s">
        <v>1718</v>
      </c>
      <c r="DT248" s="155">
        <f t="shared" si="76"/>
        <v>90</v>
      </c>
      <c r="DU248" s="156">
        <f t="shared" si="77"/>
        <v>23.82</v>
      </c>
    </row>
    <row r="249" spans="1:125" x14ac:dyDescent="0.2">
      <c r="A249" s="153">
        <v>100</v>
      </c>
      <c r="B249" s="151" t="s">
        <v>593</v>
      </c>
      <c r="C249" s="152">
        <v>1459</v>
      </c>
      <c r="D249" s="152">
        <v>0.94620000000000004</v>
      </c>
      <c r="E249" s="151">
        <v>53.41</v>
      </c>
      <c r="F249" s="151" t="s">
        <v>1675</v>
      </c>
      <c r="G249" s="151">
        <v>1.92</v>
      </c>
      <c r="H249" s="151" t="s">
        <v>1675</v>
      </c>
      <c r="I249" s="151">
        <v>8645</v>
      </c>
      <c r="J249" s="151" t="s">
        <v>1718</v>
      </c>
      <c r="L249" s="155">
        <f t="shared" si="60"/>
        <v>100</v>
      </c>
      <c r="M249" s="156">
        <f t="shared" si="61"/>
        <v>53.41</v>
      </c>
      <c r="O249" s="153">
        <v>100</v>
      </c>
      <c r="P249" s="151" t="s">
        <v>593</v>
      </c>
      <c r="Q249" s="152">
        <v>1188</v>
      </c>
      <c r="R249" s="152">
        <v>0.6845</v>
      </c>
      <c r="S249" s="151">
        <v>62.89</v>
      </c>
      <c r="T249" s="151" t="s">
        <v>1675</v>
      </c>
      <c r="U249" s="151">
        <v>2.2999999999999998</v>
      </c>
      <c r="V249" s="151" t="s">
        <v>1675</v>
      </c>
      <c r="W249" s="151">
        <v>9561</v>
      </c>
      <c r="X249" s="151" t="s">
        <v>1718</v>
      </c>
      <c r="Z249" s="155">
        <f t="shared" si="62"/>
        <v>100</v>
      </c>
      <c r="AA249" s="156">
        <f t="shared" si="63"/>
        <v>62.89</v>
      </c>
      <c r="AC249" s="153">
        <v>100</v>
      </c>
      <c r="AD249" s="151" t="s">
        <v>593</v>
      </c>
      <c r="AE249" s="152">
        <v>15.78</v>
      </c>
      <c r="AF249" s="152">
        <v>7.6420000000000004E-3</v>
      </c>
      <c r="AG249" s="151">
        <v>3.56</v>
      </c>
      <c r="AH249" s="151" t="s">
        <v>1623</v>
      </c>
      <c r="AI249" s="151">
        <v>158.05000000000001</v>
      </c>
      <c r="AJ249" s="151" t="s">
        <v>1675</v>
      </c>
      <c r="AK249" s="151">
        <v>75.38</v>
      </c>
      <c r="AL249" s="151" t="s">
        <v>1675</v>
      </c>
      <c r="AN249" s="155">
        <f t="shared" si="64"/>
        <v>100</v>
      </c>
      <c r="AO249" s="156">
        <f t="shared" si="65"/>
        <v>3560</v>
      </c>
      <c r="AQ249" s="153">
        <v>100</v>
      </c>
      <c r="AR249" s="151" t="s">
        <v>593</v>
      </c>
      <c r="AS249" s="152">
        <v>1.359</v>
      </c>
      <c r="AT249" s="152">
        <v>5.2010000000000001E-4</v>
      </c>
      <c r="AU249" s="151">
        <v>41.62</v>
      </c>
      <c r="AV249" s="151" t="s">
        <v>1623</v>
      </c>
      <c r="AW249" s="151">
        <v>1.89</v>
      </c>
      <c r="AX249" s="151" t="s">
        <v>1623</v>
      </c>
      <c r="AY249" s="151">
        <v>1.6</v>
      </c>
      <c r="AZ249" s="151" t="s">
        <v>1623</v>
      </c>
      <c r="BB249" s="155">
        <f t="shared" si="66"/>
        <v>100</v>
      </c>
      <c r="BC249" s="156">
        <f t="shared" si="67"/>
        <v>41620</v>
      </c>
      <c r="BE249" s="153">
        <v>100</v>
      </c>
      <c r="BF249" s="151" t="s">
        <v>593</v>
      </c>
      <c r="BG249" s="152">
        <v>337.7</v>
      </c>
      <c r="BH249" s="152">
        <v>0.17810000000000001</v>
      </c>
      <c r="BI249" s="151">
        <v>181.5</v>
      </c>
      <c r="BJ249" s="151" t="s">
        <v>1675</v>
      </c>
      <c r="BK249" s="151">
        <v>7.45</v>
      </c>
      <c r="BL249" s="151" t="s">
        <v>1675</v>
      </c>
      <c r="BM249" s="151">
        <v>2.48</v>
      </c>
      <c r="BN249" s="151" t="s">
        <v>1675</v>
      </c>
      <c r="BP249" s="155">
        <f t="shared" si="68"/>
        <v>100</v>
      </c>
      <c r="BQ249" s="156">
        <f t="shared" si="69"/>
        <v>181.5</v>
      </c>
      <c r="BS249" s="153">
        <v>100</v>
      </c>
      <c r="BT249" s="151" t="s">
        <v>593</v>
      </c>
      <c r="BU249" s="152">
        <v>994.1</v>
      </c>
      <c r="BV249" s="152">
        <v>0.56210000000000004</v>
      </c>
      <c r="BW249" s="151">
        <v>73.989999999999995</v>
      </c>
      <c r="BX249" s="151" t="s">
        <v>1675</v>
      </c>
      <c r="BY249" s="151">
        <v>2.73</v>
      </c>
      <c r="BZ249" s="151" t="s">
        <v>1675</v>
      </c>
      <c r="CA249" s="151">
        <v>1.06</v>
      </c>
      <c r="CB249" s="151" t="s">
        <v>1675</v>
      </c>
      <c r="CD249" s="155">
        <f t="shared" si="70"/>
        <v>100</v>
      </c>
      <c r="CE249" s="156">
        <f t="shared" si="71"/>
        <v>73.989999999999995</v>
      </c>
      <c r="CG249" s="153">
        <v>100</v>
      </c>
      <c r="CH249" s="151" t="s">
        <v>593</v>
      </c>
      <c r="CI249" s="152">
        <v>1297</v>
      </c>
      <c r="CJ249" s="152">
        <v>0.79200000000000004</v>
      </c>
      <c r="CK249" s="151">
        <v>59.98</v>
      </c>
      <c r="CL249" s="151" t="s">
        <v>1675</v>
      </c>
      <c r="CM249" s="151">
        <v>2.15</v>
      </c>
      <c r="CN249" s="151" t="s">
        <v>1675</v>
      </c>
      <c r="CO249" s="151">
        <v>9239</v>
      </c>
      <c r="CP249" s="151" t="s">
        <v>1718</v>
      </c>
      <c r="CR249" s="155">
        <f t="shared" si="72"/>
        <v>100</v>
      </c>
      <c r="CS249" s="156">
        <f t="shared" si="73"/>
        <v>59.98</v>
      </c>
      <c r="CU249" s="151">
        <v>100</v>
      </c>
      <c r="CV249" s="152" t="s">
        <v>593</v>
      </c>
      <c r="CW249" s="152">
        <v>4419</v>
      </c>
      <c r="CX249" s="152">
        <v>4.6449999999999996</v>
      </c>
      <c r="CY249" s="151">
        <v>24.53</v>
      </c>
      <c r="CZ249" s="151" t="s">
        <v>1675</v>
      </c>
      <c r="DA249" s="151">
        <v>7885</v>
      </c>
      <c r="DB249" s="151" t="s">
        <v>1718</v>
      </c>
      <c r="DC249" s="151">
        <v>5849</v>
      </c>
      <c r="DD249" t="s">
        <v>1718</v>
      </c>
      <c r="DF249" s="155">
        <f t="shared" si="74"/>
        <v>100</v>
      </c>
      <c r="DG249" s="156">
        <f t="shared" si="75"/>
        <v>24.53</v>
      </c>
      <c r="DI249" s="151">
        <v>100</v>
      </c>
      <c r="DJ249" s="152" t="s">
        <v>593</v>
      </c>
      <c r="DK249" s="152">
        <v>3990</v>
      </c>
      <c r="DL249" s="152">
        <v>4.3029999999999999</v>
      </c>
      <c r="DM249" s="151">
        <v>26.29</v>
      </c>
      <c r="DN249" s="151" t="s">
        <v>1675</v>
      </c>
      <c r="DO249" s="151">
        <v>8479</v>
      </c>
      <c r="DP249" s="151" t="s">
        <v>1718</v>
      </c>
      <c r="DQ249" s="151">
        <v>6059</v>
      </c>
      <c r="DR249" t="s">
        <v>1718</v>
      </c>
      <c r="DT249" s="155">
        <f t="shared" si="76"/>
        <v>100</v>
      </c>
      <c r="DU249" s="156">
        <f t="shared" si="77"/>
        <v>26.29</v>
      </c>
    </row>
    <row r="250" spans="1:125" x14ac:dyDescent="0.2">
      <c r="A250" s="263">
        <v>110</v>
      </c>
      <c r="B250" s="202" t="s">
        <v>593</v>
      </c>
      <c r="C250" s="203">
        <v>1385</v>
      </c>
      <c r="D250" s="203">
        <v>0.87029999999999996</v>
      </c>
      <c r="E250" s="202">
        <v>60.44</v>
      </c>
      <c r="F250" s="202" t="s">
        <v>1675</v>
      </c>
      <c r="G250" s="202">
        <v>2.17</v>
      </c>
      <c r="H250" s="202" t="s">
        <v>1675</v>
      </c>
      <c r="I250" s="202">
        <v>9267</v>
      </c>
      <c r="J250" s="202" t="s">
        <v>1718</v>
      </c>
      <c r="L250" s="155">
        <f t="shared" si="60"/>
        <v>110</v>
      </c>
      <c r="M250" s="155">
        <f t="shared" si="61"/>
        <v>60.44</v>
      </c>
      <c r="O250" s="263">
        <v>110</v>
      </c>
      <c r="P250" s="202" t="s">
        <v>593</v>
      </c>
      <c r="Q250" s="203">
        <v>1120</v>
      </c>
      <c r="R250" s="203">
        <v>0.62939999999999996</v>
      </c>
      <c r="S250" s="202">
        <v>71.56</v>
      </c>
      <c r="T250" s="202" t="s">
        <v>1675</v>
      </c>
      <c r="U250" s="202">
        <v>2.61</v>
      </c>
      <c r="V250" s="202" t="s">
        <v>1675</v>
      </c>
      <c r="W250" s="202">
        <v>1.04</v>
      </c>
      <c r="X250" s="202" t="s">
        <v>1675</v>
      </c>
      <c r="Z250" s="155">
        <f t="shared" si="62"/>
        <v>110</v>
      </c>
      <c r="AA250" s="155">
        <f t="shared" si="63"/>
        <v>71.56</v>
      </c>
      <c r="AC250" s="263">
        <v>110</v>
      </c>
      <c r="AD250" s="202" t="s">
        <v>593</v>
      </c>
      <c r="AE250" s="203">
        <v>14.64</v>
      </c>
      <c r="AF250" s="203">
        <v>7.0099999999999997E-3</v>
      </c>
      <c r="AG250" s="202">
        <v>4.22</v>
      </c>
      <c r="AH250" s="202" t="s">
        <v>1623</v>
      </c>
      <c r="AI250" s="202">
        <v>184.28</v>
      </c>
      <c r="AJ250" s="202" t="s">
        <v>1675</v>
      </c>
      <c r="AK250" s="202">
        <v>88.74</v>
      </c>
      <c r="AL250" s="202" t="s">
        <v>1675</v>
      </c>
      <c r="AN250" s="155">
        <f t="shared" si="64"/>
        <v>110</v>
      </c>
      <c r="AO250" s="155">
        <f t="shared" si="65"/>
        <v>4220</v>
      </c>
      <c r="AQ250" s="263">
        <v>110</v>
      </c>
      <c r="AR250" s="202" t="s">
        <v>593</v>
      </c>
      <c r="AS250" s="203">
        <v>1.2689999999999999</v>
      </c>
      <c r="AT250" s="203">
        <v>4.7679999999999999E-4</v>
      </c>
      <c r="AU250" s="202">
        <v>49.21</v>
      </c>
      <c r="AV250" s="202" t="s">
        <v>1623</v>
      </c>
      <c r="AW250" s="202">
        <v>2.2000000000000002</v>
      </c>
      <c r="AX250" s="202" t="s">
        <v>1623</v>
      </c>
      <c r="AY250" s="202">
        <v>1.88</v>
      </c>
      <c r="AZ250" s="202" t="s">
        <v>1623</v>
      </c>
      <c r="BB250" s="155">
        <f t="shared" si="66"/>
        <v>110</v>
      </c>
      <c r="BC250" s="155">
        <f t="shared" si="67"/>
        <v>49210</v>
      </c>
      <c r="BE250" s="263">
        <v>110</v>
      </c>
      <c r="BF250" s="202" t="s">
        <v>593</v>
      </c>
      <c r="BG250" s="203">
        <v>312.89999999999998</v>
      </c>
      <c r="BH250" s="203">
        <v>0.1636</v>
      </c>
      <c r="BI250" s="202">
        <v>212.25</v>
      </c>
      <c r="BJ250" s="202" t="s">
        <v>1675</v>
      </c>
      <c r="BK250" s="202">
        <v>8.65</v>
      </c>
      <c r="BL250" s="202" t="s">
        <v>1675</v>
      </c>
      <c r="BM250" s="202">
        <v>2.84</v>
      </c>
      <c r="BN250" s="202" t="s">
        <v>1675</v>
      </c>
      <c r="BP250" s="155">
        <f t="shared" si="68"/>
        <v>110</v>
      </c>
      <c r="BQ250" s="155">
        <f t="shared" si="69"/>
        <v>212.25</v>
      </c>
      <c r="BS250" s="263">
        <v>110</v>
      </c>
      <c r="BT250" s="202" t="s">
        <v>593</v>
      </c>
      <c r="BU250" s="203">
        <v>935.2</v>
      </c>
      <c r="BV250" s="203">
        <v>0.51670000000000005</v>
      </c>
      <c r="BW250" s="202">
        <v>84.36</v>
      </c>
      <c r="BX250" s="202" t="s">
        <v>1675</v>
      </c>
      <c r="BY250" s="202">
        <v>3.11</v>
      </c>
      <c r="BZ250" s="202" t="s">
        <v>1675</v>
      </c>
      <c r="CA250" s="202">
        <v>1.1599999999999999</v>
      </c>
      <c r="CB250" s="202" t="s">
        <v>1675</v>
      </c>
      <c r="CD250" s="155">
        <f t="shared" si="70"/>
        <v>110</v>
      </c>
      <c r="CE250" s="155">
        <f t="shared" si="71"/>
        <v>84.36</v>
      </c>
      <c r="CG250" s="263">
        <v>110</v>
      </c>
      <c r="CH250" s="202" t="s">
        <v>593</v>
      </c>
      <c r="CI250" s="203">
        <v>1229</v>
      </c>
      <c r="CJ250" s="203">
        <v>0.72829999999999995</v>
      </c>
      <c r="CK250" s="202">
        <v>67.900000000000006</v>
      </c>
      <c r="CL250" s="202" t="s">
        <v>1675</v>
      </c>
      <c r="CM250" s="202">
        <v>2.4300000000000002</v>
      </c>
      <c r="CN250" s="202" t="s">
        <v>1675</v>
      </c>
      <c r="CO250" s="202">
        <v>9931</v>
      </c>
      <c r="CP250" s="202" t="s">
        <v>1718</v>
      </c>
      <c r="CR250" s="155">
        <f t="shared" si="72"/>
        <v>110</v>
      </c>
      <c r="CS250" s="155">
        <f t="shared" si="73"/>
        <v>67.900000000000006</v>
      </c>
      <c r="CU250" s="202">
        <v>110</v>
      </c>
      <c r="CV250" s="203" t="s">
        <v>593</v>
      </c>
      <c r="CW250" s="203">
        <v>4323</v>
      </c>
      <c r="CX250" s="203">
        <v>4.2789999999999999</v>
      </c>
      <c r="CY250" s="202">
        <v>26.82</v>
      </c>
      <c r="CZ250" s="202" t="s">
        <v>1675</v>
      </c>
      <c r="DA250" s="202">
        <v>8547</v>
      </c>
      <c r="DB250" s="202" t="s">
        <v>1718</v>
      </c>
      <c r="DC250" s="202">
        <v>6019</v>
      </c>
      <c r="DD250" t="s">
        <v>1718</v>
      </c>
      <c r="DF250" s="155">
        <f t="shared" si="74"/>
        <v>110</v>
      </c>
      <c r="DG250" s="156">
        <f t="shared" si="75"/>
        <v>26.82</v>
      </c>
      <c r="DI250" s="202">
        <v>110</v>
      </c>
      <c r="DJ250" s="203" t="s">
        <v>593</v>
      </c>
      <c r="DK250" s="203">
        <v>3898</v>
      </c>
      <c r="DL250" s="203">
        <v>3.9630000000000001</v>
      </c>
      <c r="DM250" s="202">
        <v>28.82</v>
      </c>
      <c r="DN250" s="202" t="s">
        <v>1675</v>
      </c>
      <c r="DO250" s="202">
        <v>9232</v>
      </c>
      <c r="DP250" s="202" t="s">
        <v>1718</v>
      </c>
      <c r="DQ250" s="202">
        <v>6247</v>
      </c>
      <c r="DR250" t="s">
        <v>1718</v>
      </c>
      <c r="DT250" s="155">
        <f t="shared" si="76"/>
        <v>110</v>
      </c>
      <c r="DU250" s="156">
        <f t="shared" si="77"/>
        <v>28.82</v>
      </c>
    </row>
    <row r="251" spans="1:125" x14ac:dyDescent="0.2">
      <c r="A251" s="151">
        <v>120</v>
      </c>
      <c r="B251" s="202" t="s">
        <v>593</v>
      </c>
      <c r="C251" s="203">
        <v>1318</v>
      </c>
      <c r="D251" s="203">
        <v>0.80620000000000003</v>
      </c>
      <c r="E251" s="202">
        <v>67.84</v>
      </c>
      <c r="F251" s="202" t="s">
        <v>1675</v>
      </c>
      <c r="G251" s="202">
        <v>2.41</v>
      </c>
      <c r="H251" s="202" t="s">
        <v>1675</v>
      </c>
      <c r="I251" s="202">
        <v>9919</v>
      </c>
      <c r="J251" s="202" t="s">
        <v>1718</v>
      </c>
      <c r="K251" s="204"/>
      <c r="L251" s="155">
        <f t="shared" si="60"/>
        <v>120</v>
      </c>
      <c r="M251" s="155">
        <f t="shared" si="61"/>
        <v>67.84</v>
      </c>
      <c r="O251" s="151">
        <v>120</v>
      </c>
      <c r="P251" s="202" t="s">
        <v>593</v>
      </c>
      <c r="Q251" s="203">
        <v>1060</v>
      </c>
      <c r="R251" s="203">
        <v>0.58289999999999997</v>
      </c>
      <c r="S251" s="202">
        <v>80.73</v>
      </c>
      <c r="T251" s="202" t="s">
        <v>1675</v>
      </c>
      <c r="U251" s="202">
        <v>2.93</v>
      </c>
      <c r="V251" s="202" t="s">
        <v>1675</v>
      </c>
      <c r="W251" s="202">
        <v>1.1200000000000001</v>
      </c>
      <c r="X251" s="202" t="s">
        <v>1675</v>
      </c>
      <c r="Y251" s="204"/>
      <c r="Z251" s="155">
        <f t="shared" si="62"/>
        <v>120</v>
      </c>
      <c r="AA251" s="155">
        <f t="shared" si="63"/>
        <v>80.73</v>
      </c>
      <c r="AC251" s="151">
        <v>120</v>
      </c>
      <c r="AD251" s="202" t="s">
        <v>593</v>
      </c>
      <c r="AE251" s="203">
        <v>13.67</v>
      </c>
      <c r="AF251" s="203">
        <v>6.4790000000000004E-3</v>
      </c>
      <c r="AG251" s="202">
        <v>4.93</v>
      </c>
      <c r="AH251" s="202" t="s">
        <v>1623</v>
      </c>
      <c r="AI251" s="202">
        <v>210.6</v>
      </c>
      <c r="AJ251" s="202" t="s">
        <v>1675</v>
      </c>
      <c r="AK251" s="202">
        <v>103.02</v>
      </c>
      <c r="AL251" s="202" t="s">
        <v>1675</v>
      </c>
      <c r="AM251" s="204"/>
      <c r="AN251" s="155">
        <f t="shared" si="64"/>
        <v>120</v>
      </c>
      <c r="AO251" s="155">
        <f t="shared" si="65"/>
        <v>4930</v>
      </c>
      <c r="AQ251" s="151">
        <v>120</v>
      </c>
      <c r="AR251" s="202" t="s">
        <v>593</v>
      </c>
      <c r="AS251" s="203">
        <v>1.1919999999999999</v>
      </c>
      <c r="AT251" s="203">
        <v>4.4040000000000003E-4</v>
      </c>
      <c r="AU251" s="202">
        <v>57.32</v>
      </c>
      <c r="AV251" s="202" t="s">
        <v>1623</v>
      </c>
      <c r="AW251" s="202">
        <v>2.5</v>
      </c>
      <c r="AX251" s="202" t="s">
        <v>1623</v>
      </c>
      <c r="AY251" s="202">
        <v>2.1800000000000002</v>
      </c>
      <c r="AZ251" s="202" t="s">
        <v>1623</v>
      </c>
      <c r="BA251" s="204"/>
      <c r="BB251" s="155">
        <f t="shared" si="66"/>
        <v>120</v>
      </c>
      <c r="BC251" s="155">
        <f t="shared" si="67"/>
        <v>57320</v>
      </c>
      <c r="BE251" s="151">
        <v>120</v>
      </c>
      <c r="BF251" s="202" t="s">
        <v>593</v>
      </c>
      <c r="BG251" s="203">
        <v>291.8</v>
      </c>
      <c r="BH251" s="203">
        <v>0.15140000000000001</v>
      </c>
      <c r="BI251" s="202">
        <v>245.33</v>
      </c>
      <c r="BJ251" s="202" t="s">
        <v>1675</v>
      </c>
      <c r="BK251" s="202">
        <v>9.86</v>
      </c>
      <c r="BL251" s="202" t="s">
        <v>1675</v>
      </c>
      <c r="BM251" s="202">
        <v>3.22</v>
      </c>
      <c r="BN251" s="202" t="s">
        <v>1675</v>
      </c>
      <c r="BO251" s="204"/>
      <c r="BP251" s="155">
        <f t="shared" si="68"/>
        <v>120</v>
      </c>
      <c r="BQ251" s="155">
        <f t="shared" si="69"/>
        <v>245.33</v>
      </c>
      <c r="BS251" s="151">
        <v>120</v>
      </c>
      <c r="BT251" s="202" t="s">
        <v>593</v>
      </c>
      <c r="BU251" s="203">
        <v>881.9</v>
      </c>
      <c r="BV251" s="203">
        <v>0.47849999999999998</v>
      </c>
      <c r="BW251" s="202">
        <v>95.37</v>
      </c>
      <c r="BX251" s="202" t="s">
        <v>1675</v>
      </c>
      <c r="BY251" s="202">
        <v>3.49</v>
      </c>
      <c r="BZ251" s="202" t="s">
        <v>1675</v>
      </c>
      <c r="CA251" s="202">
        <v>1.27</v>
      </c>
      <c r="CB251" s="202" t="s">
        <v>1675</v>
      </c>
      <c r="CC251" s="204"/>
      <c r="CD251" s="155">
        <f t="shared" si="70"/>
        <v>120</v>
      </c>
      <c r="CE251" s="155">
        <f t="shared" si="71"/>
        <v>95.37</v>
      </c>
      <c r="CG251" s="151">
        <v>120</v>
      </c>
      <c r="CH251" s="202" t="s">
        <v>593</v>
      </c>
      <c r="CI251" s="203">
        <v>1167</v>
      </c>
      <c r="CJ251" s="203">
        <v>0.67459999999999998</v>
      </c>
      <c r="CK251" s="202">
        <v>76.239999999999995</v>
      </c>
      <c r="CL251" s="202" t="s">
        <v>1675</v>
      </c>
      <c r="CM251" s="202">
        <v>2.71</v>
      </c>
      <c r="CN251" s="202" t="s">
        <v>1675</v>
      </c>
      <c r="CO251" s="202">
        <v>1.07</v>
      </c>
      <c r="CP251" s="202" t="s">
        <v>1675</v>
      </c>
      <c r="CQ251" s="204"/>
      <c r="CR251" s="155">
        <f t="shared" si="72"/>
        <v>120</v>
      </c>
      <c r="CS251" s="155">
        <f t="shared" si="73"/>
        <v>76.239999999999995</v>
      </c>
      <c r="CU251" s="202">
        <v>120</v>
      </c>
      <c r="CV251" s="203" t="s">
        <v>593</v>
      </c>
      <c r="CW251" s="203">
        <v>4224</v>
      </c>
      <c r="CX251" s="203">
        <v>3.9689999999999999</v>
      </c>
      <c r="CY251" s="202">
        <v>29.15</v>
      </c>
      <c r="CZ251" s="202" t="s">
        <v>1675</v>
      </c>
      <c r="DA251" s="202">
        <v>9189</v>
      </c>
      <c r="DB251" s="202" t="s">
        <v>1718</v>
      </c>
      <c r="DC251" s="202">
        <v>6188</v>
      </c>
      <c r="DD251" s="204" t="s">
        <v>1718</v>
      </c>
      <c r="DE251" s="204"/>
      <c r="DF251" s="155">
        <f t="shared" si="74"/>
        <v>120</v>
      </c>
      <c r="DG251" s="156">
        <f t="shared" si="75"/>
        <v>29.15</v>
      </c>
      <c r="DI251" s="202">
        <v>120</v>
      </c>
      <c r="DJ251" s="203" t="s">
        <v>593</v>
      </c>
      <c r="DK251" s="203">
        <v>3807</v>
      </c>
      <c r="DL251" s="203">
        <v>3.6760000000000002</v>
      </c>
      <c r="DM251" s="202">
        <v>31.41</v>
      </c>
      <c r="DN251" s="202" t="s">
        <v>1675</v>
      </c>
      <c r="DO251" s="202">
        <v>9961</v>
      </c>
      <c r="DP251" s="202" t="s">
        <v>1718</v>
      </c>
      <c r="DQ251" s="202">
        <v>6435</v>
      </c>
      <c r="DR251" s="204" t="s">
        <v>1718</v>
      </c>
      <c r="DS251" s="204"/>
      <c r="DT251" s="155">
        <f t="shared" si="76"/>
        <v>120</v>
      </c>
      <c r="DU251" s="156">
        <f t="shared" si="77"/>
        <v>31.41</v>
      </c>
    </row>
    <row r="252" spans="1:125" x14ac:dyDescent="0.2">
      <c r="A252" s="151">
        <v>130</v>
      </c>
      <c r="B252" s="202" t="s">
        <v>593</v>
      </c>
      <c r="C252" s="203">
        <v>1257</v>
      </c>
      <c r="D252" s="203">
        <v>0.75129999999999997</v>
      </c>
      <c r="E252" s="202">
        <v>75.599999999999994</v>
      </c>
      <c r="F252" s="202" t="s">
        <v>1675</v>
      </c>
      <c r="G252" s="202">
        <v>2.66</v>
      </c>
      <c r="H252" s="202" t="s">
        <v>1675</v>
      </c>
      <c r="I252" s="202">
        <v>1.06</v>
      </c>
      <c r="J252" s="202" t="s">
        <v>1675</v>
      </c>
      <c r="K252" s="204"/>
      <c r="L252" s="155">
        <f t="shared" si="60"/>
        <v>130</v>
      </c>
      <c r="M252" s="155">
        <f t="shared" si="61"/>
        <v>75.599999999999994</v>
      </c>
      <c r="O252" s="151">
        <v>130</v>
      </c>
      <c r="P252" s="202" t="s">
        <v>593</v>
      </c>
      <c r="Q252" s="203">
        <v>1006</v>
      </c>
      <c r="R252" s="203">
        <v>0.54310000000000003</v>
      </c>
      <c r="S252" s="202">
        <v>90.41</v>
      </c>
      <c r="T252" s="202" t="s">
        <v>1675</v>
      </c>
      <c r="U252" s="202">
        <v>3.24</v>
      </c>
      <c r="V252" s="202" t="s">
        <v>1675</v>
      </c>
      <c r="W252" s="202">
        <v>1.21</v>
      </c>
      <c r="X252" s="202" t="s">
        <v>1675</v>
      </c>
      <c r="Y252" s="204"/>
      <c r="Z252" s="155">
        <f t="shared" si="62"/>
        <v>130</v>
      </c>
      <c r="AA252" s="155">
        <f t="shared" si="63"/>
        <v>90.41</v>
      </c>
      <c r="AC252" s="151">
        <v>130</v>
      </c>
      <c r="AD252" s="202" t="s">
        <v>593</v>
      </c>
      <c r="AE252" s="203">
        <v>12.84</v>
      </c>
      <c r="AF252" s="203">
        <v>6.025E-3</v>
      </c>
      <c r="AG252" s="202">
        <v>5.68</v>
      </c>
      <c r="AH252" s="202" t="s">
        <v>1623</v>
      </c>
      <c r="AI252" s="202">
        <v>237.16</v>
      </c>
      <c r="AJ252" s="202" t="s">
        <v>1675</v>
      </c>
      <c r="AK252" s="202">
        <v>118.21</v>
      </c>
      <c r="AL252" s="202" t="s">
        <v>1675</v>
      </c>
      <c r="AM252" s="204"/>
      <c r="AN252" s="155">
        <f t="shared" si="64"/>
        <v>130</v>
      </c>
      <c r="AO252" s="155">
        <f t="shared" si="65"/>
        <v>5680</v>
      </c>
      <c r="AQ252" s="151">
        <v>130</v>
      </c>
      <c r="AR252" s="202" t="s">
        <v>593</v>
      </c>
      <c r="AS252" s="203">
        <v>1.1259999999999999</v>
      </c>
      <c r="AT252" s="203">
        <v>4.0929999999999997E-4</v>
      </c>
      <c r="AU252" s="202">
        <v>65.930000000000007</v>
      </c>
      <c r="AV252" s="202" t="s">
        <v>1623</v>
      </c>
      <c r="AW252" s="202">
        <v>2.81</v>
      </c>
      <c r="AX252" s="202" t="s">
        <v>1623</v>
      </c>
      <c r="AY252" s="202">
        <v>2.4900000000000002</v>
      </c>
      <c r="AZ252" s="202" t="s">
        <v>1623</v>
      </c>
      <c r="BA252" s="204"/>
      <c r="BB252" s="155">
        <f t="shared" si="66"/>
        <v>130</v>
      </c>
      <c r="BC252" s="155">
        <f t="shared" si="67"/>
        <v>65930</v>
      </c>
      <c r="BE252" s="151">
        <v>130</v>
      </c>
      <c r="BF252" s="202" t="s">
        <v>593</v>
      </c>
      <c r="BG252" s="203">
        <v>273.5</v>
      </c>
      <c r="BH252" s="203">
        <v>0.14099999999999999</v>
      </c>
      <c r="BI252" s="202">
        <v>280.70999999999998</v>
      </c>
      <c r="BJ252" s="202" t="s">
        <v>1675</v>
      </c>
      <c r="BK252" s="202">
        <v>11.09</v>
      </c>
      <c r="BL252" s="202" t="s">
        <v>1675</v>
      </c>
      <c r="BM252" s="202">
        <v>3.63</v>
      </c>
      <c r="BN252" s="202" t="s">
        <v>1675</v>
      </c>
      <c r="BO252" s="204"/>
      <c r="BP252" s="155">
        <f t="shared" si="68"/>
        <v>130</v>
      </c>
      <c r="BQ252" s="155">
        <f t="shared" si="69"/>
        <v>280.70999999999998</v>
      </c>
      <c r="BS252" s="151">
        <v>130</v>
      </c>
      <c r="BT252" s="202" t="s">
        <v>593</v>
      </c>
      <c r="BU252" s="203">
        <v>833.7</v>
      </c>
      <c r="BV252" s="203">
        <v>0.44579999999999997</v>
      </c>
      <c r="BW252" s="202">
        <v>107.02</v>
      </c>
      <c r="BX252" s="202" t="s">
        <v>1675</v>
      </c>
      <c r="BY252" s="202">
        <v>3.87</v>
      </c>
      <c r="BZ252" s="202" t="s">
        <v>1675</v>
      </c>
      <c r="CA252" s="202">
        <v>1.38</v>
      </c>
      <c r="CB252" s="202" t="s">
        <v>1675</v>
      </c>
      <c r="CC252" s="204"/>
      <c r="CD252" s="155">
        <f t="shared" si="70"/>
        <v>130</v>
      </c>
      <c r="CE252" s="155">
        <f t="shared" si="71"/>
        <v>107.02</v>
      </c>
      <c r="CG252" s="151">
        <v>130</v>
      </c>
      <c r="CH252" s="202" t="s">
        <v>593</v>
      </c>
      <c r="CI252" s="203">
        <v>1111</v>
      </c>
      <c r="CJ252" s="203">
        <v>0.62860000000000005</v>
      </c>
      <c r="CK252" s="202">
        <v>85.02</v>
      </c>
      <c r="CL252" s="202" t="s">
        <v>1675</v>
      </c>
      <c r="CM252" s="202">
        <v>2.98</v>
      </c>
      <c r="CN252" s="202" t="s">
        <v>1675</v>
      </c>
      <c r="CO252" s="202">
        <v>1.1399999999999999</v>
      </c>
      <c r="CP252" s="202" t="s">
        <v>1675</v>
      </c>
      <c r="CQ252" s="204"/>
      <c r="CR252" s="155">
        <f t="shared" si="72"/>
        <v>130</v>
      </c>
      <c r="CS252" s="155">
        <f t="shared" si="73"/>
        <v>85.02</v>
      </c>
      <c r="CU252" s="202">
        <v>130</v>
      </c>
      <c r="CV252" s="203" t="s">
        <v>593</v>
      </c>
      <c r="CW252" s="203">
        <v>4125</v>
      </c>
      <c r="CX252" s="203">
        <v>3.7029999999999998</v>
      </c>
      <c r="CY252" s="202">
        <v>31.55</v>
      </c>
      <c r="CZ252" s="202" t="s">
        <v>1675</v>
      </c>
      <c r="DA252" s="202">
        <v>9816</v>
      </c>
      <c r="DB252" s="202" t="s">
        <v>1718</v>
      </c>
      <c r="DC252" s="202">
        <v>6357</v>
      </c>
      <c r="DD252" s="204" t="s">
        <v>1718</v>
      </c>
      <c r="DE252" s="204"/>
      <c r="DF252" s="155">
        <f t="shared" si="74"/>
        <v>130</v>
      </c>
      <c r="DG252" s="156">
        <f t="shared" si="75"/>
        <v>31.55</v>
      </c>
      <c r="DI252" s="202">
        <v>130</v>
      </c>
      <c r="DJ252" s="203" t="s">
        <v>593</v>
      </c>
      <c r="DK252" s="203">
        <v>3720</v>
      </c>
      <c r="DL252" s="203">
        <v>3.43</v>
      </c>
      <c r="DM252" s="202">
        <v>34.07</v>
      </c>
      <c r="DN252" s="202" t="s">
        <v>1675</v>
      </c>
      <c r="DO252" s="202">
        <v>1.07</v>
      </c>
      <c r="DP252" s="202" t="s">
        <v>1675</v>
      </c>
      <c r="DQ252" s="202">
        <v>6624</v>
      </c>
      <c r="DR252" s="204" t="s">
        <v>1718</v>
      </c>
      <c r="DS252" s="204"/>
      <c r="DT252" s="155">
        <f t="shared" si="76"/>
        <v>130</v>
      </c>
      <c r="DU252" s="156">
        <f t="shared" si="77"/>
        <v>34.07</v>
      </c>
    </row>
    <row r="253" spans="1:125" x14ac:dyDescent="0.2">
      <c r="A253" s="151">
        <v>140</v>
      </c>
      <c r="B253" s="202" t="s">
        <v>593</v>
      </c>
      <c r="C253" s="203">
        <v>1201</v>
      </c>
      <c r="D253" s="203">
        <v>0.70379999999999998</v>
      </c>
      <c r="E253" s="202">
        <v>83.74</v>
      </c>
      <c r="F253" s="202" t="s">
        <v>1675</v>
      </c>
      <c r="G253" s="202">
        <v>2.9</v>
      </c>
      <c r="H253" s="202" t="s">
        <v>1675</v>
      </c>
      <c r="I253" s="202">
        <v>1.1299999999999999</v>
      </c>
      <c r="J253" s="202" t="s">
        <v>1675</v>
      </c>
      <c r="K253" s="204"/>
      <c r="L253" s="155">
        <f t="shared" si="60"/>
        <v>140</v>
      </c>
      <c r="M253" s="155">
        <f t="shared" si="61"/>
        <v>83.74</v>
      </c>
      <c r="O253" s="151">
        <v>140</v>
      </c>
      <c r="P253" s="202" t="s">
        <v>593</v>
      </c>
      <c r="Q253" s="203">
        <v>956.3</v>
      </c>
      <c r="R253" s="203">
        <v>0.50870000000000004</v>
      </c>
      <c r="S253" s="202">
        <v>100.6</v>
      </c>
      <c r="T253" s="202" t="s">
        <v>1675</v>
      </c>
      <c r="U253" s="202">
        <v>3.55</v>
      </c>
      <c r="V253" s="202" t="s">
        <v>1675</v>
      </c>
      <c r="W253" s="202">
        <v>1.31</v>
      </c>
      <c r="X253" s="202" t="s">
        <v>1675</v>
      </c>
      <c r="Y253" s="204"/>
      <c r="Z253" s="155">
        <f t="shared" si="62"/>
        <v>140</v>
      </c>
      <c r="AA253" s="155">
        <f t="shared" si="63"/>
        <v>100.6</v>
      </c>
      <c r="AC253" s="151">
        <v>140</v>
      </c>
      <c r="AD253" s="202" t="s">
        <v>593</v>
      </c>
      <c r="AE253" s="203">
        <v>12.11</v>
      </c>
      <c r="AF253" s="203">
        <v>5.6340000000000001E-3</v>
      </c>
      <c r="AG253" s="202">
        <v>6.48</v>
      </c>
      <c r="AH253" s="202" t="s">
        <v>1623</v>
      </c>
      <c r="AI253" s="202">
        <v>264.02</v>
      </c>
      <c r="AJ253" s="202" t="s">
        <v>1675</v>
      </c>
      <c r="AK253" s="202">
        <v>134.27000000000001</v>
      </c>
      <c r="AL253" s="202" t="s">
        <v>1675</v>
      </c>
      <c r="AM253" s="204"/>
      <c r="AN253" s="155">
        <f t="shared" si="64"/>
        <v>140</v>
      </c>
      <c r="AO253" s="155">
        <f t="shared" si="65"/>
        <v>6480</v>
      </c>
      <c r="AQ253" s="151">
        <v>140</v>
      </c>
      <c r="AR253" s="202" t="s">
        <v>593</v>
      </c>
      <c r="AS253" s="203">
        <v>1.07</v>
      </c>
      <c r="AT253" s="203">
        <v>3.8249999999999997E-4</v>
      </c>
      <c r="AU253" s="202">
        <v>75.010000000000005</v>
      </c>
      <c r="AV253" s="202" t="s">
        <v>1623</v>
      </c>
      <c r="AW253" s="202">
        <v>3.12</v>
      </c>
      <c r="AX253" s="202" t="s">
        <v>1623</v>
      </c>
      <c r="AY253" s="202">
        <v>2.82</v>
      </c>
      <c r="AZ253" s="202" t="s">
        <v>1623</v>
      </c>
      <c r="BA253" s="204"/>
      <c r="BB253" s="155">
        <f t="shared" si="66"/>
        <v>140</v>
      </c>
      <c r="BC253" s="155">
        <f t="shared" si="67"/>
        <v>75010</v>
      </c>
      <c r="BE253" s="151">
        <v>140</v>
      </c>
      <c r="BF253" s="202" t="s">
        <v>593</v>
      </c>
      <c r="BG253" s="203">
        <v>257.60000000000002</v>
      </c>
      <c r="BH253" s="203">
        <v>0.13200000000000001</v>
      </c>
      <c r="BI253" s="202">
        <v>318.37</v>
      </c>
      <c r="BJ253" s="202" t="s">
        <v>1675</v>
      </c>
      <c r="BK253" s="202">
        <v>12.34</v>
      </c>
      <c r="BL253" s="202" t="s">
        <v>1675</v>
      </c>
      <c r="BM253" s="202">
        <v>4.07</v>
      </c>
      <c r="BN253" s="202" t="s">
        <v>1675</v>
      </c>
      <c r="BO253" s="204"/>
      <c r="BP253" s="155">
        <f t="shared" si="68"/>
        <v>140</v>
      </c>
      <c r="BQ253" s="155">
        <f t="shared" si="69"/>
        <v>318.37</v>
      </c>
      <c r="BS253" s="151">
        <v>140</v>
      </c>
      <c r="BT253" s="202" t="s">
        <v>593</v>
      </c>
      <c r="BU253" s="203">
        <v>790</v>
      </c>
      <c r="BV253" s="203">
        <v>0.41749999999999998</v>
      </c>
      <c r="BW253" s="202">
        <v>119.34</v>
      </c>
      <c r="BX253" s="202" t="s">
        <v>1675</v>
      </c>
      <c r="BY253" s="202">
        <v>4.25</v>
      </c>
      <c r="BZ253" s="202" t="s">
        <v>1675</v>
      </c>
      <c r="CA253" s="202">
        <v>1.49</v>
      </c>
      <c r="CB253" s="202" t="s">
        <v>1675</v>
      </c>
      <c r="CC253" s="204"/>
      <c r="CD253" s="155">
        <f t="shared" si="70"/>
        <v>140</v>
      </c>
      <c r="CE253" s="155">
        <f t="shared" si="71"/>
        <v>119.34</v>
      </c>
      <c r="CG253" s="151">
        <v>140</v>
      </c>
      <c r="CH253" s="202" t="s">
        <v>593</v>
      </c>
      <c r="CI253" s="203">
        <v>1060</v>
      </c>
      <c r="CJ253" s="203">
        <v>0.58879999999999999</v>
      </c>
      <c r="CK253" s="202">
        <v>94.23</v>
      </c>
      <c r="CL253" s="202" t="s">
        <v>1675</v>
      </c>
      <c r="CM253" s="202">
        <v>3.26</v>
      </c>
      <c r="CN253" s="202" t="s">
        <v>1675</v>
      </c>
      <c r="CO253" s="202">
        <v>1.22</v>
      </c>
      <c r="CP253" s="202" t="s">
        <v>1675</v>
      </c>
      <c r="CQ253" s="204"/>
      <c r="CR253" s="155">
        <f t="shared" si="72"/>
        <v>140</v>
      </c>
      <c r="CS253" s="155">
        <f t="shared" si="73"/>
        <v>94.23</v>
      </c>
      <c r="CU253" s="202">
        <v>140</v>
      </c>
      <c r="CV253" s="203" t="s">
        <v>593</v>
      </c>
      <c r="CW253" s="203">
        <v>4027</v>
      </c>
      <c r="CX253" s="203">
        <v>3.4729999999999999</v>
      </c>
      <c r="CY253" s="202">
        <v>34</v>
      </c>
      <c r="CZ253" s="202" t="s">
        <v>1675</v>
      </c>
      <c r="DA253" s="202">
        <v>1.04</v>
      </c>
      <c r="DB253" s="202" t="s">
        <v>1675</v>
      </c>
      <c r="DC253" s="202">
        <v>6527</v>
      </c>
      <c r="DD253" s="204" t="s">
        <v>1718</v>
      </c>
      <c r="DE253" s="204"/>
      <c r="DF253" s="155">
        <f t="shared" si="74"/>
        <v>140</v>
      </c>
      <c r="DG253" s="156">
        <f t="shared" si="75"/>
        <v>34</v>
      </c>
      <c r="DI253" s="202">
        <v>140</v>
      </c>
      <c r="DJ253" s="203" t="s">
        <v>593</v>
      </c>
      <c r="DK253" s="203">
        <v>3635</v>
      </c>
      <c r="DL253" s="203">
        <v>3.2160000000000002</v>
      </c>
      <c r="DM253" s="202">
        <v>36.79</v>
      </c>
      <c r="DN253" s="202" t="s">
        <v>1675</v>
      </c>
      <c r="DO253" s="202">
        <v>1.1399999999999999</v>
      </c>
      <c r="DP253" s="202" t="s">
        <v>1675</v>
      </c>
      <c r="DQ253" s="202">
        <v>6814</v>
      </c>
      <c r="DR253" s="204" t="s">
        <v>1718</v>
      </c>
      <c r="DS253" s="204"/>
      <c r="DT253" s="155">
        <f t="shared" si="76"/>
        <v>140</v>
      </c>
      <c r="DU253" s="156">
        <f t="shared" si="77"/>
        <v>36.79</v>
      </c>
    </row>
    <row r="254" spans="1:125" x14ac:dyDescent="0.2">
      <c r="A254" s="151">
        <v>150</v>
      </c>
      <c r="B254" s="202" t="s">
        <v>593</v>
      </c>
      <c r="C254" s="203">
        <v>1151</v>
      </c>
      <c r="D254" s="203">
        <v>0.66220000000000001</v>
      </c>
      <c r="E254" s="202">
        <v>92.24</v>
      </c>
      <c r="F254" s="202" t="s">
        <v>1675</v>
      </c>
      <c r="G254" s="202">
        <v>3.15</v>
      </c>
      <c r="H254" s="202" t="s">
        <v>1675</v>
      </c>
      <c r="I254" s="202">
        <v>1.21</v>
      </c>
      <c r="J254" s="202" t="s">
        <v>1675</v>
      </c>
      <c r="K254" s="204"/>
      <c r="L254" s="155">
        <f t="shared" si="60"/>
        <v>150</v>
      </c>
      <c r="M254" s="155">
        <f t="shared" si="61"/>
        <v>92.24</v>
      </c>
      <c r="O254" s="151">
        <v>150</v>
      </c>
      <c r="P254" s="202" t="s">
        <v>593</v>
      </c>
      <c r="Q254" s="203">
        <v>911.5</v>
      </c>
      <c r="R254" s="203">
        <v>0.47849999999999998</v>
      </c>
      <c r="S254" s="202">
        <v>111.31</v>
      </c>
      <c r="T254" s="202" t="s">
        <v>1675</v>
      </c>
      <c r="U254" s="202">
        <v>3.87</v>
      </c>
      <c r="V254" s="202" t="s">
        <v>1675</v>
      </c>
      <c r="W254" s="202">
        <v>1.4</v>
      </c>
      <c r="X254" s="202" t="s">
        <v>1675</v>
      </c>
      <c r="Y254" s="204"/>
      <c r="Z254" s="155">
        <f t="shared" si="62"/>
        <v>150</v>
      </c>
      <c r="AA254" s="155">
        <f t="shared" si="63"/>
        <v>111.31</v>
      </c>
      <c r="AC254" s="151">
        <v>150</v>
      </c>
      <c r="AD254" s="202" t="s">
        <v>593</v>
      </c>
      <c r="AE254" s="203">
        <v>11.47</v>
      </c>
      <c r="AF254" s="203">
        <v>5.2909999999999997E-3</v>
      </c>
      <c r="AG254" s="202">
        <v>7.33</v>
      </c>
      <c r="AH254" s="202" t="s">
        <v>1623</v>
      </c>
      <c r="AI254" s="202">
        <v>291.22000000000003</v>
      </c>
      <c r="AJ254" s="202" t="s">
        <v>1675</v>
      </c>
      <c r="AK254" s="202">
        <v>151.18</v>
      </c>
      <c r="AL254" s="202" t="s">
        <v>1675</v>
      </c>
      <c r="AM254" s="204"/>
      <c r="AN254" s="155">
        <f t="shared" si="64"/>
        <v>150</v>
      </c>
      <c r="AO254" s="155">
        <f t="shared" si="65"/>
        <v>7330</v>
      </c>
      <c r="AQ254" s="151">
        <v>150</v>
      </c>
      <c r="AR254" s="202" t="s">
        <v>593</v>
      </c>
      <c r="AS254" s="203">
        <v>1.02</v>
      </c>
      <c r="AT254" s="203">
        <v>3.591E-4</v>
      </c>
      <c r="AU254" s="202">
        <v>84.55</v>
      </c>
      <c r="AV254" s="202" t="s">
        <v>1623</v>
      </c>
      <c r="AW254" s="202">
        <v>3.43</v>
      </c>
      <c r="AX254" s="202" t="s">
        <v>1623</v>
      </c>
      <c r="AY254" s="202">
        <v>3.16</v>
      </c>
      <c r="AZ254" s="202" t="s">
        <v>1623</v>
      </c>
      <c r="BA254" s="204"/>
      <c r="BB254" s="155">
        <f t="shared" si="66"/>
        <v>150</v>
      </c>
      <c r="BC254" s="155">
        <f t="shared" si="67"/>
        <v>84550</v>
      </c>
      <c r="BE254" s="151">
        <v>150</v>
      </c>
      <c r="BF254" s="202" t="s">
        <v>593</v>
      </c>
      <c r="BG254" s="203">
        <v>243.6</v>
      </c>
      <c r="BH254" s="203">
        <v>0.1241</v>
      </c>
      <c r="BI254" s="202">
        <v>358.27</v>
      </c>
      <c r="BJ254" s="202" t="s">
        <v>1675</v>
      </c>
      <c r="BK254" s="202">
        <v>13.6</v>
      </c>
      <c r="BL254" s="202" t="s">
        <v>1675</v>
      </c>
      <c r="BM254" s="202">
        <v>4.53</v>
      </c>
      <c r="BN254" s="202" t="s">
        <v>1675</v>
      </c>
      <c r="BO254" s="204"/>
      <c r="BP254" s="155">
        <f t="shared" si="68"/>
        <v>150</v>
      </c>
      <c r="BQ254" s="155">
        <f t="shared" si="69"/>
        <v>358.27</v>
      </c>
      <c r="BS254" s="151">
        <v>150</v>
      </c>
      <c r="BT254" s="202" t="s">
        <v>593</v>
      </c>
      <c r="BU254" s="203">
        <v>750.3</v>
      </c>
      <c r="BV254" s="203">
        <v>0.39269999999999999</v>
      </c>
      <c r="BW254" s="202">
        <v>132.32</v>
      </c>
      <c r="BX254" s="202" t="s">
        <v>1675</v>
      </c>
      <c r="BY254" s="202">
        <v>4.6399999999999997</v>
      </c>
      <c r="BZ254" s="202" t="s">
        <v>1675</v>
      </c>
      <c r="CA254" s="202">
        <v>1.61</v>
      </c>
      <c r="CB254" s="202" t="s">
        <v>1675</v>
      </c>
      <c r="CC254" s="204"/>
      <c r="CD254" s="155">
        <f t="shared" si="70"/>
        <v>150</v>
      </c>
      <c r="CE254" s="155">
        <f t="shared" si="71"/>
        <v>132.32</v>
      </c>
      <c r="CG254" s="151">
        <v>150</v>
      </c>
      <c r="CH254" s="202" t="s">
        <v>593</v>
      </c>
      <c r="CI254" s="203">
        <v>1013</v>
      </c>
      <c r="CJ254" s="203">
        <v>0.55389999999999995</v>
      </c>
      <c r="CK254" s="202">
        <v>103.88</v>
      </c>
      <c r="CL254" s="202" t="s">
        <v>1675</v>
      </c>
      <c r="CM254" s="202">
        <v>3.55</v>
      </c>
      <c r="CN254" s="202" t="s">
        <v>1675</v>
      </c>
      <c r="CO254" s="202">
        <v>1.3</v>
      </c>
      <c r="CP254" s="202" t="s">
        <v>1675</v>
      </c>
      <c r="CQ254" s="204"/>
      <c r="CR254" s="155">
        <f t="shared" si="72"/>
        <v>150</v>
      </c>
      <c r="CS254" s="155">
        <f t="shared" si="73"/>
        <v>103.88</v>
      </c>
      <c r="CU254" s="202">
        <v>150</v>
      </c>
      <c r="CV254" s="203" t="s">
        <v>593</v>
      </c>
      <c r="CW254" s="203">
        <v>3930</v>
      </c>
      <c r="CX254" s="203">
        <v>3.2709999999999999</v>
      </c>
      <c r="CY254" s="202">
        <v>36.51</v>
      </c>
      <c r="CZ254" s="202" t="s">
        <v>1675</v>
      </c>
      <c r="DA254" s="202">
        <v>1.1000000000000001</v>
      </c>
      <c r="DB254" s="202" t="s">
        <v>1675</v>
      </c>
      <c r="DC254" s="202">
        <v>6698</v>
      </c>
      <c r="DD254" s="204" t="s">
        <v>1718</v>
      </c>
      <c r="DE254" s="204"/>
      <c r="DF254" s="155">
        <f t="shared" si="74"/>
        <v>150</v>
      </c>
      <c r="DG254" s="156">
        <f t="shared" si="75"/>
        <v>36.51</v>
      </c>
      <c r="DI254" s="202">
        <v>150</v>
      </c>
      <c r="DJ254" s="203" t="s">
        <v>593</v>
      </c>
      <c r="DK254" s="203">
        <v>3553</v>
      </c>
      <c r="DL254" s="203">
        <v>3.0289999999999999</v>
      </c>
      <c r="DM254" s="202">
        <v>39.57</v>
      </c>
      <c r="DN254" s="202" t="s">
        <v>1675</v>
      </c>
      <c r="DO254" s="202">
        <v>1.21</v>
      </c>
      <c r="DP254" s="202" t="s">
        <v>1675</v>
      </c>
      <c r="DQ254" s="202">
        <v>7006</v>
      </c>
      <c r="DR254" s="204" t="s">
        <v>1718</v>
      </c>
      <c r="DS254" s="204"/>
      <c r="DT254" s="155">
        <f t="shared" si="76"/>
        <v>150</v>
      </c>
      <c r="DU254" s="156">
        <f t="shared" si="77"/>
        <v>39.57</v>
      </c>
    </row>
    <row r="255" spans="1:125" x14ac:dyDescent="0.2">
      <c r="A255" s="151">
        <v>160</v>
      </c>
      <c r="B255" s="202" t="s">
        <v>593</v>
      </c>
      <c r="C255" s="203">
        <v>1105</v>
      </c>
      <c r="D255" s="203">
        <v>0.62549999999999994</v>
      </c>
      <c r="E255" s="202">
        <v>101.11</v>
      </c>
      <c r="F255" s="202" t="s">
        <v>1675</v>
      </c>
      <c r="G255" s="202">
        <v>3.4</v>
      </c>
      <c r="H255" s="202" t="s">
        <v>1675</v>
      </c>
      <c r="I255" s="202">
        <v>1.28</v>
      </c>
      <c r="J255" s="202" t="s">
        <v>1675</v>
      </c>
      <c r="K255" s="204"/>
      <c r="L255" s="155">
        <f t="shared" si="60"/>
        <v>160</v>
      </c>
      <c r="M255" s="155">
        <f t="shared" si="61"/>
        <v>101.11</v>
      </c>
      <c r="O255" s="151">
        <v>160</v>
      </c>
      <c r="P255" s="202" t="s">
        <v>593</v>
      </c>
      <c r="Q255" s="203">
        <v>870.8</v>
      </c>
      <c r="R255" s="203">
        <v>0.45190000000000002</v>
      </c>
      <c r="S255" s="202">
        <v>122.53</v>
      </c>
      <c r="T255" s="202" t="s">
        <v>1675</v>
      </c>
      <c r="U255" s="202">
        <v>4.1900000000000004</v>
      </c>
      <c r="V255" s="202" t="s">
        <v>1675</v>
      </c>
      <c r="W255" s="202">
        <v>1.51</v>
      </c>
      <c r="X255" s="202" t="s">
        <v>1675</v>
      </c>
      <c r="Y255" s="204"/>
      <c r="Z255" s="155">
        <f t="shared" si="62"/>
        <v>160</v>
      </c>
      <c r="AA255" s="155">
        <f t="shared" si="63"/>
        <v>122.53</v>
      </c>
      <c r="AC255" s="151">
        <v>160</v>
      </c>
      <c r="AD255" s="202" t="s">
        <v>593</v>
      </c>
      <c r="AE255" s="203">
        <v>10.9</v>
      </c>
      <c r="AF255" s="203">
        <v>4.9899999999999996E-3</v>
      </c>
      <c r="AG255" s="202">
        <v>8.2200000000000006</v>
      </c>
      <c r="AH255" s="202" t="s">
        <v>1623</v>
      </c>
      <c r="AI255" s="202">
        <v>318.79000000000002</v>
      </c>
      <c r="AJ255" s="202" t="s">
        <v>1675</v>
      </c>
      <c r="AK255" s="202">
        <v>168.94</v>
      </c>
      <c r="AL255" s="202" t="s">
        <v>1675</v>
      </c>
      <c r="AM255" s="204"/>
      <c r="AN255" s="155">
        <f t="shared" si="64"/>
        <v>160</v>
      </c>
      <c r="AO255" s="155">
        <f t="shared" si="65"/>
        <v>8220</v>
      </c>
      <c r="AQ255" s="151">
        <v>160</v>
      </c>
      <c r="AR255" s="202" t="s">
        <v>593</v>
      </c>
      <c r="AS255" s="203">
        <v>0.9768</v>
      </c>
      <c r="AT255" s="203">
        <v>3.3849999999999999E-4</v>
      </c>
      <c r="AU255" s="202">
        <v>94.54</v>
      </c>
      <c r="AV255" s="202" t="s">
        <v>1623</v>
      </c>
      <c r="AW255" s="202">
        <v>3.74</v>
      </c>
      <c r="AX255" s="202" t="s">
        <v>1623</v>
      </c>
      <c r="AY255" s="202">
        <v>3.52</v>
      </c>
      <c r="AZ255" s="202" t="s">
        <v>1623</v>
      </c>
      <c r="BA255" s="204"/>
      <c r="BB255" s="155">
        <f t="shared" si="66"/>
        <v>160</v>
      </c>
      <c r="BC255" s="155">
        <f t="shared" si="67"/>
        <v>94540</v>
      </c>
      <c r="BE255" s="151">
        <v>160</v>
      </c>
      <c r="BF255" s="202" t="s">
        <v>593</v>
      </c>
      <c r="BG255" s="203">
        <v>231.2</v>
      </c>
      <c r="BH255" s="203">
        <v>0.1171</v>
      </c>
      <c r="BI255" s="202">
        <v>400.39</v>
      </c>
      <c r="BJ255" s="202" t="s">
        <v>1675</v>
      </c>
      <c r="BK255" s="202">
        <v>14.89</v>
      </c>
      <c r="BL255" s="202" t="s">
        <v>1675</v>
      </c>
      <c r="BM255" s="202">
        <v>5.0199999999999996</v>
      </c>
      <c r="BN255" s="202" t="s">
        <v>1675</v>
      </c>
      <c r="BO255" s="204"/>
      <c r="BP255" s="155">
        <f t="shared" si="68"/>
        <v>160</v>
      </c>
      <c r="BQ255" s="155">
        <f t="shared" si="69"/>
        <v>400.39</v>
      </c>
      <c r="BS255" s="151">
        <v>160</v>
      </c>
      <c r="BT255" s="202" t="s">
        <v>593</v>
      </c>
      <c r="BU255" s="203">
        <v>714.2</v>
      </c>
      <c r="BV255" s="203">
        <v>0.37080000000000002</v>
      </c>
      <c r="BW255" s="202">
        <v>145.97999999999999</v>
      </c>
      <c r="BX255" s="202" t="s">
        <v>1675</v>
      </c>
      <c r="BY255" s="202">
        <v>5.04</v>
      </c>
      <c r="BZ255" s="202" t="s">
        <v>1675</v>
      </c>
      <c r="CA255" s="202">
        <v>1.74</v>
      </c>
      <c r="CB255" s="202" t="s">
        <v>1675</v>
      </c>
      <c r="CC255" s="204"/>
      <c r="CD255" s="155">
        <f t="shared" si="70"/>
        <v>160</v>
      </c>
      <c r="CE255" s="155">
        <f t="shared" si="71"/>
        <v>145.97999999999999</v>
      </c>
      <c r="CG255" s="151">
        <v>160</v>
      </c>
      <c r="CH255" s="202" t="s">
        <v>593</v>
      </c>
      <c r="CI255" s="203">
        <v>969.4</v>
      </c>
      <c r="CJ255" s="203">
        <v>0.5232</v>
      </c>
      <c r="CK255" s="202">
        <v>113.97</v>
      </c>
      <c r="CL255" s="202" t="s">
        <v>1675</v>
      </c>
      <c r="CM255" s="202">
        <v>3.83</v>
      </c>
      <c r="CN255" s="202" t="s">
        <v>1675</v>
      </c>
      <c r="CO255" s="202">
        <v>1.39</v>
      </c>
      <c r="CP255" s="202" t="s">
        <v>1675</v>
      </c>
      <c r="CQ255" s="204"/>
      <c r="CR255" s="155">
        <f t="shared" si="72"/>
        <v>160</v>
      </c>
      <c r="CS255" s="155">
        <f t="shared" si="73"/>
        <v>113.97</v>
      </c>
      <c r="CU255" s="202">
        <v>160</v>
      </c>
      <c r="CV255" s="203" t="s">
        <v>593</v>
      </c>
      <c r="CW255" s="203">
        <v>3836</v>
      </c>
      <c r="CX255" s="203">
        <v>3.0920000000000001</v>
      </c>
      <c r="CY255" s="202">
        <v>39.08</v>
      </c>
      <c r="CZ255" s="202" t="s">
        <v>1675</v>
      </c>
      <c r="DA255" s="202">
        <v>1.17</v>
      </c>
      <c r="DB255" s="202" t="s">
        <v>1675</v>
      </c>
      <c r="DC255" s="202">
        <v>6872</v>
      </c>
      <c r="DD255" s="204" t="s">
        <v>1718</v>
      </c>
      <c r="DE255" s="204"/>
      <c r="DF255" s="155">
        <f t="shared" si="74"/>
        <v>160</v>
      </c>
      <c r="DG255" s="156">
        <f t="shared" si="75"/>
        <v>39.08</v>
      </c>
      <c r="DI255" s="202">
        <v>160</v>
      </c>
      <c r="DJ255" s="203" t="s">
        <v>593</v>
      </c>
      <c r="DK255" s="203">
        <v>3474</v>
      </c>
      <c r="DL255" s="203">
        <v>2.8639999999999999</v>
      </c>
      <c r="DM255" s="202">
        <v>42.41</v>
      </c>
      <c r="DN255" s="202" t="s">
        <v>1675</v>
      </c>
      <c r="DO255" s="202">
        <v>1.27</v>
      </c>
      <c r="DP255" s="202" t="s">
        <v>1675</v>
      </c>
      <c r="DQ255" s="202">
        <v>7200</v>
      </c>
      <c r="DR255" s="204" t="s">
        <v>1718</v>
      </c>
      <c r="DS255" s="204"/>
      <c r="DT255" s="155">
        <f t="shared" si="76"/>
        <v>160</v>
      </c>
      <c r="DU255" s="156">
        <f t="shared" si="77"/>
        <v>42.41</v>
      </c>
    </row>
    <row r="256" spans="1:125" x14ac:dyDescent="0.2">
      <c r="A256" s="151">
        <v>170</v>
      </c>
      <c r="B256" s="202" t="s">
        <v>593</v>
      </c>
      <c r="C256" s="203">
        <v>1062</v>
      </c>
      <c r="D256" s="203">
        <v>0.59279999999999999</v>
      </c>
      <c r="E256" s="202">
        <v>110.33</v>
      </c>
      <c r="F256" s="202" t="s">
        <v>1675</v>
      </c>
      <c r="G256" s="202">
        <v>3.65</v>
      </c>
      <c r="H256" s="202" t="s">
        <v>1675</v>
      </c>
      <c r="I256" s="202">
        <v>1.36</v>
      </c>
      <c r="J256" s="202" t="s">
        <v>1675</v>
      </c>
      <c r="K256" s="204"/>
      <c r="L256" s="155">
        <f t="shared" si="60"/>
        <v>170</v>
      </c>
      <c r="M256" s="155">
        <f t="shared" si="61"/>
        <v>110.33</v>
      </c>
      <c r="O256" s="151">
        <v>170</v>
      </c>
      <c r="P256" s="202" t="s">
        <v>593</v>
      </c>
      <c r="Q256" s="203">
        <v>833.5</v>
      </c>
      <c r="R256" s="203">
        <v>0.42830000000000001</v>
      </c>
      <c r="S256" s="202">
        <v>134.26</v>
      </c>
      <c r="T256" s="202" t="s">
        <v>1675</v>
      </c>
      <c r="U256" s="202">
        <v>4.5199999999999996</v>
      </c>
      <c r="V256" s="202" t="s">
        <v>1675</v>
      </c>
      <c r="W256" s="202">
        <v>1.62</v>
      </c>
      <c r="X256" s="202" t="s">
        <v>1675</v>
      </c>
      <c r="Y256" s="204"/>
      <c r="Z256" s="155">
        <f t="shared" si="62"/>
        <v>170</v>
      </c>
      <c r="AA256" s="155">
        <f t="shared" si="63"/>
        <v>134.26</v>
      </c>
      <c r="AC256" s="151">
        <v>170</v>
      </c>
      <c r="AD256" s="202" t="s">
        <v>593</v>
      </c>
      <c r="AE256" s="203">
        <v>10.4</v>
      </c>
      <c r="AF256" s="203">
        <v>4.7219999999999996E-3</v>
      </c>
      <c r="AG256" s="202">
        <v>9.16</v>
      </c>
      <c r="AH256" s="202" t="s">
        <v>1623</v>
      </c>
      <c r="AI256" s="202">
        <v>346.74</v>
      </c>
      <c r="AJ256" s="202" t="s">
        <v>1675</v>
      </c>
      <c r="AK256" s="202">
        <v>187.53</v>
      </c>
      <c r="AL256" s="202" t="s">
        <v>1675</v>
      </c>
      <c r="AM256" s="204"/>
      <c r="AN256" s="155">
        <f t="shared" si="64"/>
        <v>170</v>
      </c>
      <c r="AO256" s="155">
        <f t="shared" si="65"/>
        <v>9160</v>
      </c>
      <c r="AQ256" s="151">
        <v>170</v>
      </c>
      <c r="AR256" s="202" t="s">
        <v>593</v>
      </c>
      <c r="AS256" s="203">
        <v>0.93810000000000004</v>
      </c>
      <c r="AT256" s="203">
        <v>3.2019999999999998E-4</v>
      </c>
      <c r="AU256" s="202">
        <v>104.96</v>
      </c>
      <c r="AV256" s="202" t="s">
        <v>1623</v>
      </c>
      <c r="AW256" s="202">
        <v>4.05</v>
      </c>
      <c r="AX256" s="202" t="s">
        <v>1623</v>
      </c>
      <c r="AY256" s="202">
        <v>3.88</v>
      </c>
      <c r="AZ256" s="202" t="s">
        <v>1623</v>
      </c>
      <c r="BA256" s="204"/>
      <c r="BB256" s="155">
        <f t="shared" si="66"/>
        <v>170</v>
      </c>
      <c r="BC256" s="155">
        <f t="shared" si="67"/>
        <v>104960</v>
      </c>
      <c r="BE256" s="151">
        <v>170</v>
      </c>
      <c r="BF256" s="202" t="s">
        <v>593</v>
      </c>
      <c r="BG256" s="203">
        <v>220.2</v>
      </c>
      <c r="BH256" s="203">
        <v>0.1109</v>
      </c>
      <c r="BI256" s="202">
        <v>444.69</v>
      </c>
      <c r="BJ256" s="202" t="s">
        <v>1675</v>
      </c>
      <c r="BK256" s="202">
        <v>16.190000000000001</v>
      </c>
      <c r="BL256" s="202" t="s">
        <v>1675</v>
      </c>
      <c r="BM256" s="202">
        <v>5.53</v>
      </c>
      <c r="BN256" s="202" t="s">
        <v>1675</v>
      </c>
      <c r="BO256" s="204"/>
      <c r="BP256" s="155">
        <f t="shared" si="68"/>
        <v>170</v>
      </c>
      <c r="BQ256" s="155">
        <f t="shared" si="69"/>
        <v>444.69</v>
      </c>
      <c r="BS256" s="151">
        <v>170</v>
      </c>
      <c r="BT256" s="202" t="s">
        <v>593</v>
      </c>
      <c r="BU256" s="203">
        <v>681.4</v>
      </c>
      <c r="BV256" s="203">
        <v>0.35139999999999999</v>
      </c>
      <c r="BW256" s="202">
        <v>160.31</v>
      </c>
      <c r="BX256" s="202" t="s">
        <v>1675</v>
      </c>
      <c r="BY256" s="202">
        <v>5.44</v>
      </c>
      <c r="BZ256" s="202" t="s">
        <v>1675</v>
      </c>
      <c r="CA256" s="202">
        <v>1.87</v>
      </c>
      <c r="CB256" s="202" t="s">
        <v>1675</v>
      </c>
      <c r="CC256" s="204"/>
      <c r="CD256" s="155">
        <f t="shared" si="70"/>
        <v>170</v>
      </c>
      <c r="CE256" s="155">
        <f t="shared" si="71"/>
        <v>160.31</v>
      </c>
      <c r="CG256" s="151">
        <v>170</v>
      </c>
      <c r="CH256" s="202" t="s">
        <v>593</v>
      </c>
      <c r="CI256" s="203">
        <v>929.8</v>
      </c>
      <c r="CJ256" s="203">
        <v>0.49580000000000002</v>
      </c>
      <c r="CK256" s="202">
        <v>124.5</v>
      </c>
      <c r="CL256" s="202" t="s">
        <v>1675</v>
      </c>
      <c r="CM256" s="202">
        <v>4.12</v>
      </c>
      <c r="CN256" s="202" t="s">
        <v>1675</v>
      </c>
      <c r="CO256" s="202">
        <v>1.48</v>
      </c>
      <c r="CP256" s="202" t="s">
        <v>1675</v>
      </c>
      <c r="CQ256" s="204"/>
      <c r="CR256" s="155">
        <f t="shared" si="72"/>
        <v>170</v>
      </c>
      <c r="CS256" s="155">
        <f t="shared" si="73"/>
        <v>124.5</v>
      </c>
      <c r="CU256" s="202">
        <v>170</v>
      </c>
      <c r="CV256" s="203" t="s">
        <v>593</v>
      </c>
      <c r="CW256" s="203">
        <v>3745</v>
      </c>
      <c r="CX256" s="203">
        <v>2.9340000000000002</v>
      </c>
      <c r="CY256" s="202">
        <v>41.72</v>
      </c>
      <c r="CZ256" s="202" t="s">
        <v>1675</v>
      </c>
      <c r="DA256" s="202">
        <v>1.23</v>
      </c>
      <c r="DB256" s="202" t="s">
        <v>1675</v>
      </c>
      <c r="DC256" s="202">
        <v>7047</v>
      </c>
      <c r="DD256" s="204" t="s">
        <v>1718</v>
      </c>
      <c r="DE256" s="204"/>
      <c r="DF256" s="155">
        <f t="shared" si="74"/>
        <v>170</v>
      </c>
      <c r="DG256" s="156">
        <f t="shared" si="75"/>
        <v>41.72</v>
      </c>
      <c r="DI256" s="202">
        <v>170</v>
      </c>
      <c r="DJ256" s="203" t="s">
        <v>593</v>
      </c>
      <c r="DK256" s="203">
        <v>3398</v>
      </c>
      <c r="DL256" s="203">
        <v>2.7160000000000002</v>
      </c>
      <c r="DM256" s="202">
        <v>45.32</v>
      </c>
      <c r="DN256" s="202" t="s">
        <v>1675</v>
      </c>
      <c r="DO256" s="202">
        <v>1.34</v>
      </c>
      <c r="DP256" s="202" t="s">
        <v>1675</v>
      </c>
      <c r="DQ256" s="202">
        <v>7397</v>
      </c>
      <c r="DR256" s="204" t="s">
        <v>1718</v>
      </c>
      <c r="DS256" s="204"/>
      <c r="DT256" s="155">
        <f t="shared" si="76"/>
        <v>170</v>
      </c>
      <c r="DU256" s="156">
        <f t="shared" si="77"/>
        <v>45.32</v>
      </c>
    </row>
    <row r="257" spans="1:125" x14ac:dyDescent="0.2">
      <c r="A257" s="151">
        <v>180</v>
      </c>
      <c r="B257" s="202" t="s">
        <v>593</v>
      </c>
      <c r="C257" s="203">
        <v>1023</v>
      </c>
      <c r="D257" s="203">
        <v>0.56359999999999999</v>
      </c>
      <c r="E257" s="202">
        <v>119.92</v>
      </c>
      <c r="F257" s="202" t="s">
        <v>1675</v>
      </c>
      <c r="G257" s="202">
        <v>3.9</v>
      </c>
      <c r="H257" s="202" t="s">
        <v>1675</v>
      </c>
      <c r="I257" s="202">
        <v>1.45</v>
      </c>
      <c r="J257" s="202" t="s">
        <v>1675</v>
      </c>
      <c r="K257" s="204"/>
      <c r="L257" s="155">
        <f t="shared" si="60"/>
        <v>180</v>
      </c>
      <c r="M257" s="155">
        <f t="shared" si="61"/>
        <v>119.92</v>
      </c>
      <c r="O257" s="151">
        <v>180</v>
      </c>
      <c r="P257" s="202" t="s">
        <v>593</v>
      </c>
      <c r="Q257" s="203">
        <v>799.2</v>
      </c>
      <c r="R257" s="203">
        <v>0.40710000000000002</v>
      </c>
      <c r="S257" s="202">
        <v>146.51</v>
      </c>
      <c r="T257" s="202" t="s">
        <v>1675</v>
      </c>
      <c r="U257" s="202">
        <v>4.8499999999999996</v>
      </c>
      <c r="V257" s="202" t="s">
        <v>1675</v>
      </c>
      <c r="W257" s="202">
        <v>1.73</v>
      </c>
      <c r="X257" s="202" t="s">
        <v>1675</v>
      </c>
      <c r="Y257" s="204"/>
      <c r="Z257" s="155">
        <f t="shared" si="62"/>
        <v>180</v>
      </c>
      <c r="AA257" s="155">
        <f t="shared" si="63"/>
        <v>146.51</v>
      </c>
      <c r="AC257" s="151">
        <v>180</v>
      </c>
      <c r="AD257" s="202" t="s">
        <v>593</v>
      </c>
      <c r="AE257" s="203">
        <v>9.9440000000000008</v>
      </c>
      <c r="AF257" s="203">
        <v>4.483E-3</v>
      </c>
      <c r="AG257" s="202">
        <v>10.14</v>
      </c>
      <c r="AH257" s="202" t="s">
        <v>1623</v>
      </c>
      <c r="AI257" s="202">
        <v>375.07</v>
      </c>
      <c r="AJ257" s="202" t="s">
        <v>1675</v>
      </c>
      <c r="AK257" s="202">
        <v>206.92</v>
      </c>
      <c r="AL257" s="202" t="s">
        <v>1675</v>
      </c>
      <c r="AM257" s="204"/>
      <c r="AN257" s="155">
        <f t="shared" si="64"/>
        <v>180</v>
      </c>
      <c r="AO257" s="155">
        <f t="shared" si="65"/>
        <v>10140</v>
      </c>
      <c r="AQ257" s="151">
        <v>180</v>
      </c>
      <c r="AR257" s="202" t="s">
        <v>593</v>
      </c>
      <c r="AS257" s="203">
        <v>0.90349999999999997</v>
      </c>
      <c r="AT257" s="203">
        <v>3.0390000000000001E-4</v>
      </c>
      <c r="AU257" s="202">
        <v>115.79</v>
      </c>
      <c r="AV257" s="202" t="s">
        <v>1623</v>
      </c>
      <c r="AW257" s="202">
        <v>4.37</v>
      </c>
      <c r="AX257" s="202" t="s">
        <v>1623</v>
      </c>
      <c r="AY257" s="202">
        <v>4.26</v>
      </c>
      <c r="AZ257" s="202" t="s">
        <v>1623</v>
      </c>
      <c r="BA257" s="204"/>
      <c r="BB257" s="155">
        <f t="shared" si="66"/>
        <v>180</v>
      </c>
      <c r="BC257" s="155">
        <f t="shared" si="67"/>
        <v>115790</v>
      </c>
      <c r="BE257" s="151">
        <v>180</v>
      </c>
      <c r="BF257" s="202" t="s">
        <v>593</v>
      </c>
      <c r="BG257" s="203">
        <v>210.3</v>
      </c>
      <c r="BH257" s="203">
        <v>0.10539999999999999</v>
      </c>
      <c r="BI257" s="202">
        <v>491.14</v>
      </c>
      <c r="BJ257" s="202" t="s">
        <v>1675</v>
      </c>
      <c r="BK257" s="202">
        <v>17.52</v>
      </c>
      <c r="BL257" s="202" t="s">
        <v>1675</v>
      </c>
      <c r="BM257" s="202">
        <v>6.06</v>
      </c>
      <c r="BN257" s="202" t="s">
        <v>1675</v>
      </c>
      <c r="BO257" s="204"/>
      <c r="BP257" s="155">
        <f t="shared" si="68"/>
        <v>180</v>
      </c>
      <c r="BQ257" s="155">
        <f t="shared" si="69"/>
        <v>491.14</v>
      </c>
      <c r="BS257" s="151">
        <v>180</v>
      </c>
      <c r="BT257" s="202" t="s">
        <v>593</v>
      </c>
      <c r="BU257" s="203">
        <v>651.4</v>
      </c>
      <c r="BV257" s="203">
        <v>0.33400000000000002</v>
      </c>
      <c r="BW257" s="202">
        <v>175.31</v>
      </c>
      <c r="BX257" s="202" t="s">
        <v>1675</v>
      </c>
      <c r="BY257" s="202">
        <v>5.85</v>
      </c>
      <c r="BZ257" s="202" t="s">
        <v>1675</v>
      </c>
      <c r="CA257" s="202">
        <v>2.0099999999999998</v>
      </c>
      <c r="CB257" s="202" t="s">
        <v>1675</v>
      </c>
      <c r="CC257" s="204"/>
      <c r="CD257" s="155">
        <f t="shared" si="70"/>
        <v>180</v>
      </c>
      <c r="CE257" s="155">
        <f t="shared" si="71"/>
        <v>175.31</v>
      </c>
      <c r="CG257" s="151">
        <v>180</v>
      </c>
      <c r="CH257" s="202" t="s">
        <v>593</v>
      </c>
      <c r="CI257" s="203">
        <v>893.2</v>
      </c>
      <c r="CJ257" s="203">
        <v>0.4713</v>
      </c>
      <c r="CK257" s="202">
        <v>135.47</v>
      </c>
      <c r="CL257" s="202" t="s">
        <v>1675</v>
      </c>
      <c r="CM257" s="202">
        <v>4.41</v>
      </c>
      <c r="CN257" s="202" t="s">
        <v>1675</v>
      </c>
      <c r="CO257" s="202">
        <v>1.57</v>
      </c>
      <c r="CP257" s="202" t="s">
        <v>1675</v>
      </c>
      <c r="CQ257" s="204"/>
      <c r="CR257" s="155">
        <f t="shared" si="72"/>
        <v>180</v>
      </c>
      <c r="CS257" s="155">
        <f t="shared" si="73"/>
        <v>135.47</v>
      </c>
      <c r="CU257" s="202">
        <v>180</v>
      </c>
      <c r="CV257" s="203" t="s">
        <v>593</v>
      </c>
      <c r="CW257" s="203">
        <v>3656</v>
      </c>
      <c r="CX257" s="203">
        <v>2.7909999999999999</v>
      </c>
      <c r="CY257" s="202">
        <v>44.42</v>
      </c>
      <c r="CZ257" s="202" t="s">
        <v>1675</v>
      </c>
      <c r="DA257" s="202">
        <v>1.29</v>
      </c>
      <c r="DB257" s="202" t="s">
        <v>1675</v>
      </c>
      <c r="DC257" s="202">
        <v>7226</v>
      </c>
      <c r="DD257" s="204" t="s">
        <v>1718</v>
      </c>
      <c r="DE257" s="204"/>
      <c r="DF257" s="155">
        <f t="shared" si="74"/>
        <v>180</v>
      </c>
      <c r="DG257" s="156">
        <f t="shared" si="75"/>
        <v>44.42</v>
      </c>
      <c r="DI257" s="202">
        <v>180</v>
      </c>
      <c r="DJ257" s="203" t="s">
        <v>593</v>
      </c>
      <c r="DK257" s="203">
        <v>3325</v>
      </c>
      <c r="DL257" s="203">
        <v>2.5840000000000001</v>
      </c>
      <c r="DM257" s="202">
        <v>48.29</v>
      </c>
      <c r="DN257" s="202" t="s">
        <v>1675</v>
      </c>
      <c r="DO257" s="202">
        <v>1.41</v>
      </c>
      <c r="DP257" s="202" t="s">
        <v>1675</v>
      </c>
      <c r="DQ257" s="202">
        <v>7596</v>
      </c>
      <c r="DR257" s="204" t="s">
        <v>1718</v>
      </c>
      <c r="DS257" s="204"/>
      <c r="DT257" s="155">
        <f t="shared" si="76"/>
        <v>180</v>
      </c>
      <c r="DU257" s="156">
        <f t="shared" si="77"/>
        <v>48.29</v>
      </c>
    </row>
    <row r="258" spans="1:125" x14ac:dyDescent="0.2">
      <c r="A258" s="151">
        <v>200</v>
      </c>
      <c r="B258" s="202" t="s">
        <v>593</v>
      </c>
      <c r="C258" s="203">
        <v>953.9</v>
      </c>
      <c r="D258" s="203">
        <v>0.51329999999999998</v>
      </c>
      <c r="E258" s="202">
        <v>140.16</v>
      </c>
      <c r="F258" s="202" t="s">
        <v>1675</v>
      </c>
      <c r="G258" s="202">
        <v>4.8499999999999996</v>
      </c>
      <c r="H258" s="202" t="s">
        <v>1675</v>
      </c>
      <c r="I258" s="202">
        <v>1.62</v>
      </c>
      <c r="J258" s="202" t="s">
        <v>1675</v>
      </c>
      <c r="K258" s="204"/>
      <c r="L258" s="155">
        <f t="shared" si="60"/>
        <v>200</v>
      </c>
      <c r="M258" s="155">
        <f t="shared" si="61"/>
        <v>140.16</v>
      </c>
      <c r="O258" s="151">
        <v>200</v>
      </c>
      <c r="P258" s="202" t="s">
        <v>593</v>
      </c>
      <c r="Q258" s="203">
        <v>738.6</v>
      </c>
      <c r="R258" s="203">
        <v>0.37069999999999997</v>
      </c>
      <c r="S258" s="202">
        <v>172.53</v>
      </c>
      <c r="T258" s="202" t="s">
        <v>1675</v>
      </c>
      <c r="U258" s="202">
        <v>6.11</v>
      </c>
      <c r="V258" s="202" t="s">
        <v>1675</v>
      </c>
      <c r="W258" s="202">
        <v>1.97</v>
      </c>
      <c r="X258" s="202" t="s">
        <v>1675</v>
      </c>
      <c r="Y258" s="204"/>
      <c r="Z258" s="155">
        <f t="shared" si="62"/>
        <v>200</v>
      </c>
      <c r="AA258" s="155">
        <f t="shared" si="63"/>
        <v>172.53</v>
      </c>
      <c r="AC258" s="151">
        <v>200</v>
      </c>
      <c r="AD258" s="202" t="s">
        <v>593</v>
      </c>
      <c r="AE258" s="203">
        <v>9.16</v>
      </c>
      <c r="AF258" s="203">
        <v>4.0730000000000002E-3</v>
      </c>
      <c r="AG258" s="202">
        <v>12.24</v>
      </c>
      <c r="AH258" s="202" t="s">
        <v>1623</v>
      </c>
      <c r="AI258" s="202">
        <v>480.73</v>
      </c>
      <c r="AJ258" s="202" t="s">
        <v>1675</v>
      </c>
      <c r="AK258" s="202">
        <v>248.09</v>
      </c>
      <c r="AL258" s="202" t="s">
        <v>1675</v>
      </c>
      <c r="AM258" s="204"/>
      <c r="AN258" s="155">
        <f t="shared" si="64"/>
        <v>200</v>
      </c>
      <c r="AO258" s="155">
        <f t="shared" si="65"/>
        <v>12240</v>
      </c>
      <c r="AQ258" s="151">
        <v>200</v>
      </c>
      <c r="AR258" s="202" t="s">
        <v>593</v>
      </c>
      <c r="AS258" s="203">
        <v>0.84430000000000005</v>
      </c>
      <c r="AT258" s="203">
        <v>2.7589999999999998E-4</v>
      </c>
      <c r="AU258" s="202">
        <v>138.63</v>
      </c>
      <c r="AV258" s="202" t="s">
        <v>1623</v>
      </c>
      <c r="AW258" s="202">
        <v>5.5</v>
      </c>
      <c r="AX258" s="202" t="s">
        <v>1623</v>
      </c>
      <c r="AY258" s="202">
        <v>5.0599999999999996</v>
      </c>
      <c r="AZ258" s="202" t="s">
        <v>1623</v>
      </c>
      <c r="BA258" s="204"/>
      <c r="BB258" s="155">
        <f t="shared" si="66"/>
        <v>200</v>
      </c>
      <c r="BC258" s="155">
        <f t="shared" si="67"/>
        <v>138630</v>
      </c>
      <c r="BE258" s="151">
        <v>200</v>
      </c>
      <c r="BF258" s="202" t="s">
        <v>593</v>
      </c>
      <c r="BG258" s="203">
        <v>193.3</v>
      </c>
      <c r="BH258" s="203">
        <v>9.5890000000000003E-2</v>
      </c>
      <c r="BI258" s="202">
        <v>590.29999999999995</v>
      </c>
      <c r="BJ258" s="202" t="s">
        <v>1675</v>
      </c>
      <c r="BK258" s="202">
        <v>22.52</v>
      </c>
      <c r="BL258" s="202" t="s">
        <v>1675</v>
      </c>
      <c r="BM258" s="202">
        <v>7.2</v>
      </c>
      <c r="BN258" s="202" t="s">
        <v>1675</v>
      </c>
      <c r="BO258" s="204"/>
      <c r="BP258" s="155">
        <f t="shared" si="68"/>
        <v>200</v>
      </c>
      <c r="BQ258" s="155">
        <f t="shared" si="69"/>
        <v>590.29999999999995</v>
      </c>
      <c r="BS258" s="151">
        <v>200</v>
      </c>
      <c r="BT258" s="202" t="s">
        <v>593</v>
      </c>
      <c r="BU258" s="203">
        <v>598.79999999999995</v>
      </c>
      <c r="BV258" s="203">
        <v>0.30409999999999998</v>
      </c>
      <c r="BW258" s="202">
        <v>207.33</v>
      </c>
      <c r="BX258" s="202" t="s">
        <v>1675</v>
      </c>
      <c r="BY258" s="202">
        <v>7.42</v>
      </c>
      <c r="BZ258" s="202" t="s">
        <v>1675</v>
      </c>
      <c r="CA258" s="202">
        <v>2.31</v>
      </c>
      <c r="CB258" s="202" t="s">
        <v>1675</v>
      </c>
      <c r="CC258" s="204"/>
      <c r="CD258" s="155">
        <f t="shared" si="70"/>
        <v>200</v>
      </c>
      <c r="CE258" s="155">
        <f t="shared" si="71"/>
        <v>207.33</v>
      </c>
      <c r="CG258" s="151">
        <v>200</v>
      </c>
      <c r="CH258" s="202" t="s">
        <v>593</v>
      </c>
      <c r="CI258" s="203">
        <v>828</v>
      </c>
      <c r="CJ258" s="203">
        <v>0.42920000000000003</v>
      </c>
      <c r="CK258" s="202">
        <v>158.72</v>
      </c>
      <c r="CL258" s="202" t="s">
        <v>1675</v>
      </c>
      <c r="CM258" s="202">
        <v>5.51</v>
      </c>
      <c r="CN258" s="202" t="s">
        <v>1675</v>
      </c>
      <c r="CO258" s="202">
        <v>1.77</v>
      </c>
      <c r="CP258" s="202" t="s">
        <v>1675</v>
      </c>
      <c r="CQ258" s="204"/>
      <c r="CR258" s="155">
        <f t="shared" si="72"/>
        <v>200</v>
      </c>
      <c r="CS258" s="155">
        <f t="shared" si="73"/>
        <v>158.72</v>
      </c>
      <c r="CU258" s="202">
        <v>200</v>
      </c>
      <c r="CV258" s="203" t="s">
        <v>593</v>
      </c>
      <c r="CW258" s="203">
        <v>3489</v>
      </c>
      <c r="CX258" s="203">
        <v>2.5459999999999998</v>
      </c>
      <c r="CY258" s="202">
        <v>50.01</v>
      </c>
      <c r="CZ258" s="202" t="s">
        <v>1675</v>
      </c>
      <c r="DA258" s="202">
        <v>1.51</v>
      </c>
      <c r="DB258" s="202" t="s">
        <v>1675</v>
      </c>
      <c r="DC258" s="202">
        <v>7592</v>
      </c>
      <c r="DD258" s="204" t="s">
        <v>1718</v>
      </c>
      <c r="DE258" s="204"/>
      <c r="DF258" s="155">
        <f t="shared" si="74"/>
        <v>200</v>
      </c>
      <c r="DG258" s="156">
        <f t="shared" si="75"/>
        <v>50.01</v>
      </c>
      <c r="DI258" s="202">
        <v>200</v>
      </c>
      <c r="DJ258" s="203" t="s">
        <v>593</v>
      </c>
      <c r="DK258" s="203">
        <v>3187</v>
      </c>
      <c r="DL258" s="203">
        <v>2.3570000000000002</v>
      </c>
      <c r="DM258" s="202">
        <v>54.43</v>
      </c>
      <c r="DN258" s="202" t="s">
        <v>1675</v>
      </c>
      <c r="DO258" s="202">
        <v>1.66</v>
      </c>
      <c r="DP258" s="202" t="s">
        <v>1675</v>
      </c>
      <c r="DQ258" s="202">
        <v>8003</v>
      </c>
      <c r="DR258" s="204" t="s">
        <v>1718</v>
      </c>
      <c r="DS258" s="204"/>
      <c r="DT258" s="155">
        <f t="shared" si="76"/>
        <v>200</v>
      </c>
      <c r="DU258" s="156">
        <f t="shared" si="77"/>
        <v>54.43</v>
      </c>
    </row>
    <row r="259" spans="1:125" x14ac:dyDescent="0.2">
      <c r="A259" s="151">
        <v>225</v>
      </c>
      <c r="B259" s="202" t="s">
        <v>593</v>
      </c>
      <c r="C259" s="203">
        <v>880.8</v>
      </c>
      <c r="D259" s="203">
        <v>0.46239999999999998</v>
      </c>
      <c r="E259" s="202">
        <v>167.43</v>
      </c>
      <c r="F259" s="202" t="s">
        <v>1675</v>
      </c>
      <c r="G259" s="202">
        <v>6.21</v>
      </c>
      <c r="H259" s="202" t="s">
        <v>1675</v>
      </c>
      <c r="I259" s="202">
        <v>1.86</v>
      </c>
      <c r="J259" s="202" t="s">
        <v>1675</v>
      </c>
      <c r="K259" s="204"/>
      <c r="L259" s="155">
        <f t="shared" si="60"/>
        <v>225</v>
      </c>
      <c r="M259" s="155">
        <f t="shared" si="61"/>
        <v>167.43</v>
      </c>
      <c r="O259" s="151">
        <v>225</v>
      </c>
      <c r="P259" s="202" t="s">
        <v>593</v>
      </c>
      <c r="Q259" s="203">
        <v>674.8</v>
      </c>
      <c r="R259" s="203">
        <v>0.33379999999999999</v>
      </c>
      <c r="S259" s="202">
        <v>207.94</v>
      </c>
      <c r="T259" s="202" t="s">
        <v>1675</v>
      </c>
      <c r="U259" s="202">
        <v>7.92</v>
      </c>
      <c r="V259" s="202" t="s">
        <v>1675</v>
      </c>
      <c r="W259" s="202">
        <v>2.29</v>
      </c>
      <c r="X259" s="202" t="s">
        <v>1675</v>
      </c>
      <c r="Y259" s="204"/>
      <c r="Z259" s="155">
        <f t="shared" si="62"/>
        <v>225</v>
      </c>
      <c r="AA259" s="155">
        <f t="shared" si="63"/>
        <v>207.94</v>
      </c>
      <c r="AC259" s="151">
        <v>225</v>
      </c>
      <c r="AD259" s="202" t="s">
        <v>593</v>
      </c>
      <c r="AE259" s="203">
        <v>8.3620000000000001</v>
      </c>
      <c r="AF259" s="203">
        <v>3.6589999999999999E-3</v>
      </c>
      <c r="AG259" s="202">
        <v>15.09</v>
      </c>
      <c r="AH259" s="202" t="s">
        <v>1623</v>
      </c>
      <c r="AI259" s="202">
        <v>631.25</v>
      </c>
      <c r="AJ259" s="202" t="s">
        <v>1675</v>
      </c>
      <c r="AK259" s="202">
        <v>303.85000000000002</v>
      </c>
      <c r="AL259" s="202" t="s">
        <v>1675</v>
      </c>
      <c r="AM259" s="204"/>
      <c r="AN259" s="155">
        <f t="shared" si="64"/>
        <v>225</v>
      </c>
      <c r="AO259" s="155">
        <f t="shared" si="65"/>
        <v>15090</v>
      </c>
      <c r="AQ259" s="151">
        <v>225</v>
      </c>
      <c r="AR259" s="202" t="s">
        <v>593</v>
      </c>
      <c r="AS259" s="203">
        <v>0.78449999999999998</v>
      </c>
      <c r="AT259" s="203">
        <v>2.476E-4</v>
      </c>
      <c r="AU259" s="202">
        <v>169.27</v>
      </c>
      <c r="AV259" s="202" t="s">
        <v>1623</v>
      </c>
      <c r="AW259" s="202">
        <v>7.08</v>
      </c>
      <c r="AX259" s="202" t="s">
        <v>1623</v>
      </c>
      <c r="AY259" s="202">
        <v>6.11</v>
      </c>
      <c r="AZ259" s="202" t="s">
        <v>1623</v>
      </c>
      <c r="BA259" s="204"/>
      <c r="BB259" s="155">
        <f t="shared" si="66"/>
        <v>225</v>
      </c>
      <c r="BC259" s="155">
        <f t="shared" si="67"/>
        <v>169270</v>
      </c>
      <c r="BE259" s="151">
        <v>225</v>
      </c>
      <c r="BF259" s="202" t="s">
        <v>593</v>
      </c>
      <c r="BG259" s="203">
        <v>176</v>
      </c>
      <c r="BH259" s="203">
        <v>8.6260000000000003E-2</v>
      </c>
      <c r="BI259" s="202">
        <v>725.79</v>
      </c>
      <c r="BJ259" s="202" t="s">
        <v>1675</v>
      </c>
      <c r="BK259" s="202">
        <v>29.67</v>
      </c>
      <c r="BL259" s="202" t="s">
        <v>1675</v>
      </c>
      <c r="BM259" s="202">
        <v>8.75</v>
      </c>
      <c r="BN259" s="202" t="s">
        <v>1675</v>
      </c>
      <c r="BO259" s="204"/>
      <c r="BP259" s="155">
        <f t="shared" si="68"/>
        <v>225</v>
      </c>
      <c r="BQ259" s="155">
        <f t="shared" si="69"/>
        <v>725.79</v>
      </c>
      <c r="BS259" s="151">
        <v>225</v>
      </c>
      <c r="BT259" s="202" t="s">
        <v>593</v>
      </c>
      <c r="BU259" s="203">
        <v>544.5</v>
      </c>
      <c r="BV259" s="203">
        <v>0.27379999999999999</v>
      </c>
      <c r="BW259" s="202">
        <v>251.1</v>
      </c>
      <c r="BX259" s="202" t="s">
        <v>1675</v>
      </c>
      <c r="BY259" s="202">
        <v>9.69</v>
      </c>
      <c r="BZ259" s="202" t="s">
        <v>1675</v>
      </c>
      <c r="CA259" s="202">
        <v>2.71</v>
      </c>
      <c r="CB259" s="202" t="s">
        <v>1675</v>
      </c>
      <c r="CC259" s="204"/>
      <c r="CD259" s="155">
        <f t="shared" si="70"/>
        <v>225</v>
      </c>
      <c r="CE259" s="155">
        <f t="shared" si="71"/>
        <v>251.1</v>
      </c>
      <c r="CG259" s="151">
        <v>225</v>
      </c>
      <c r="CH259" s="202" t="s">
        <v>593</v>
      </c>
      <c r="CI259" s="203">
        <v>758.8</v>
      </c>
      <c r="CJ259" s="203">
        <v>0.38650000000000001</v>
      </c>
      <c r="CK259" s="202">
        <v>190.25</v>
      </c>
      <c r="CL259" s="202" t="s">
        <v>1675</v>
      </c>
      <c r="CM259" s="202">
        <v>7.11</v>
      </c>
      <c r="CN259" s="202" t="s">
        <v>1675</v>
      </c>
      <c r="CO259" s="202">
        <v>2.04</v>
      </c>
      <c r="CP259" s="202" t="s">
        <v>1675</v>
      </c>
      <c r="CQ259" s="204"/>
      <c r="CR259" s="155">
        <f t="shared" si="72"/>
        <v>225</v>
      </c>
      <c r="CS259" s="155">
        <f t="shared" si="73"/>
        <v>190.25</v>
      </c>
      <c r="CU259" s="202">
        <v>225</v>
      </c>
      <c r="CV259" s="203" t="s">
        <v>593</v>
      </c>
      <c r="CW259" s="203">
        <v>3297</v>
      </c>
      <c r="CX259" s="203">
        <v>2.2970000000000002</v>
      </c>
      <c r="CY259" s="202">
        <v>57.38</v>
      </c>
      <c r="CZ259" s="202" t="s">
        <v>1675</v>
      </c>
      <c r="DA259" s="202">
        <v>1.84</v>
      </c>
      <c r="DB259" s="202" t="s">
        <v>1675</v>
      </c>
      <c r="DC259" s="202">
        <v>8068</v>
      </c>
      <c r="DD259" s="204" t="s">
        <v>1718</v>
      </c>
      <c r="DE259" s="204"/>
      <c r="DF259" s="155">
        <f t="shared" si="74"/>
        <v>225</v>
      </c>
      <c r="DG259" s="156">
        <f t="shared" si="75"/>
        <v>57.38</v>
      </c>
      <c r="DI259" s="202">
        <v>225</v>
      </c>
      <c r="DJ259" s="203" t="s">
        <v>593</v>
      </c>
      <c r="DK259" s="203">
        <v>3030</v>
      </c>
      <c r="DL259" s="203">
        <v>2.1259999999999999</v>
      </c>
      <c r="DM259" s="202">
        <v>62.47</v>
      </c>
      <c r="DN259" s="202" t="s">
        <v>1675</v>
      </c>
      <c r="DO259" s="202">
        <v>2.02</v>
      </c>
      <c r="DP259" s="202" t="s">
        <v>1675</v>
      </c>
      <c r="DQ259" s="202">
        <v>8530</v>
      </c>
      <c r="DR259" s="204" t="s">
        <v>1718</v>
      </c>
      <c r="DS259" s="204"/>
      <c r="DT259" s="155">
        <f t="shared" si="76"/>
        <v>225</v>
      </c>
      <c r="DU259" s="156">
        <f t="shared" si="77"/>
        <v>62.47</v>
      </c>
    </row>
    <row r="260" spans="1:125" x14ac:dyDescent="0.2">
      <c r="A260" s="151">
        <v>250</v>
      </c>
      <c r="B260" s="202" t="s">
        <v>593</v>
      </c>
      <c r="C260" s="203">
        <v>819.2</v>
      </c>
      <c r="D260" s="203">
        <v>0.42099999999999999</v>
      </c>
      <c r="E260" s="202">
        <v>196.85</v>
      </c>
      <c r="F260" s="202" t="s">
        <v>1675</v>
      </c>
      <c r="G260" s="202">
        <v>7.5</v>
      </c>
      <c r="H260" s="202" t="s">
        <v>1675</v>
      </c>
      <c r="I260" s="202">
        <v>2.11</v>
      </c>
      <c r="J260" s="202" t="s">
        <v>1675</v>
      </c>
      <c r="K260" s="204"/>
      <c r="L260" s="155">
        <f t="shared" si="60"/>
        <v>250</v>
      </c>
      <c r="M260" s="155">
        <f t="shared" si="61"/>
        <v>196.85</v>
      </c>
      <c r="O260" s="151">
        <v>250</v>
      </c>
      <c r="P260" s="202" t="s">
        <v>593</v>
      </c>
      <c r="Q260" s="203">
        <v>621.29999999999995</v>
      </c>
      <c r="R260" s="203">
        <v>0.3039</v>
      </c>
      <c r="S260" s="202">
        <v>246.54</v>
      </c>
      <c r="T260" s="202" t="s">
        <v>1675</v>
      </c>
      <c r="U260" s="202">
        <v>9.64</v>
      </c>
      <c r="V260" s="202" t="s">
        <v>1675</v>
      </c>
      <c r="W260" s="202">
        <v>2.64</v>
      </c>
      <c r="X260" s="202" t="s">
        <v>1675</v>
      </c>
      <c r="Y260" s="204"/>
      <c r="Z260" s="155">
        <f t="shared" si="62"/>
        <v>250</v>
      </c>
      <c r="AA260" s="155">
        <f t="shared" si="63"/>
        <v>246.54</v>
      </c>
      <c r="AC260" s="151">
        <v>250</v>
      </c>
      <c r="AD260" s="202" t="s">
        <v>593</v>
      </c>
      <c r="AE260" s="203">
        <v>7.7110000000000003</v>
      </c>
      <c r="AF260" s="203">
        <v>3.323E-3</v>
      </c>
      <c r="AG260" s="202">
        <v>18.2</v>
      </c>
      <c r="AH260" s="202" t="s">
        <v>1623</v>
      </c>
      <c r="AI260" s="202">
        <v>773.16</v>
      </c>
      <c r="AJ260" s="202" t="s">
        <v>1675</v>
      </c>
      <c r="AK260" s="202">
        <v>364.18</v>
      </c>
      <c r="AL260" s="202" t="s">
        <v>1675</v>
      </c>
      <c r="AM260" s="204"/>
      <c r="AN260" s="155">
        <f t="shared" si="64"/>
        <v>250</v>
      </c>
      <c r="AO260" s="155">
        <f t="shared" si="65"/>
        <v>18200</v>
      </c>
      <c r="AQ260" s="151">
        <v>250</v>
      </c>
      <c r="AR260" s="202" t="s">
        <v>593</v>
      </c>
      <c r="AS260" s="203">
        <v>0.73640000000000005</v>
      </c>
      <c r="AT260" s="203">
        <v>2.2479999999999999E-4</v>
      </c>
      <c r="AU260" s="202">
        <v>202.08</v>
      </c>
      <c r="AV260" s="202" t="s">
        <v>1623</v>
      </c>
      <c r="AW260" s="202">
        <v>8.5500000000000007</v>
      </c>
      <c r="AX260" s="202" t="s">
        <v>1623</v>
      </c>
      <c r="AY260" s="202">
        <v>7.22</v>
      </c>
      <c r="AZ260" s="202" t="s">
        <v>1623</v>
      </c>
      <c r="BA260" s="204"/>
      <c r="BB260" s="155">
        <f t="shared" si="66"/>
        <v>250</v>
      </c>
      <c r="BC260" s="155">
        <f t="shared" si="67"/>
        <v>202080</v>
      </c>
      <c r="BE260" s="151">
        <v>250</v>
      </c>
      <c r="BF260" s="202" t="s">
        <v>593</v>
      </c>
      <c r="BG260" s="203">
        <v>162</v>
      </c>
      <c r="BH260" s="203">
        <v>7.8460000000000002E-2</v>
      </c>
      <c r="BI260" s="202">
        <v>873.79</v>
      </c>
      <c r="BJ260" s="202" t="s">
        <v>1675</v>
      </c>
      <c r="BK260" s="202">
        <v>36.42</v>
      </c>
      <c r="BL260" s="202" t="s">
        <v>1665</v>
      </c>
      <c r="BM260" s="202">
        <v>0.44</v>
      </c>
      <c r="BN260" s="202" t="s">
        <v>1675</v>
      </c>
      <c r="BO260" s="204"/>
      <c r="BP260" s="155">
        <f t="shared" si="68"/>
        <v>250</v>
      </c>
      <c r="BQ260" s="155">
        <f t="shared" si="69"/>
        <v>873.79</v>
      </c>
      <c r="BS260" s="151">
        <v>250</v>
      </c>
      <c r="BT260" s="202" t="s">
        <v>593</v>
      </c>
      <c r="BU260" s="203">
        <v>500.2</v>
      </c>
      <c r="BV260" s="203">
        <v>0.2492</v>
      </c>
      <c r="BW260" s="202">
        <v>298.99</v>
      </c>
      <c r="BX260" s="202" t="s">
        <v>1675</v>
      </c>
      <c r="BY260" s="202">
        <v>11.85</v>
      </c>
      <c r="BZ260" s="202" t="s">
        <v>1675</v>
      </c>
      <c r="CA260" s="202">
        <v>3.15</v>
      </c>
      <c r="CB260" s="202" t="s">
        <v>1675</v>
      </c>
      <c r="CC260" s="204"/>
      <c r="CD260" s="155">
        <f t="shared" si="70"/>
        <v>250</v>
      </c>
      <c r="CE260" s="155">
        <f t="shared" si="71"/>
        <v>298.99</v>
      </c>
      <c r="CG260" s="151">
        <v>250</v>
      </c>
      <c r="CH260" s="202" t="s">
        <v>593</v>
      </c>
      <c r="CI260" s="203">
        <v>700.3</v>
      </c>
      <c r="CJ260" s="203">
        <v>0.35189999999999999</v>
      </c>
      <c r="CK260" s="202">
        <v>224.54</v>
      </c>
      <c r="CL260" s="202" t="s">
        <v>1675</v>
      </c>
      <c r="CM260" s="202">
        <v>8.6300000000000008</v>
      </c>
      <c r="CN260" s="202" t="s">
        <v>1675</v>
      </c>
      <c r="CO260" s="202">
        <v>2.33</v>
      </c>
      <c r="CP260" s="202" t="s">
        <v>1675</v>
      </c>
      <c r="CQ260" s="204"/>
      <c r="CR260" s="155">
        <f t="shared" si="72"/>
        <v>250</v>
      </c>
      <c r="CS260" s="155">
        <f t="shared" si="73"/>
        <v>224.54</v>
      </c>
      <c r="CU260" s="202">
        <v>250</v>
      </c>
      <c r="CV260" s="203" t="s">
        <v>593</v>
      </c>
      <c r="CW260" s="203">
        <v>3123</v>
      </c>
      <c r="CX260" s="203">
        <v>2.0939999999999999</v>
      </c>
      <c r="CY260" s="202">
        <v>65.17</v>
      </c>
      <c r="CZ260" s="202" t="s">
        <v>1675</v>
      </c>
      <c r="DA260" s="202">
        <v>2.15</v>
      </c>
      <c r="DB260" s="202" t="s">
        <v>1675</v>
      </c>
      <c r="DC260" s="202">
        <v>8568</v>
      </c>
      <c r="DD260" s="204" t="s">
        <v>1718</v>
      </c>
      <c r="DE260" s="204"/>
      <c r="DF260" s="155">
        <f t="shared" si="74"/>
        <v>250</v>
      </c>
      <c r="DG260" s="156">
        <f t="shared" si="75"/>
        <v>65.17</v>
      </c>
      <c r="DI260" s="202">
        <v>250</v>
      </c>
      <c r="DJ260" s="203" t="s">
        <v>593</v>
      </c>
      <c r="DK260" s="203">
        <v>2888</v>
      </c>
      <c r="DL260" s="203">
        <v>1.9379999999999999</v>
      </c>
      <c r="DM260" s="202">
        <v>70.91</v>
      </c>
      <c r="DN260" s="202" t="s">
        <v>1675</v>
      </c>
      <c r="DO260" s="202">
        <v>2.35</v>
      </c>
      <c r="DP260" s="202" t="s">
        <v>1675</v>
      </c>
      <c r="DQ260" s="202">
        <v>9079</v>
      </c>
      <c r="DR260" s="204" t="s">
        <v>1718</v>
      </c>
      <c r="DS260" s="204"/>
      <c r="DT260" s="155">
        <f t="shared" si="76"/>
        <v>250</v>
      </c>
      <c r="DU260" s="156">
        <f t="shared" si="77"/>
        <v>70.91</v>
      </c>
    </row>
    <row r="261" spans="1:125" x14ac:dyDescent="0.2">
      <c r="A261" s="151">
        <v>275</v>
      </c>
      <c r="B261" s="202" t="s">
        <v>593</v>
      </c>
      <c r="C261" s="203">
        <v>766.8</v>
      </c>
      <c r="D261" s="203">
        <v>0.38679999999999998</v>
      </c>
      <c r="E261" s="202">
        <v>228.38</v>
      </c>
      <c r="F261" s="202" t="s">
        <v>1675</v>
      </c>
      <c r="G261" s="202">
        <v>8.74</v>
      </c>
      <c r="H261" s="202" t="s">
        <v>1675</v>
      </c>
      <c r="I261" s="202">
        <v>2.39</v>
      </c>
      <c r="J261" s="202" t="s">
        <v>1675</v>
      </c>
      <c r="K261" s="204"/>
      <c r="L261" s="155">
        <f t="shared" si="60"/>
        <v>275</v>
      </c>
      <c r="M261" s="155">
        <f t="shared" si="61"/>
        <v>228.38</v>
      </c>
      <c r="O261" s="151">
        <v>275</v>
      </c>
      <c r="P261" s="202" t="s">
        <v>593</v>
      </c>
      <c r="Q261" s="203">
        <v>576</v>
      </c>
      <c r="R261" s="203">
        <v>0.27910000000000001</v>
      </c>
      <c r="S261" s="202">
        <v>288.32</v>
      </c>
      <c r="T261" s="202" t="s">
        <v>1675</v>
      </c>
      <c r="U261" s="202">
        <v>11.33</v>
      </c>
      <c r="V261" s="202" t="s">
        <v>1675</v>
      </c>
      <c r="W261" s="202">
        <v>3.02</v>
      </c>
      <c r="X261" s="202" t="s">
        <v>1675</v>
      </c>
      <c r="Y261" s="204"/>
      <c r="Z261" s="155">
        <f t="shared" si="62"/>
        <v>275</v>
      </c>
      <c r="AA261" s="155">
        <f t="shared" si="63"/>
        <v>288.32</v>
      </c>
      <c r="AC261" s="151">
        <v>275</v>
      </c>
      <c r="AD261" s="202" t="s">
        <v>593</v>
      </c>
      <c r="AE261" s="203">
        <v>7.17</v>
      </c>
      <c r="AF261" s="203">
        <v>3.0460000000000001E-3</v>
      </c>
      <c r="AG261" s="202">
        <v>21.56</v>
      </c>
      <c r="AH261" s="202" t="s">
        <v>1623</v>
      </c>
      <c r="AI261" s="202">
        <v>911.46</v>
      </c>
      <c r="AJ261" s="202" t="s">
        <v>1675</v>
      </c>
      <c r="AK261" s="202">
        <v>428.91</v>
      </c>
      <c r="AL261" s="202" t="s">
        <v>1675</v>
      </c>
      <c r="AM261" s="204"/>
      <c r="AN261" s="155">
        <f t="shared" si="64"/>
        <v>275</v>
      </c>
      <c r="AO261" s="155">
        <f t="shared" si="65"/>
        <v>21560</v>
      </c>
      <c r="AQ261" s="151">
        <v>275</v>
      </c>
      <c r="AR261" s="202" t="s">
        <v>593</v>
      </c>
      <c r="AS261" s="203">
        <v>0.69689999999999996</v>
      </c>
      <c r="AT261" s="203">
        <v>2.0589999999999999E-4</v>
      </c>
      <c r="AU261" s="202">
        <v>236.9</v>
      </c>
      <c r="AV261" s="202" t="s">
        <v>1623</v>
      </c>
      <c r="AW261" s="202">
        <v>9.9499999999999993</v>
      </c>
      <c r="AX261" s="202" t="s">
        <v>1623</v>
      </c>
      <c r="AY261" s="202">
        <v>8.39</v>
      </c>
      <c r="AZ261" s="202" t="s">
        <v>1623</v>
      </c>
      <c r="BA261" s="204"/>
      <c r="BB261" s="155">
        <f t="shared" si="66"/>
        <v>275</v>
      </c>
      <c r="BC261" s="155">
        <f t="shared" si="67"/>
        <v>236900</v>
      </c>
      <c r="BE261" s="151">
        <v>275</v>
      </c>
      <c r="BF261" s="202" t="s">
        <v>593</v>
      </c>
      <c r="BG261" s="203">
        <v>150.30000000000001</v>
      </c>
      <c r="BH261" s="203">
        <v>7.2010000000000005E-2</v>
      </c>
      <c r="BI261" s="202">
        <v>1.03</v>
      </c>
      <c r="BJ261" s="202" t="s">
        <v>1623</v>
      </c>
      <c r="BK261" s="202">
        <v>43</v>
      </c>
      <c r="BL261" s="202" t="s">
        <v>1665</v>
      </c>
      <c r="BM261" s="202">
        <v>2.2599999999999998</v>
      </c>
      <c r="BN261" s="202" t="s">
        <v>1675</v>
      </c>
      <c r="BO261" s="204"/>
      <c r="BP261" s="155">
        <f t="shared" si="68"/>
        <v>275</v>
      </c>
      <c r="BQ261" s="155">
        <f t="shared" si="69"/>
        <v>1030</v>
      </c>
      <c r="BS261" s="151">
        <v>275</v>
      </c>
      <c r="BT261" s="202" t="s">
        <v>593</v>
      </c>
      <c r="BU261" s="203">
        <v>463.4</v>
      </c>
      <c r="BV261" s="203">
        <v>0.22889999999999999</v>
      </c>
      <c r="BW261" s="202">
        <v>350.91</v>
      </c>
      <c r="BX261" s="202" t="s">
        <v>1675</v>
      </c>
      <c r="BY261" s="202">
        <v>13.97</v>
      </c>
      <c r="BZ261" s="202" t="s">
        <v>1675</v>
      </c>
      <c r="CA261" s="202">
        <v>3.63</v>
      </c>
      <c r="CB261" s="202" t="s">
        <v>1675</v>
      </c>
      <c r="CC261" s="204"/>
      <c r="CD261" s="155">
        <f t="shared" si="70"/>
        <v>275</v>
      </c>
      <c r="CE261" s="155">
        <f t="shared" si="71"/>
        <v>350.91</v>
      </c>
      <c r="CG261" s="151">
        <v>275</v>
      </c>
      <c r="CH261" s="202" t="s">
        <v>593</v>
      </c>
      <c r="CI261" s="203">
        <v>650.4</v>
      </c>
      <c r="CJ261" s="203">
        <v>0.32319999999999999</v>
      </c>
      <c r="CK261" s="202">
        <v>261.57</v>
      </c>
      <c r="CL261" s="202" t="s">
        <v>1675</v>
      </c>
      <c r="CM261" s="202">
        <v>10.11</v>
      </c>
      <c r="CN261" s="202" t="s">
        <v>1675</v>
      </c>
      <c r="CO261" s="202">
        <v>2.65</v>
      </c>
      <c r="CP261" s="202" t="s">
        <v>1675</v>
      </c>
      <c r="CQ261" s="204"/>
      <c r="CR261" s="155">
        <f t="shared" si="72"/>
        <v>275</v>
      </c>
      <c r="CS261" s="155">
        <f t="shared" si="73"/>
        <v>261.57</v>
      </c>
      <c r="CU261" s="202">
        <v>275</v>
      </c>
      <c r="CV261" s="203" t="s">
        <v>593</v>
      </c>
      <c r="CW261" s="203">
        <v>2966</v>
      </c>
      <c r="CX261" s="203">
        <v>1.9259999999999999</v>
      </c>
      <c r="CY261" s="202">
        <v>73.38</v>
      </c>
      <c r="CZ261" s="202" t="s">
        <v>1675</v>
      </c>
      <c r="DA261" s="202">
        <v>2.4500000000000002</v>
      </c>
      <c r="DB261" s="202" t="s">
        <v>1675</v>
      </c>
      <c r="DC261" s="202">
        <v>9091</v>
      </c>
      <c r="DD261" s="204" t="s">
        <v>1718</v>
      </c>
      <c r="DE261" s="204"/>
      <c r="DF261" s="155">
        <f t="shared" si="74"/>
        <v>275</v>
      </c>
      <c r="DG261" s="156">
        <f t="shared" si="75"/>
        <v>73.38</v>
      </c>
      <c r="DI261" s="202">
        <v>275</v>
      </c>
      <c r="DJ261" s="203" t="s">
        <v>593</v>
      </c>
      <c r="DK261" s="203">
        <v>2759</v>
      </c>
      <c r="DL261" s="203">
        <v>1.7829999999999999</v>
      </c>
      <c r="DM261" s="202">
        <v>79.77</v>
      </c>
      <c r="DN261" s="202" t="s">
        <v>1675</v>
      </c>
      <c r="DO261" s="202">
        <v>2.67</v>
      </c>
      <c r="DP261" s="202" t="s">
        <v>1675</v>
      </c>
      <c r="DQ261" s="202">
        <v>9649</v>
      </c>
      <c r="DR261" s="204" t="s">
        <v>1718</v>
      </c>
      <c r="DS261" s="204"/>
      <c r="DT261" s="155">
        <f t="shared" si="76"/>
        <v>275</v>
      </c>
      <c r="DU261" s="156">
        <f t="shared" si="77"/>
        <v>79.77</v>
      </c>
    </row>
    <row r="262" spans="1:125" x14ac:dyDescent="0.2">
      <c r="A262" s="151">
        <v>300</v>
      </c>
      <c r="B262" s="202" t="s">
        <v>593</v>
      </c>
      <c r="C262" s="203">
        <v>721.6</v>
      </c>
      <c r="D262" s="203">
        <v>0.3579</v>
      </c>
      <c r="E262" s="202">
        <v>261.98</v>
      </c>
      <c r="F262" s="202" t="s">
        <v>1675</v>
      </c>
      <c r="G262" s="202">
        <v>9.9700000000000006</v>
      </c>
      <c r="H262" s="202" t="s">
        <v>1675</v>
      </c>
      <c r="I262" s="202">
        <v>2.67</v>
      </c>
      <c r="J262" s="202" t="s">
        <v>1675</v>
      </c>
      <c r="K262" s="204"/>
      <c r="L262" s="155">
        <f t="shared" si="60"/>
        <v>300</v>
      </c>
      <c r="M262" s="155">
        <f t="shared" si="61"/>
        <v>261.98</v>
      </c>
      <c r="O262" s="151">
        <v>300</v>
      </c>
      <c r="P262" s="202" t="s">
        <v>593</v>
      </c>
      <c r="Q262" s="203">
        <v>537.1</v>
      </c>
      <c r="R262" s="203">
        <v>0.25819999999999999</v>
      </c>
      <c r="S262" s="202">
        <v>333.26</v>
      </c>
      <c r="T262" s="202" t="s">
        <v>1675</v>
      </c>
      <c r="U262" s="202">
        <v>13.02</v>
      </c>
      <c r="V262" s="202" t="s">
        <v>1675</v>
      </c>
      <c r="W262" s="202">
        <v>3.43</v>
      </c>
      <c r="X262" s="202" t="s">
        <v>1675</v>
      </c>
      <c r="Y262" s="204"/>
      <c r="Z262" s="155">
        <f t="shared" si="62"/>
        <v>300</v>
      </c>
      <c r="AA262" s="155">
        <f t="shared" si="63"/>
        <v>333.26</v>
      </c>
      <c r="AC262" s="151">
        <v>300</v>
      </c>
      <c r="AD262" s="202" t="s">
        <v>593</v>
      </c>
      <c r="AE262" s="203">
        <v>6.7119999999999997</v>
      </c>
      <c r="AF262" s="203">
        <v>2.8140000000000001E-3</v>
      </c>
      <c r="AG262" s="202">
        <v>25.16</v>
      </c>
      <c r="AH262" s="202" t="s">
        <v>1623</v>
      </c>
      <c r="AI262" s="202">
        <v>1.05</v>
      </c>
      <c r="AJ262" s="202" t="s">
        <v>1623</v>
      </c>
      <c r="AK262" s="202">
        <v>497.86</v>
      </c>
      <c r="AL262" s="202" t="s">
        <v>1675</v>
      </c>
      <c r="AM262" s="204"/>
      <c r="AN262" s="155">
        <f t="shared" si="64"/>
        <v>300</v>
      </c>
      <c r="AO262" s="155">
        <f t="shared" si="65"/>
        <v>25160</v>
      </c>
      <c r="AQ262" s="151">
        <v>300</v>
      </c>
      <c r="AR262" s="202" t="s">
        <v>593</v>
      </c>
      <c r="AS262" s="203">
        <v>0.66379999999999995</v>
      </c>
      <c r="AT262" s="203">
        <v>1.9010000000000001E-4</v>
      </c>
      <c r="AU262" s="202">
        <v>273.57</v>
      </c>
      <c r="AV262" s="202" t="s">
        <v>1623</v>
      </c>
      <c r="AW262" s="202">
        <v>11.31</v>
      </c>
      <c r="AX262" s="202" t="s">
        <v>1623</v>
      </c>
      <c r="AY262" s="202">
        <v>9.59</v>
      </c>
      <c r="AZ262" s="202" t="s">
        <v>1623</v>
      </c>
      <c r="BA262" s="204"/>
      <c r="BB262" s="155">
        <f t="shared" si="66"/>
        <v>300</v>
      </c>
      <c r="BC262" s="155">
        <f t="shared" si="67"/>
        <v>273570</v>
      </c>
      <c r="BE262" s="151">
        <v>300</v>
      </c>
      <c r="BF262" s="202" t="s">
        <v>593</v>
      </c>
      <c r="BG262" s="203">
        <v>140.4</v>
      </c>
      <c r="BH262" s="203">
        <v>6.658E-2</v>
      </c>
      <c r="BI262" s="202">
        <v>1.21</v>
      </c>
      <c r="BJ262" s="202" t="s">
        <v>1623</v>
      </c>
      <c r="BK262" s="202">
        <v>49.53</v>
      </c>
      <c r="BL262" s="202" t="s">
        <v>1665</v>
      </c>
      <c r="BM262" s="202">
        <v>4.21</v>
      </c>
      <c r="BN262" s="202" t="s">
        <v>1675</v>
      </c>
      <c r="BO262" s="204"/>
      <c r="BP262" s="155">
        <f t="shared" si="68"/>
        <v>300</v>
      </c>
      <c r="BQ262" s="155">
        <f t="shared" si="69"/>
        <v>1210</v>
      </c>
      <c r="BS262" s="151">
        <v>300</v>
      </c>
      <c r="BT262" s="202" t="s">
        <v>593</v>
      </c>
      <c r="BU262" s="203">
        <v>432.7</v>
      </c>
      <c r="BV262" s="203">
        <v>0.2117</v>
      </c>
      <c r="BW262" s="202">
        <v>406.72</v>
      </c>
      <c r="BX262" s="202" t="s">
        <v>1675</v>
      </c>
      <c r="BY262" s="202">
        <v>16.079999999999998</v>
      </c>
      <c r="BZ262" s="202" t="s">
        <v>1675</v>
      </c>
      <c r="CA262" s="202">
        <v>4.1399999999999997</v>
      </c>
      <c r="CB262" s="202" t="s">
        <v>1675</v>
      </c>
      <c r="CC262" s="204"/>
      <c r="CD262" s="155">
        <f t="shared" si="70"/>
        <v>300</v>
      </c>
      <c r="CE262" s="155">
        <f t="shared" si="71"/>
        <v>406.72</v>
      </c>
      <c r="CG262" s="151">
        <v>300</v>
      </c>
      <c r="CH262" s="202" t="s">
        <v>593</v>
      </c>
      <c r="CI262" s="203">
        <v>607.29999999999995</v>
      </c>
      <c r="CJ262" s="203">
        <v>0.29909999999999998</v>
      </c>
      <c r="CK262" s="202">
        <v>301.33999999999997</v>
      </c>
      <c r="CL262" s="202" t="s">
        <v>1675</v>
      </c>
      <c r="CM262" s="202">
        <v>11.59</v>
      </c>
      <c r="CN262" s="202" t="s">
        <v>1675</v>
      </c>
      <c r="CO262" s="202">
        <v>2.98</v>
      </c>
      <c r="CP262" s="202" t="s">
        <v>1675</v>
      </c>
      <c r="CQ262" s="204"/>
      <c r="CR262" s="155">
        <f t="shared" si="72"/>
        <v>300</v>
      </c>
      <c r="CS262" s="155">
        <f t="shared" si="73"/>
        <v>301.33999999999997</v>
      </c>
      <c r="CU262" s="202">
        <v>300</v>
      </c>
      <c r="CV262" s="203" t="s">
        <v>593</v>
      </c>
      <c r="CW262" s="203">
        <v>2825</v>
      </c>
      <c r="CX262" s="203">
        <v>1.784</v>
      </c>
      <c r="CY262" s="202">
        <v>82.01</v>
      </c>
      <c r="CZ262" s="202" t="s">
        <v>1675</v>
      </c>
      <c r="DA262" s="202">
        <v>2.74</v>
      </c>
      <c r="DB262" s="202" t="s">
        <v>1675</v>
      </c>
      <c r="DC262" s="202">
        <v>9641</v>
      </c>
      <c r="DD262" s="204" t="s">
        <v>1718</v>
      </c>
      <c r="DE262" s="204"/>
      <c r="DF262" s="155">
        <f t="shared" si="74"/>
        <v>300</v>
      </c>
      <c r="DG262" s="156">
        <f t="shared" si="75"/>
        <v>82.01</v>
      </c>
      <c r="DI262" s="202">
        <v>300</v>
      </c>
      <c r="DJ262" s="203" t="s">
        <v>593</v>
      </c>
      <c r="DK262" s="203">
        <v>2641</v>
      </c>
      <c r="DL262" s="203">
        <v>1.651</v>
      </c>
      <c r="DM262" s="202">
        <v>89.02</v>
      </c>
      <c r="DN262" s="202" t="s">
        <v>1675</v>
      </c>
      <c r="DO262" s="202">
        <v>2.97</v>
      </c>
      <c r="DP262" s="202" t="s">
        <v>1675</v>
      </c>
      <c r="DQ262" s="202">
        <v>1.02</v>
      </c>
      <c r="DR262" s="204" t="s">
        <v>1675</v>
      </c>
      <c r="DS262" s="204"/>
      <c r="DT262" s="155">
        <f t="shared" si="76"/>
        <v>300</v>
      </c>
      <c r="DU262" s="156">
        <f t="shared" si="77"/>
        <v>89.02</v>
      </c>
    </row>
    <row r="263" spans="1:125" x14ac:dyDescent="0.2">
      <c r="A263" s="151">
        <v>325</v>
      </c>
      <c r="B263" s="202" t="s">
        <v>593</v>
      </c>
      <c r="C263" s="203">
        <v>682.1</v>
      </c>
      <c r="D263" s="203">
        <v>0.3332</v>
      </c>
      <c r="E263" s="202">
        <v>297.60000000000002</v>
      </c>
      <c r="F263" s="202" t="s">
        <v>1675</v>
      </c>
      <c r="G263" s="202">
        <v>11.19</v>
      </c>
      <c r="H263" s="202" t="s">
        <v>1675</v>
      </c>
      <c r="I263" s="202">
        <v>2.98</v>
      </c>
      <c r="J263" s="202" t="s">
        <v>1675</v>
      </c>
      <c r="K263" s="204"/>
      <c r="L263" s="155">
        <f t="shared" si="60"/>
        <v>325</v>
      </c>
      <c r="M263" s="155">
        <f t="shared" si="61"/>
        <v>297.60000000000002</v>
      </c>
      <c r="O263" s="151">
        <v>325</v>
      </c>
      <c r="P263" s="202" t="s">
        <v>593</v>
      </c>
      <c r="Q263" s="203">
        <v>503.5</v>
      </c>
      <c r="R263" s="203">
        <v>0.2404</v>
      </c>
      <c r="S263" s="202">
        <v>381.31</v>
      </c>
      <c r="T263" s="202" t="s">
        <v>1675</v>
      </c>
      <c r="U263" s="202">
        <v>14.72</v>
      </c>
      <c r="V263" s="202" t="s">
        <v>1675</v>
      </c>
      <c r="W263" s="202">
        <v>3.86</v>
      </c>
      <c r="X263" s="202" t="s">
        <v>1675</v>
      </c>
      <c r="Y263" s="204"/>
      <c r="Z263" s="155">
        <f t="shared" si="62"/>
        <v>325</v>
      </c>
      <c r="AA263" s="155">
        <f t="shared" si="63"/>
        <v>381.31</v>
      </c>
      <c r="AC263" s="151">
        <v>325</v>
      </c>
      <c r="AD263" s="202" t="s">
        <v>593</v>
      </c>
      <c r="AE263" s="203">
        <v>6.32</v>
      </c>
      <c r="AF263" s="203">
        <v>2.6150000000000001E-3</v>
      </c>
      <c r="AG263" s="202">
        <v>29</v>
      </c>
      <c r="AH263" s="202" t="s">
        <v>1623</v>
      </c>
      <c r="AI263" s="202">
        <v>1.18</v>
      </c>
      <c r="AJ263" s="202" t="s">
        <v>1623</v>
      </c>
      <c r="AK263" s="202">
        <v>570.87</v>
      </c>
      <c r="AL263" s="202" t="s">
        <v>1675</v>
      </c>
      <c r="AM263" s="204"/>
      <c r="AN263" s="155">
        <f t="shared" si="64"/>
        <v>325</v>
      </c>
      <c r="AO263" s="155">
        <f t="shared" si="65"/>
        <v>29000</v>
      </c>
      <c r="AQ263" s="151">
        <v>325</v>
      </c>
      <c r="AR263" s="202" t="s">
        <v>593</v>
      </c>
      <c r="AS263" s="203">
        <v>0.63580000000000003</v>
      </c>
      <c r="AT263" s="203">
        <v>1.7660000000000001E-4</v>
      </c>
      <c r="AU263" s="202">
        <v>311.95999999999998</v>
      </c>
      <c r="AV263" s="202" t="s">
        <v>1623</v>
      </c>
      <c r="AW263" s="202">
        <v>12.64</v>
      </c>
      <c r="AX263" s="202" t="s">
        <v>1623</v>
      </c>
      <c r="AY263" s="202">
        <v>10.84</v>
      </c>
      <c r="AZ263" s="202" t="s">
        <v>1623</v>
      </c>
      <c r="BA263" s="204"/>
      <c r="BB263" s="155">
        <f t="shared" si="66"/>
        <v>325</v>
      </c>
      <c r="BC263" s="155">
        <f t="shared" si="67"/>
        <v>311960</v>
      </c>
      <c r="BE263" s="151">
        <v>325</v>
      </c>
      <c r="BF263" s="202" t="s">
        <v>593</v>
      </c>
      <c r="BG263" s="203">
        <v>131.80000000000001</v>
      </c>
      <c r="BH263" s="203">
        <v>6.1940000000000002E-2</v>
      </c>
      <c r="BI263" s="202">
        <v>1.39</v>
      </c>
      <c r="BJ263" s="202" t="s">
        <v>1623</v>
      </c>
      <c r="BK263" s="202">
        <v>56.06</v>
      </c>
      <c r="BL263" s="202" t="s">
        <v>1665</v>
      </c>
      <c r="BM263" s="202">
        <v>6.28</v>
      </c>
      <c r="BN263" s="202" t="s">
        <v>1675</v>
      </c>
      <c r="BO263" s="204"/>
      <c r="BP263" s="155">
        <f t="shared" si="68"/>
        <v>325</v>
      </c>
      <c r="BQ263" s="155">
        <f t="shared" si="69"/>
        <v>1390</v>
      </c>
      <c r="BS263" s="151">
        <v>325</v>
      </c>
      <c r="BT263" s="202" t="s">
        <v>593</v>
      </c>
      <c r="BU263" s="203">
        <v>406.7</v>
      </c>
      <c r="BV263" s="203">
        <v>0.1971</v>
      </c>
      <c r="BW263" s="202">
        <v>466.3</v>
      </c>
      <c r="BX263" s="202" t="s">
        <v>1675</v>
      </c>
      <c r="BY263" s="202">
        <v>18.190000000000001</v>
      </c>
      <c r="BZ263" s="202" t="s">
        <v>1675</v>
      </c>
      <c r="CA263" s="202">
        <v>4.68</v>
      </c>
      <c r="CB263" s="202" t="s">
        <v>1675</v>
      </c>
      <c r="CC263" s="204"/>
      <c r="CD263" s="155">
        <f t="shared" si="70"/>
        <v>325</v>
      </c>
      <c r="CE263" s="155">
        <f t="shared" si="71"/>
        <v>466.3</v>
      </c>
      <c r="CG263" s="151">
        <v>325</v>
      </c>
      <c r="CH263" s="202" t="s">
        <v>593</v>
      </c>
      <c r="CI263" s="203">
        <v>569.79999999999995</v>
      </c>
      <c r="CJ263" s="203">
        <v>0.27839999999999998</v>
      </c>
      <c r="CK263" s="202">
        <v>343.83</v>
      </c>
      <c r="CL263" s="202" t="s">
        <v>1675</v>
      </c>
      <c r="CM263" s="202">
        <v>13.08</v>
      </c>
      <c r="CN263" s="202" t="s">
        <v>1675</v>
      </c>
      <c r="CO263" s="202">
        <v>3.34</v>
      </c>
      <c r="CP263" s="202" t="s">
        <v>1675</v>
      </c>
      <c r="CQ263" s="204"/>
      <c r="CR263" s="155">
        <f t="shared" si="72"/>
        <v>325</v>
      </c>
      <c r="CS263" s="155">
        <f t="shared" si="73"/>
        <v>343.83</v>
      </c>
      <c r="CU263" s="202">
        <v>325</v>
      </c>
      <c r="CV263" s="203" t="s">
        <v>593</v>
      </c>
      <c r="CW263" s="203">
        <v>2698</v>
      </c>
      <c r="CX263" s="203">
        <v>1.663</v>
      </c>
      <c r="CY263" s="202">
        <v>91.06</v>
      </c>
      <c r="CZ263" s="202" t="s">
        <v>1675</v>
      </c>
      <c r="DA263" s="202">
        <v>3.03</v>
      </c>
      <c r="DB263" s="202" t="s">
        <v>1675</v>
      </c>
      <c r="DC263" s="202">
        <v>1.02</v>
      </c>
      <c r="DD263" s="204" t="s">
        <v>1675</v>
      </c>
      <c r="DE263" s="204"/>
      <c r="DF263" s="155">
        <f t="shared" si="74"/>
        <v>325</v>
      </c>
      <c r="DG263" s="156">
        <f t="shared" si="75"/>
        <v>91.06</v>
      </c>
      <c r="DI263" s="202">
        <v>325</v>
      </c>
      <c r="DJ263" s="203" t="s">
        <v>593</v>
      </c>
      <c r="DK263" s="203">
        <v>2533</v>
      </c>
      <c r="DL263" s="203">
        <v>1.5389999999999999</v>
      </c>
      <c r="DM263" s="202">
        <v>98.68</v>
      </c>
      <c r="DN263" s="202" t="s">
        <v>1675</v>
      </c>
      <c r="DO263" s="202">
        <v>3.28</v>
      </c>
      <c r="DP263" s="202" t="s">
        <v>1675</v>
      </c>
      <c r="DQ263" s="202">
        <v>1.0900000000000001</v>
      </c>
      <c r="DR263" s="204" t="s">
        <v>1675</v>
      </c>
      <c r="DS263" s="204"/>
      <c r="DT263" s="155">
        <f t="shared" si="76"/>
        <v>325</v>
      </c>
      <c r="DU263" s="156">
        <f t="shared" si="77"/>
        <v>98.68</v>
      </c>
    </row>
    <row r="264" spans="1:125" x14ac:dyDescent="0.2">
      <c r="A264" s="151">
        <v>350</v>
      </c>
      <c r="B264" s="202" t="s">
        <v>593</v>
      </c>
      <c r="C264" s="203">
        <v>647.4</v>
      </c>
      <c r="D264" s="203">
        <v>0.31190000000000001</v>
      </c>
      <c r="E264" s="202">
        <v>335.21</v>
      </c>
      <c r="F264" s="202" t="s">
        <v>1675</v>
      </c>
      <c r="G264" s="202">
        <v>12.41</v>
      </c>
      <c r="H264" s="202" t="s">
        <v>1675</v>
      </c>
      <c r="I264" s="202">
        <v>3.3</v>
      </c>
      <c r="J264" s="202" t="s">
        <v>1675</v>
      </c>
      <c r="K264" s="204"/>
      <c r="L264" s="155">
        <f t="shared" si="60"/>
        <v>350</v>
      </c>
      <c r="M264" s="155">
        <f t="shared" si="61"/>
        <v>335.21</v>
      </c>
      <c r="O264" s="151">
        <v>350</v>
      </c>
      <c r="P264" s="202" t="s">
        <v>593</v>
      </c>
      <c r="Q264" s="203">
        <v>474.3</v>
      </c>
      <c r="R264" s="203">
        <v>0.22500000000000001</v>
      </c>
      <c r="S264" s="202">
        <v>432.46</v>
      </c>
      <c r="T264" s="202" t="s">
        <v>1675</v>
      </c>
      <c r="U264" s="202">
        <v>16.43</v>
      </c>
      <c r="V264" s="202" t="s">
        <v>1675</v>
      </c>
      <c r="W264" s="202">
        <v>4.32</v>
      </c>
      <c r="X264" s="202" t="s">
        <v>1675</v>
      </c>
      <c r="Y264" s="204"/>
      <c r="Z264" s="155">
        <f t="shared" si="62"/>
        <v>350</v>
      </c>
      <c r="AA264" s="155">
        <f t="shared" si="63"/>
        <v>432.46</v>
      </c>
      <c r="AC264" s="151">
        <v>350</v>
      </c>
      <c r="AD264" s="202" t="s">
        <v>593</v>
      </c>
      <c r="AE264" s="203">
        <v>5.98</v>
      </c>
      <c r="AF264" s="203">
        <v>2.444E-3</v>
      </c>
      <c r="AG264" s="202">
        <v>33.06</v>
      </c>
      <c r="AH264" s="202" t="s">
        <v>1623</v>
      </c>
      <c r="AI264" s="202">
        <v>1.32</v>
      </c>
      <c r="AJ264" s="202" t="s">
        <v>1623</v>
      </c>
      <c r="AK264" s="202">
        <v>647.79</v>
      </c>
      <c r="AL264" s="202" t="s">
        <v>1675</v>
      </c>
      <c r="AM264" s="204"/>
      <c r="AN264" s="155">
        <f t="shared" si="64"/>
        <v>350</v>
      </c>
      <c r="AO264" s="155">
        <f t="shared" si="65"/>
        <v>33060</v>
      </c>
      <c r="AQ264" s="151">
        <v>350</v>
      </c>
      <c r="AR264" s="202" t="s">
        <v>593</v>
      </c>
      <c r="AS264" s="203">
        <v>0.61180000000000001</v>
      </c>
      <c r="AT264" s="203">
        <v>1.65E-4</v>
      </c>
      <c r="AU264" s="202">
        <v>351.95</v>
      </c>
      <c r="AV264" s="202" t="s">
        <v>1623</v>
      </c>
      <c r="AW264" s="202">
        <v>13.95</v>
      </c>
      <c r="AX264" s="202" t="s">
        <v>1623</v>
      </c>
      <c r="AY264" s="202">
        <v>12.13</v>
      </c>
      <c r="AZ264" s="202" t="s">
        <v>1623</v>
      </c>
      <c r="BA264" s="204"/>
      <c r="BB264" s="155">
        <f t="shared" si="66"/>
        <v>350</v>
      </c>
      <c r="BC264" s="155">
        <f t="shared" si="67"/>
        <v>351950</v>
      </c>
      <c r="BE264" s="151">
        <v>350</v>
      </c>
      <c r="BF264" s="202" t="s">
        <v>593</v>
      </c>
      <c r="BG264" s="203">
        <v>124.3</v>
      </c>
      <c r="BH264" s="203">
        <v>5.7930000000000002E-2</v>
      </c>
      <c r="BI264" s="202">
        <v>1.59</v>
      </c>
      <c r="BJ264" s="202" t="s">
        <v>1623</v>
      </c>
      <c r="BK264" s="202">
        <v>62.63</v>
      </c>
      <c r="BL264" s="202" t="s">
        <v>1665</v>
      </c>
      <c r="BM264" s="202">
        <v>8.4700000000000006</v>
      </c>
      <c r="BN264" s="202" t="s">
        <v>1675</v>
      </c>
      <c r="BO264" s="204"/>
      <c r="BP264" s="155">
        <f t="shared" si="68"/>
        <v>350</v>
      </c>
      <c r="BQ264" s="155">
        <f t="shared" si="69"/>
        <v>1590</v>
      </c>
      <c r="BS264" s="151">
        <v>350</v>
      </c>
      <c r="BT264" s="202" t="s">
        <v>593</v>
      </c>
      <c r="BU264" s="203">
        <v>384.3</v>
      </c>
      <c r="BV264" s="203">
        <v>0.18440000000000001</v>
      </c>
      <c r="BW264" s="202">
        <v>529.52</v>
      </c>
      <c r="BX264" s="202" t="s">
        <v>1675</v>
      </c>
      <c r="BY264" s="202">
        <v>20.309999999999999</v>
      </c>
      <c r="BZ264" s="202" t="s">
        <v>1675</v>
      </c>
      <c r="CA264" s="202">
        <v>5.26</v>
      </c>
      <c r="CB264" s="202" t="s">
        <v>1675</v>
      </c>
      <c r="CC264" s="204"/>
      <c r="CD264" s="155">
        <f t="shared" si="70"/>
        <v>350</v>
      </c>
      <c r="CE264" s="155">
        <f t="shared" si="71"/>
        <v>529.52</v>
      </c>
      <c r="CG264" s="151">
        <v>350</v>
      </c>
      <c r="CH264" s="202" t="s">
        <v>593</v>
      </c>
      <c r="CI264" s="203">
        <v>536.79999999999995</v>
      </c>
      <c r="CJ264" s="203">
        <v>0.2606</v>
      </c>
      <c r="CK264" s="202">
        <v>389.02</v>
      </c>
      <c r="CL264" s="202" t="s">
        <v>1675</v>
      </c>
      <c r="CM264" s="202">
        <v>14.58</v>
      </c>
      <c r="CN264" s="202" t="s">
        <v>1675</v>
      </c>
      <c r="CO264" s="202">
        <v>3.72</v>
      </c>
      <c r="CP264" s="202" t="s">
        <v>1675</v>
      </c>
      <c r="CQ264" s="204"/>
      <c r="CR264" s="155">
        <f t="shared" si="72"/>
        <v>350</v>
      </c>
      <c r="CS264" s="155">
        <f t="shared" si="73"/>
        <v>389.02</v>
      </c>
      <c r="CU264" s="202">
        <v>350</v>
      </c>
      <c r="CV264" s="203" t="s">
        <v>593</v>
      </c>
      <c r="CW264" s="203">
        <v>2582</v>
      </c>
      <c r="CX264" s="203">
        <v>1.5580000000000001</v>
      </c>
      <c r="CY264" s="202">
        <v>100.53</v>
      </c>
      <c r="CZ264" s="202" t="s">
        <v>1675</v>
      </c>
      <c r="DA264" s="202">
        <v>3.32</v>
      </c>
      <c r="DB264" s="202" t="s">
        <v>1675</v>
      </c>
      <c r="DC264" s="202">
        <v>1.08</v>
      </c>
      <c r="DD264" s="204" t="s">
        <v>1675</v>
      </c>
      <c r="DE264" s="204"/>
      <c r="DF264" s="155">
        <f t="shared" si="74"/>
        <v>350</v>
      </c>
      <c r="DG264" s="156">
        <f t="shared" si="75"/>
        <v>100.53</v>
      </c>
      <c r="DI264" s="202">
        <v>350</v>
      </c>
      <c r="DJ264" s="203" t="s">
        <v>593</v>
      </c>
      <c r="DK264" s="203">
        <v>2435</v>
      </c>
      <c r="DL264" s="203">
        <v>1.4410000000000001</v>
      </c>
      <c r="DM264" s="202">
        <v>108.74</v>
      </c>
      <c r="DN264" s="202" t="s">
        <v>1675</v>
      </c>
      <c r="DO264" s="202">
        <v>3.58</v>
      </c>
      <c r="DP264" s="202" t="s">
        <v>1675</v>
      </c>
      <c r="DQ264" s="202">
        <v>1.1499999999999999</v>
      </c>
      <c r="DR264" s="204" t="s">
        <v>1675</v>
      </c>
      <c r="DS264" s="204"/>
      <c r="DT264" s="155">
        <f t="shared" si="76"/>
        <v>350</v>
      </c>
      <c r="DU264" s="156">
        <f t="shared" si="77"/>
        <v>108.74</v>
      </c>
    </row>
    <row r="265" spans="1:125" x14ac:dyDescent="0.2">
      <c r="A265" s="151">
        <v>375</v>
      </c>
      <c r="B265" s="202" t="s">
        <v>593</v>
      </c>
      <c r="C265" s="203">
        <v>616.5</v>
      </c>
      <c r="D265" s="203">
        <v>0.29320000000000002</v>
      </c>
      <c r="E265" s="202">
        <v>374.77</v>
      </c>
      <c r="F265" s="202" t="s">
        <v>1675</v>
      </c>
      <c r="G265" s="202">
        <v>13.63</v>
      </c>
      <c r="H265" s="202" t="s">
        <v>1675</v>
      </c>
      <c r="I265" s="202">
        <v>3.63</v>
      </c>
      <c r="J265" s="202" t="s">
        <v>1675</v>
      </c>
      <c r="K265" s="204"/>
      <c r="L265" s="155">
        <f t="shared" si="60"/>
        <v>375</v>
      </c>
      <c r="M265" s="155">
        <f t="shared" si="61"/>
        <v>374.77</v>
      </c>
      <c r="O265" s="151">
        <v>375</v>
      </c>
      <c r="P265" s="202" t="s">
        <v>593</v>
      </c>
      <c r="Q265" s="203">
        <v>448.7</v>
      </c>
      <c r="R265" s="203">
        <v>0.21149999999999999</v>
      </c>
      <c r="S265" s="202">
        <v>486.64</v>
      </c>
      <c r="T265" s="202" t="s">
        <v>1675</v>
      </c>
      <c r="U265" s="202">
        <v>18.16</v>
      </c>
      <c r="V265" s="202" t="s">
        <v>1675</v>
      </c>
      <c r="W265" s="202">
        <v>4.8099999999999996</v>
      </c>
      <c r="X265" s="202" t="s">
        <v>1675</v>
      </c>
      <c r="Y265" s="204"/>
      <c r="Z265" s="155">
        <f t="shared" si="62"/>
        <v>375</v>
      </c>
      <c r="AA265" s="155">
        <f t="shared" si="63"/>
        <v>486.64</v>
      </c>
      <c r="AC265" s="151">
        <v>375</v>
      </c>
      <c r="AD265" s="202" t="s">
        <v>593</v>
      </c>
      <c r="AE265" s="203">
        <v>5.6820000000000004</v>
      </c>
      <c r="AF265" s="203">
        <v>2.294E-3</v>
      </c>
      <c r="AG265" s="202">
        <v>37.35</v>
      </c>
      <c r="AH265" s="202" t="s">
        <v>1623</v>
      </c>
      <c r="AI265" s="202">
        <v>1.46</v>
      </c>
      <c r="AJ265" s="202" t="s">
        <v>1623</v>
      </c>
      <c r="AK265" s="202">
        <v>728.47</v>
      </c>
      <c r="AL265" s="202" t="s">
        <v>1675</v>
      </c>
      <c r="AM265" s="204"/>
      <c r="AN265" s="155">
        <f t="shared" si="64"/>
        <v>375</v>
      </c>
      <c r="AO265" s="155">
        <f t="shared" si="65"/>
        <v>37350</v>
      </c>
      <c r="AQ265" s="151">
        <v>375</v>
      </c>
      <c r="AR265" s="202" t="s">
        <v>593</v>
      </c>
      <c r="AS265" s="203">
        <v>0.59099999999999997</v>
      </c>
      <c r="AT265" s="203">
        <v>1.548E-4</v>
      </c>
      <c r="AU265" s="202">
        <v>393.43</v>
      </c>
      <c r="AV265" s="202" t="s">
        <v>1623</v>
      </c>
      <c r="AW265" s="202">
        <v>15.23</v>
      </c>
      <c r="AX265" s="202" t="s">
        <v>1623</v>
      </c>
      <c r="AY265" s="202">
        <v>13.44</v>
      </c>
      <c r="AZ265" s="202" t="s">
        <v>1623</v>
      </c>
      <c r="BA265" s="204"/>
      <c r="BB265" s="155">
        <f t="shared" si="66"/>
        <v>375</v>
      </c>
      <c r="BC265" s="155">
        <f t="shared" si="67"/>
        <v>393430</v>
      </c>
      <c r="BE265" s="151">
        <v>375</v>
      </c>
      <c r="BF265" s="202" t="s">
        <v>593</v>
      </c>
      <c r="BG265" s="203">
        <v>117.7</v>
      </c>
      <c r="BH265" s="203">
        <v>5.4429999999999999E-2</v>
      </c>
      <c r="BI265" s="202">
        <v>1.79</v>
      </c>
      <c r="BJ265" s="202" t="s">
        <v>1623</v>
      </c>
      <c r="BK265" s="202">
        <v>69.260000000000005</v>
      </c>
      <c r="BL265" s="202" t="s">
        <v>1561</v>
      </c>
      <c r="BM265" s="202">
        <v>0.79</v>
      </c>
      <c r="BN265" s="202" t="s">
        <v>1675</v>
      </c>
      <c r="BO265" s="204"/>
      <c r="BP265" s="155">
        <f t="shared" si="68"/>
        <v>375</v>
      </c>
      <c r="BQ265" s="155">
        <f t="shared" si="69"/>
        <v>1790</v>
      </c>
      <c r="BS265" s="151">
        <v>375</v>
      </c>
      <c r="BT265" s="202" t="s">
        <v>593</v>
      </c>
      <c r="BU265" s="203">
        <v>365</v>
      </c>
      <c r="BV265" s="203">
        <v>0.17330000000000001</v>
      </c>
      <c r="BW265" s="202">
        <v>596.25</v>
      </c>
      <c r="BX265" s="202" t="s">
        <v>1675</v>
      </c>
      <c r="BY265" s="202">
        <v>22.43</v>
      </c>
      <c r="BZ265" s="202" t="s">
        <v>1675</v>
      </c>
      <c r="CA265" s="202">
        <v>5.87</v>
      </c>
      <c r="CB265" s="202" t="s">
        <v>1675</v>
      </c>
      <c r="CC265" s="204"/>
      <c r="CD265" s="155">
        <f t="shared" si="70"/>
        <v>375</v>
      </c>
      <c r="CE265" s="155">
        <f t="shared" si="71"/>
        <v>596.25</v>
      </c>
      <c r="CG265" s="151">
        <v>375</v>
      </c>
      <c r="CH265" s="202" t="s">
        <v>593</v>
      </c>
      <c r="CI265" s="203">
        <v>507.8</v>
      </c>
      <c r="CJ265" s="203">
        <v>0.245</v>
      </c>
      <c r="CK265" s="202">
        <v>436.89</v>
      </c>
      <c r="CL265" s="202" t="s">
        <v>1675</v>
      </c>
      <c r="CM265" s="202">
        <v>16.100000000000001</v>
      </c>
      <c r="CN265" s="202" t="s">
        <v>1675</v>
      </c>
      <c r="CO265" s="202">
        <v>4.12</v>
      </c>
      <c r="CP265" s="202" t="s">
        <v>1675</v>
      </c>
      <c r="CQ265" s="204"/>
      <c r="CR265" s="155">
        <f t="shared" si="72"/>
        <v>375</v>
      </c>
      <c r="CS265" s="155">
        <f t="shared" si="73"/>
        <v>436.89</v>
      </c>
      <c r="CU265" s="202">
        <v>375</v>
      </c>
      <c r="CV265" s="203" t="s">
        <v>593</v>
      </c>
      <c r="CW265" s="203">
        <v>2477</v>
      </c>
      <c r="CX265" s="203">
        <v>1.466</v>
      </c>
      <c r="CY265" s="202">
        <v>110.41</v>
      </c>
      <c r="CZ265" s="202" t="s">
        <v>1675</v>
      </c>
      <c r="DA265" s="202">
        <v>3.6</v>
      </c>
      <c r="DB265" s="202" t="s">
        <v>1675</v>
      </c>
      <c r="DC265" s="202">
        <v>1.1399999999999999</v>
      </c>
      <c r="DD265" s="204" t="s">
        <v>1675</v>
      </c>
      <c r="DE265" s="204"/>
      <c r="DF265" s="155">
        <f t="shared" si="74"/>
        <v>375</v>
      </c>
      <c r="DG265" s="156">
        <f t="shared" si="75"/>
        <v>110.41</v>
      </c>
      <c r="DI265" s="202">
        <v>375</v>
      </c>
      <c r="DJ265" s="203" t="s">
        <v>593</v>
      </c>
      <c r="DK265" s="203">
        <v>2344</v>
      </c>
      <c r="DL265" s="203">
        <v>1.3560000000000001</v>
      </c>
      <c r="DM265" s="202">
        <v>119.2</v>
      </c>
      <c r="DN265" s="202" t="s">
        <v>1675</v>
      </c>
      <c r="DO265" s="202">
        <v>3.88</v>
      </c>
      <c r="DP265" s="202" t="s">
        <v>1675</v>
      </c>
      <c r="DQ265" s="202">
        <v>1.22</v>
      </c>
      <c r="DR265" s="204" t="s">
        <v>1675</v>
      </c>
      <c r="DS265" s="204"/>
      <c r="DT265" s="155">
        <f t="shared" si="76"/>
        <v>375</v>
      </c>
      <c r="DU265" s="156">
        <f t="shared" si="77"/>
        <v>119.2</v>
      </c>
    </row>
    <row r="266" spans="1:125" x14ac:dyDescent="0.2">
      <c r="A266" s="151">
        <v>400</v>
      </c>
      <c r="B266" s="202" t="s">
        <v>593</v>
      </c>
      <c r="C266" s="203">
        <v>588.79999999999995</v>
      </c>
      <c r="D266" s="203">
        <v>0.2767</v>
      </c>
      <c r="E266" s="202">
        <v>416.25</v>
      </c>
      <c r="F266" s="202" t="s">
        <v>1675</v>
      </c>
      <c r="G266" s="202">
        <v>14.87</v>
      </c>
      <c r="H266" s="202" t="s">
        <v>1675</v>
      </c>
      <c r="I266" s="202">
        <v>3.98</v>
      </c>
      <c r="J266" s="202" t="s">
        <v>1675</v>
      </c>
      <c r="K266" s="204"/>
      <c r="L266" s="155">
        <f t="shared" si="60"/>
        <v>400</v>
      </c>
      <c r="M266" s="155">
        <f t="shared" si="61"/>
        <v>416.25</v>
      </c>
      <c r="O266" s="151">
        <v>400</v>
      </c>
      <c r="P266" s="202" t="s">
        <v>593</v>
      </c>
      <c r="Q266" s="203">
        <v>426.1</v>
      </c>
      <c r="R266" s="203">
        <v>0.1996</v>
      </c>
      <c r="S266" s="202">
        <v>543.79999999999995</v>
      </c>
      <c r="T266" s="202" t="s">
        <v>1675</v>
      </c>
      <c r="U266" s="202">
        <v>19.91</v>
      </c>
      <c r="V266" s="202" t="s">
        <v>1675</v>
      </c>
      <c r="W266" s="202">
        <v>5.33</v>
      </c>
      <c r="X266" s="202" t="s">
        <v>1675</v>
      </c>
      <c r="Y266" s="204"/>
      <c r="Z266" s="155">
        <f t="shared" si="62"/>
        <v>400</v>
      </c>
      <c r="AA266" s="155">
        <f t="shared" si="63"/>
        <v>543.79999999999995</v>
      </c>
      <c r="AC266" s="151">
        <v>400</v>
      </c>
      <c r="AD266" s="202" t="s">
        <v>593</v>
      </c>
      <c r="AE266" s="203">
        <v>5.4189999999999996</v>
      </c>
      <c r="AF266" s="203">
        <v>2.163E-3</v>
      </c>
      <c r="AG266" s="202">
        <v>41.85</v>
      </c>
      <c r="AH266" s="202" t="s">
        <v>1623</v>
      </c>
      <c r="AI266" s="202">
        <v>1.6</v>
      </c>
      <c r="AJ266" s="202" t="s">
        <v>1623</v>
      </c>
      <c r="AK266" s="202">
        <v>812.79</v>
      </c>
      <c r="AL266" s="202" t="s">
        <v>1675</v>
      </c>
      <c r="AM266" s="204"/>
      <c r="AN266" s="155">
        <f t="shared" si="64"/>
        <v>400</v>
      </c>
      <c r="AO266" s="155">
        <f t="shared" si="65"/>
        <v>41850</v>
      </c>
      <c r="AQ266" s="151">
        <v>400</v>
      </c>
      <c r="AR266" s="202" t="s">
        <v>593</v>
      </c>
      <c r="AS266" s="203">
        <v>0.57279999999999998</v>
      </c>
      <c r="AT266" s="203">
        <v>1.459E-4</v>
      </c>
      <c r="AU266" s="202">
        <v>436.3</v>
      </c>
      <c r="AV266" s="202" t="s">
        <v>1623</v>
      </c>
      <c r="AW266" s="202">
        <v>16.5</v>
      </c>
      <c r="AX266" s="202" t="s">
        <v>1623</v>
      </c>
      <c r="AY266" s="202">
        <v>14.78</v>
      </c>
      <c r="AZ266" s="202" t="s">
        <v>1623</v>
      </c>
      <c r="BA266" s="204"/>
      <c r="BB266" s="155">
        <f t="shared" si="66"/>
        <v>400</v>
      </c>
      <c r="BC266" s="155">
        <f t="shared" si="67"/>
        <v>436300</v>
      </c>
      <c r="BE266" s="151">
        <v>400</v>
      </c>
      <c r="BF266" s="202" t="s">
        <v>593</v>
      </c>
      <c r="BG266" s="203">
        <v>111.8</v>
      </c>
      <c r="BH266" s="203">
        <v>5.135E-2</v>
      </c>
      <c r="BI266" s="202">
        <v>2.0099999999999998</v>
      </c>
      <c r="BJ266" s="202" t="s">
        <v>1623</v>
      </c>
      <c r="BK266" s="202">
        <v>75.959999999999994</v>
      </c>
      <c r="BL266" s="202" t="s">
        <v>1561</v>
      </c>
      <c r="BM266" s="202">
        <v>3.22</v>
      </c>
      <c r="BN266" s="202" t="s">
        <v>1675</v>
      </c>
      <c r="BO266" s="204"/>
      <c r="BP266" s="155">
        <f t="shared" si="68"/>
        <v>400</v>
      </c>
      <c r="BQ266" s="155">
        <f t="shared" si="69"/>
        <v>2009.9999999999998</v>
      </c>
      <c r="BS266" s="151">
        <v>400</v>
      </c>
      <c r="BT266" s="202" t="s">
        <v>593</v>
      </c>
      <c r="BU266" s="203">
        <v>347.9</v>
      </c>
      <c r="BV266" s="203">
        <v>0.1636</v>
      </c>
      <c r="BW266" s="202">
        <v>666.38</v>
      </c>
      <c r="BX266" s="202" t="s">
        <v>1675</v>
      </c>
      <c r="BY266" s="202">
        <v>24.57</v>
      </c>
      <c r="BZ266" s="202" t="s">
        <v>1675</v>
      </c>
      <c r="CA266" s="202">
        <v>6.51</v>
      </c>
      <c r="CB266" s="202" t="s">
        <v>1675</v>
      </c>
      <c r="CC266" s="204"/>
      <c r="CD266" s="155">
        <f t="shared" si="70"/>
        <v>400</v>
      </c>
      <c r="CE266" s="155">
        <f t="shared" si="71"/>
        <v>666.38</v>
      </c>
      <c r="CG266" s="151">
        <v>400</v>
      </c>
      <c r="CH266" s="202" t="s">
        <v>593</v>
      </c>
      <c r="CI266" s="203">
        <v>482</v>
      </c>
      <c r="CJ266" s="203">
        <v>0.23119999999999999</v>
      </c>
      <c r="CK266" s="202">
        <v>487.41</v>
      </c>
      <c r="CL266" s="202" t="s">
        <v>1675</v>
      </c>
      <c r="CM266" s="202">
        <v>17.649999999999999</v>
      </c>
      <c r="CN266" s="202" t="s">
        <v>1675</v>
      </c>
      <c r="CO266" s="202">
        <v>4.55</v>
      </c>
      <c r="CP266" s="202" t="s">
        <v>1675</v>
      </c>
      <c r="CQ266" s="204"/>
      <c r="CR266" s="155">
        <f t="shared" si="72"/>
        <v>400</v>
      </c>
      <c r="CS266" s="155">
        <f t="shared" si="73"/>
        <v>487.41</v>
      </c>
      <c r="CU266" s="202">
        <v>400</v>
      </c>
      <c r="CV266" s="203" t="s">
        <v>593</v>
      </c>
      <c r="CW266" s="203">
        <v>2382</v>
      </c>
      <c r="CX266" s="203">
        <v>1.3839999999999999</v>
      </c>
      <c r="CY266" s="202">
        <v>120.7</v>
      </c>
      <c r="CZ266" s="202" t="s">
        <v>1675</v>
      </c>
      <c r="DA266" s="202">
        <v>3.89</v>
      </c>
      <c r="DB266" s="202" t="s">
        <v>1675</v>
      </c>
      <c r="DC266" s="202">
        <v>1.21</v>
      </c>
      <c r="DD266" s="204" t="s">
        <v>1675</v>
      </c>
      <c r="DE266" s="204"/>
      <c r="DF266" s="155">
        <f t="shared" si="74"/>
        <v>400</v>
      </c>
      <c r="DG266" s="156">
        <f t="shared" si="75"/>
        <v>120.7</v>
      </c>
      <c r="DI266" s="202">
        <v>400</v>
      </c>
      <c r="DJ266" s="203" t="s">
        <v>593</v>
      </c>
      <c r="DK266" s="203">
        <v>2260</v>
      </c>
      <c r="DL266" s="203">
        <v>1.2809999999999999</v>
      </c>
      <c r="DM266" s="202">
        <v>130.06</v>
      </c>
      <c r="DN266" s="202" t="s">
        <v>1675</v>
      </c>
      <c r="DO266" s="202">
        <v>4.17</v>
      </c>
      <c r="DP266" s="202" t="s">
        <v>1675</v>
      </c>
      <c r="DQ266" s="202">
        <v>1.28</v>
      </c>
      <c r="DR266" s="204" t="s">
        <v>1675</v>
      </c>
      <c r="DS266" s="204"/>
      <c r="DT266" s="155">
        <f t="shared" si="76"/>
        <v>400</v>
      </c>
      <c r="DU266" s="156">
        <f t="shared" si="77"/>
        <v>130.06</v>
      </c>
    </row>
    <row r="267" spans="1:125" x14ac:dyDescent="0.2">
      <c r="A267" s="151">
        <v>450</v>
      </c>
      <c r="B267" s="202" t="s">
        <v>593</v>
      </c>
      <c r="C267" s="203">
        <v>541.1</v>
      </c>
      <c r="D267" s="203">
        <v>0.249</v>
      </c>
      <c r="E267" s="202">
        <v>504.82</v>
      </c>
      <c r="F267" s="202" t="s">
        <v>1675</v>
      </c>
      <c r="G267" s="202">
        <v>19.48</v>
      </c>
      <c r="H267" s="202" t="s">
        <v>1675</v>
      </c>
      <c r="I267" s="202">
        <v>4.72</v>
      </c>
      <c r="J267" s="202" t="s">
        <v>1675</v>
      </c>
      <c r="K267" s="204"/>
      <c r="L267" s="155">
        <f t="shared" si="60"/>
        <v>450</v>
      </c>
      <c r="M267" s="155">
        <f t="shared" si="61"/>
        <v>504.82</v>
      </c>
      <c r="O267" s="151">
        <v>450</v>
      </c>
      <c r="P267" s="202" t="s">
        <v>593</v>
      </c>
      <c r="Q267" s="203">
        <v>388.7</v>
      </c>
      <c r="R267" s="203">
        <v>0.17949999999999999</v>
      </c>
      <c r="S267" s="202">
        <v>666.63</v>
      </c>
      <c r="T267" s="202" t="s">
        <v>1675</v>
      </c>
      <c r="U267" s="202">
        <v>26.49</v>
      </c>
      <c r="V267" s="202" t="s">
        <v>1675</v>
      </c>
      <c r="W267" s="202">
        <v>6.43</v>
      </c>
      <c r="X267" s="202" t="s">
        <v>1675</v>
      </c>
      <c r="Y267" s="204"/>
      <c r="Z267" s="155">
        <f t="shared" si="62"/>
        <v>450</v>
      </c>
      <c r="AA267" s="155">
        <f t="shared" si="63"/>
        <v>666.63</v>
      </c>
      <c r="AC267" s="151">
        <v>450</v>
      </c>
      <c r="AD267" s="202" t="s">
        <v>593</v>
      </c>
      <c r="AE267" s="203">
        <v>4.976</v>
      </c>
      <c r="AF267" s="203">
        <v>1.941E-3</v>
      </c>
      <c r="AG267" s="202">
        <v>51.47</v>
      </c>
      <c r="AH267" s="202" t="s">
        <v>1623</v>
      </c>
      <c r="AI267" s="202">
        <v>2.11</v>
      </c>
      <c r="AJ267" s="202" t="s">
        <v>1623</v>
      </c>
      <c r="AK267" s="202">
        <v>991.88</v>
      </c>
      <c r="AL267" s="202" t="s">
        <v>1675</v>
      </c>
      <c r="AM267" s="204"/>
      <c r="AN267" s="155">
        <f t="shared" si="64"/>
        <v>450</v>
      </c>
      <c r="AO267" s="155">
        <f t="shared" si="65"/>
        <v>51470</v>
      </c>
      <c r="AQ267" s="151">
        <v>450</v>
      </c>
      <c r="AR267" s="202" t="s">
        <v>593</v>
      </c>
      <c r="AS267" s="203">
        <v>0.54269999999999996</v>
      </c>
      <c r="AT267" s="203">
        <v>1.3090000000000001E-4</v>
      </c>
      <c r="AU267" s="202">
        <v>525.79999999999995</v>
      </c>
      <c r="AV267" s="202" t="s">
        <v>1623</v>
      </c>
      <c r="AW267" s="202">
        <v>20.98</v>
      </c>
      <c r="AX267" s="202" t="s">
        <v>1623</v>
      </c>
      <c r="AY267" s="202">
        <v>17.54</v>
      </c>
      <c r="AZ267" s="202" t="s">
        <v>1623</v>
      </c>
      <c r="BA267" s="204"/>
      <c r="BB267" s="155">
        <f t="shared" si="66"/>
        <v>450</v>
      </c>
      <c r="BC267" s="155">
        <f t="shared" si="67"/>
        <v>525800</v>
      </c>
      <c r="BE267" s="151">
        <v>450</v>
      </c>
      <c r="BF267" s="202" t="s">
        <v>593</v>
      </c>
      <c r="BG267" s="203">
        <v>101.8</v>
      </c>
      <c r="BH267" s="203">
        <v>4.616E-2</v>
      </c>
      <c r="BI267" s="202">
        <v>2.48</v>
      </c>
      <c r="BJ267" s="202" t="s">
        <v>1623</v>
      </c>
      <c r="BK267" s="202">
        <v>101.1</v>
      </c>
      <c r="BL267" s="202" t="s">
        <v>1561</v>
      </c>
      <c r="BM267" s="202">
        <v>8.43</v>
      </c>
      <c r="BN267" s="202" t="s">
        <v>1675</v>
      </c>
      <c r="BO267" s="204"/>
      <c r="BP267" s="155">
        <f t="shared" si="68"/>
        <v>450</v>
      </c>
      <c r="BQ267" s="155">
        <f t="shared" si="69"/>
        <v>2480</v>
      </c>
      <c r="BS267" s="151">
        <v>450</v>
      </c>
      <c r="BT267" s="202" t="s">
        <v>593</v>
      </c>
      <c r="BU267" s="203">
        <v>319</v>
      </c>
      <c r="BV267" s="203">
        <v>0.14710000000000001</v>
      </c>
      <c r="BW267" s="202">
        <v>816.45</v>
      </c>
      <c r="BX267" s="202" t="s">
        <v>1675</v>
      </c>
      <c r="BY267" s="202">
        <v>32.54</v>
      </c>
      <c r="BZ267" s="202" t="s">
        <v>1675</v>
      </c>
      <c r="CA267" s="202">
        <v>7.87</v>
      </c>
      <c r="CB267" s="202" t="s">
        <v>1675</v>
      </c>
      <c r="CC267" s="204"/>
      <c r="CD267" s="155">
        <f t="shared" si="70"/>
        <v>450</v>
      </c>
      <c r="CE267" s="155">
        <f t="shared" si="71"/>
        <v>816.45</v>
      </c>
      <c r="CG267" s="151">
        <v>450</v>
      </c>
      <c r="CH267" s="202" t="s">
        <v>593</v>
      </c>
      <c r="CI267" s="203">
        <v>438.4</v>
      </c>
      <c r="CJ267" s="203">
        <v>0.20799999999999999</v>
      </c>
      <c r="CK267" s="202">
        <v>596.16</v>
      </c>
      <c r="CL267" s="202" t="s">
        <v>1675</v>
      </c>
      <c r="CM267" s="202">
        <v>23.46</v>
      </c>
      <c r="CN267" s="202" t="s">
        <v>1675</v>
      </c>
      <c r="CO267" s="202">
        <v>5.46</v>
      </c>
      <c r="CP267" s="202" t="s">
        <v>1675</v>
      </c>
      <c r="CQ267" s="204"/>
      <c r="CR267" s="155">
        <f t="shared" si="72"/>
        <v>450</v>
      </c>
      <c r="CS267" s="155">
        <f t="shared" si="73"/>
        <v>596.16</v>
      </c>
      <c r="CU267" s="202">
        <v>450</v>
      </c>
      <c r="CV267" s="203" t="s">
        <v>593</v>
      </c>
      <c r="CW267" s="203">
        <v>2214</v>
      </c>
      <c r="CX267" s="203">
        <v>1.2470000000000001</v>
      </c>
      <c r="CY267" s="202">
        <v>142.47</v>
      </c>
      <c r="CZ267" s="202" t="s">
        <v>1675</v>
      </c>
      <c r="DA267" s="202">
        <v>4.97</v>
      </c>
      <c r="DB267" s="202" t="s">
        <v>1675</v>
      </c>
      <c r="DC267" s="202">
        <v>1.35</v>
      </c>
      <c r="DD267" s="204" t="s">
        <v>1675</v>
      </c>
      <c r="DE267" s="204"/>
      <c r="DF267" s="155">
        <f t="shared" si="74"/>
        <v>450</v>
      </c>
      <c r="DG267" s="156">
        <f t="shared" si="75"/>
        <v>142.47</v>
      </c>
      <c r="DI267" s="202">
        <v>450</v>
      </c>
      <c r="DJ267" s="203" t="s">
        <v>593</v>
      </c>
      <c r="DK267" s="203">
        <v>2109</v>
      </c>
      <c r="DL267" s="203">
        <v>1.1539999999999999</v>
      </c>
      <c r="DM267" s="202">
        <v>152.96</v>
      </c>
      <c r="DN267" s="202" t="s">
        <v>1675</v>
      </c>
      <c r="DO267" s="202">
        <v>5.29</v>
      </c>
      <c r="DP267" s="202" t="s">
        <v>1675</v>
      </c>
      <c r="DQ267" s="202">
        <v>1.43</v>
      </c>
      <c r="DR267" s="204" t="s">
        <v>1675</v>
      </c>
      <c r="DS267" s="204"/>
      <c r="DT267" s="155">
        <f t="shared" si="76"/>
        <v>450</v>
      </c>
      <c r="DU267" s="156">
        <f t="shared" si="77"/>
        <v>152.96</v>
      </c>
    </row>
    <row r="268" spans="1:125" x14ac:dyDescent="0.2">
      <c r="A268" s="151">
        <v>500</v>
      </c>
      <c r="B268" s="202" t="s">
        <v>593</v>
      </c>
      <c r="C268" s="203">
        <v>501.3</v>
      </c>
      <c r="D268" s="203">
        <v>0.2266</v>
      </c>
      <c r="E268" s="202">
        <v>600.79999999999995</v>
      </c>
      <c r="F268" s="202" t="s">
        <v>1675</v>
      </c>
      <c r="G268" s="202">
        <v>23.79</v>
      </c>
      <c r="H268" s="202" t="s">
        <v>1675</v>
      </c>
      <c r="I268" s="202">
        <v>5.52</v>
      </c>
      <c r="J268" s="202" t="s">
        <v>1675</v>
      </c>
      <c r="K268" s="204"/>
      <c r="L268" s="155">
        <f t="shared" si="60"/>
        <v>500</v>
      </c>
      <c r="M268" s="155">
        <f t="shared" si="61"/>
        <v>600.79999999999995</v>
      </c>
      <c r="O268" s="151">
        <v>500</v>
      </c>
      <c r="P268" s="202" t="s">
        <v>593</v>
      </c>
      <c r="Q268" s="203">
        <v>359.5</v>
      </c>
      <c r="R268" s="203">
        <v>0.1633</v>
      </c>
      <c r="S268" s="202">
        <v>800.35</v>
      </c>
      <c r="T268" s="202" t="s">
        <v>1675</v>
      </c>
      <c r="U268" s="202">
        <v>32.61</v>
      </c>
      <c r="V268" s="202" t="s">
        <v>1675</v>
      </c>
      <c r="W268" s="202">
        <v>7.63</v>
      </c>
      <c r="X268" s="202" t="s">
        <v>1675</v>
      </c>
      <c r="Y268" s="204"/>
      <c r="Z268" s="155">
        <f t="shared" si="62"/>
        <v>500</v>
      </c>
      <c r="AA268" s="155">
        <f t="shared" si="63"/>
        <v>800.35</v>
      </c>
      <c r="AC268" s="151">
        <v>500</v>
      </c>
      <c r="AD268" s="202" t="s">
        <v>593</v>
      </c>
      <c r="AE268" s="203">
        <v>4.6159999999999997</v>
      </c>
      <c r="AF268" s="203">
        <v>1.7619999999999999E-3</v>
      </c>
      <c r="AG268" s="202">
        <v>61.9</v>
      </c>
      <c r="AH268" s="202" t="s">
        <v>1623</v>
      </c>
      <c r="AI268" s="202">
        <v>2.58</v>
      </c>
      <c r="AJ268" s="202" t="s">
        <v>1623</v>
      </c>
      <c r="AK268" s="202">
        <v>1.18</v>
      </c>
      <c r="AL268" s="202" t="s">
        <v>1623</v>
      </c>
      <c r="AM268" s="204"/>
      <c r="AN268" s="155">
        <f t="shared" si="64"/>
        <v>500</v>
      </c>
      <c r="AO268" s="155">
        <f t="shared" si="65"/>
        <v>61900</v>
      </c>
      <c r="AQ268" s="151">
        <v>500</v>
      </c>
      <c r="AR268" s="202" t="s">
        <v>593</v>
      </c>
      <c r="AS268" s="203">
        <v>0.51880000000000004</v>
      </c>
      <c r="AT268" s="203">
        <v>1.187E-4</v>
      </c>
      <c r="AU268" s="202">
        <v>619.84</v>
      </c>
      <c r="AV268" s="202" t="s">
        <v>1623</v>
      </c>
      <c r="AW268" s="202">
        <v>25.03</v>
      </c>
      <c r="AX268" s="202" t="s">
        <v>1623</v>
      </c>
      <c r="AY268" s="202">
        <v>20.37</v>
      </c>
      <c r="AZ268" s="202" t="s">
        <v>1623</v>
      </c>
      <c r="BA268" s="204"/>
      <c r="BB268" s="155">
        <f t="shared" si="66"/>
        <v>500</v>
      </c>
      <c r="BC268" s="155">
        <f t="shared" si="67"/>
        <v>619840</v>
      </c>
      <c r="BE268" s="151">
        <v>500</v>
      </c>
      <c r="BF268" s="202" t="s">
        <v>593</v>
      </c>
      <c r="BG268" s="203">
        <v>93.68</v>
      </c>
      <c r="BH268" s="203">
        <v>4.1959999999999997E-2</v>
      </c>
      <c r="BI268" s="202">
        <v>2.99</v>
      </c>
      <c r="BJ268" s="202" t="s">
        <v>1623</v>
      </c>
      <c r="BK268" s="202">
        <v>124.66</v>
      </c>
      <c r="BL268" s="202" t="s">
        <v>1562</v>
      </c>
      <c r="BM268" s="202">
        <v>4.08</v>
      </c>
      <c r="BN268" s="202" t="s">
        <v>1675</v>
      </c>
      <c r="BO268" s="204"/>
      <c r="BP268" s="155">
        <f t="shared" si="68"/>
        <v>500</v>
      </c>
      <c r="BQ268" s="155">
        <f t="shared" si="69"/>
        <v>2990</v>
      </c>
      <c r="BS268" s="151">
        <v>500</v>
      </c>
      <c r="BT268" s="202" t="s">
        <v>593</v>
      </c>
      <c r="BU268" s="203">
        <v>294.8</v>
      </c>
      <c r="BV268" s="203">
        <v>0.1338</v>
      </c>
      <c r="BW268" s="202">
        <v>979.46</v>
      </c>
      <c r="BX268" s="202" t="s">
        <v>1675</v>
      </c>
      <c r="BY268" s="202">
        <v>39.96</v>
      </c>
      <c r="BZ268" s="202" t="s">
        <v>1675</v>
      </c>
      <c r="CA268" s="202">
        <v>9.34</v>
      </c>
      <c r="CB268" s="202" t="s">
        <v>1675</v>
      </c>
      <c r="CC268" s="204"/>
      <c r="CD268" s="155">
        <f t="shared" si="70"/>
        <v>500</v>
      </c>
      <c r="CE268" s="155">
        <f t="shared" si="71"/>
        <v>979.46</v>
      </c>
      <c r="CG268" s="151">
        <v>500</v>
      </c>
      <c r="CH268" s="202" t="s">
        <v>593</v>
      </c>
      <c r="CI268" s="203">
        <v>403.4</v>
      </c>
      <c r="CJ268" s="203">
        <v>0.18920000000000001</v>
      </c>
      <c r="CK268" s="202">
        <v>715.03</v>
      </c>
      <c r="CL268" s="202" t="s">
        <v>1675</v>
      </c>
      <c r="CM268" s="202">
        <v>28.92</v>
      </c>
      <c r="CN268" s="202" t="s">
        <v>1675</v>
      </c>
      <c r="CO268" s="202">
        <v>6.45</v>
      </c>
      <c r="CP268" s="202" t="s">
        <v>1675</v>
      </c>
      <c r="CQ268" s="204"/>
      <c r="CR268" s="155">
        <f t="shared" si="72"/>
        <v>500</v>
      </c>
      <c r="CS268" s="155">
        <f t="shared" si="73"/>
        <v>715.03</v>
      </c>
      <c r="CU268" s="202">
        <v>500</v>
      </c>
      <c r="CV268" s="203" t="s">
        <v>593</v>
      </c>
      <c r="CW268" s="203">
        <v>2072</v>
      </c>
      <c r="CX268" s="203">
        <v>1.1359999999999999</v>
      </c>
      <c r="CY268" s="202">
        <v>165.8</v>
      </c>
      <c r="CZ268" s="202" t="s">
        <v>1675</v>
      </c>
      <c r="DA268" s="202">
        <v>5.98</v>
      </c>
      <c r="DB268" s="202" t="s">
        <v>1675</v>
      </c>
      <c r="DC268" s="202">
        <v>1.5</v>
      </c>
      <c r="DD268" s="204" t="s">
        <v>1675</v>
      </c>
      <c r="DE268" s="204"/>
      <c r="DF268" s="155">
        <f t="shared" si="74"/>
        <v>500</v>
      </c>
      <c r="DG268" s="156">
        <f t="shared" si="75"/>
        <v>165.8</v>
      </c>
      <c r="DI268" s="202">
        <v>500</v>
      </c>
      <c r="DJ268" s="203" t="s">
        <v>593</v>
      </c>
      <c r="DK268" s="203">
        <v>1979</v>
      </c>
      <c r="DL268" s="203">
        <v>1.0509999999999999</v>
      </c>
      <c r="DM268" s="202">
        <v>177.43</v>
      </c>
      <c r="DN268" s="202" t="s">
        <v>1675</v>
      </c>
      <c r="DO268" s="202">
        <v>6.33</v>
      </c>
      <c r="DP268" s="202" t="s">
        <v>1675</v>
      </c>
      <c r="DQ268" s="202">
        <v>1.58</v>
      </c>
      <c r="DR268" s="204" t="s">
        <v>1675</v>
      </c>
      <c r="DS268" s="204"/>
      <c r="DT268" s="155">
        <f t="shared" si="76"/>
        <v>500</v>
      </c>
      <c r="DU268" s="156">
        <f t="shared" si="77"/>
        <v>177.43</v>
      </c>
    </row>
    <row r="269" spans="1:125" x14ac:dyDescent="0.2">
      <c r="A269" s="151">
        <v>550</v>
      </c>
      <c r="B269" s="202" t="s">
        <v>593</v>
      </c>
      <c r="C269" s="203">
        <v>467.4</v>
      </c>
      <c r="D269" s="203">
        <v>0.20799999999999999</v>
      </c>
      <c r="E269" s="202">
        <v>704.07</v>
      </c>
      <c r="F269" s="202" t="s">
        <v>1675</v>
      </c>
      <c r="G269" s="202">
        <v>27.96</v>
      </c>
      <c r="H269" s="202" t="s">
        <v>1675</v>
      </c>
      <c r="I269" s="202">
        <v>6.38</v>
      </c>
      <c r="J269" s="202" t="s">
        <v>1675</v>
      </c>
      <c r="K269" s="204"/>
      <c r="L269" s="155">
        <f t="shared" si="60"/>
        <v>550</v>
      </c>
      <c r="M269" s="155">
        <f t="shared" si="61"/>
        <v>704.07</v>
      </c>
      <c r="O269" s="151">
        <v>550</v>
      </c>
      <c r="P269" s="202" t="s">
        <v>593</v>
      </c>
      <c r="Q269" s="203">
        <v>335.9</v>
      </c>
      <c r="R269" s="203">
        <v>0.14990000000000001</v>
      </c>
      <c r="S269" s="202">
        <v>944.2</v>
      </c>
      <c r="T269" s="202" t="s">
        <v>1675</v>
      </c>
      <c r="U269" s="202">
        <v>38.51</v>
      </c>
      <c r="V269" s="202" t="s">
        <v>1675</v>
      </c>
      <c r="W269" s="202">
        <v>8.91</v>
      </c>
      <c r="X269" s="202" t="s">
        <v>1675</v>
      </c>
      <c r="Y269" s="204"/>
      <c r="Z269" s="155">
        <f t="shared" si="62"/>
        <v>550</v>
      </c>
      <c r="AA269" s="155">
        <f t="shared" si="63"/>
        <v>944.2</v>
      </c>
      <c r="AC269" s="151">
        <v>550</v>
      </c>
      <c r="AD269" s="202" t="s">
        <v>593</v>
      </c>
      <c r="AE269" s="203">
        <v>4.319</v>
      </c>
      <c r="AF269" s="203">
        <v>1.6149999999999999E-3</v>
      </c>
      <c r="AG269" s="202">
        <v>73.09</v>
      </c>
      <c r="AH269" s="202" t="s">
        <v>1623</v>
      </c>
      <c r="AI269" s="202">
        <v>3.04</v>
      </c>
      <c r="AJ269" s="202" t="s">
        <v>1623</v>
      </c>
      <c r="AK269" s="202">
        <v>1.39</v>
      </c>
      <c r="AL269" s="202" t="s">
        <v>1623</v>
      </c>
      <c r="AM269" s="204"/>
      <c r="AN269" s="155">
        <f t="shared" si="64"/>
        <v>550</v>
      </c>
      <c r="AO269" s="155">
        <f t="shared" si="65"/>
        <v>73090</v>
      </c>
      <c r="AQ269" s="151">
        <v>550</v>
      </c>
      <c r="AR269" s="202" t="s">
        <v>593</v>
      </c>
      <c r="AS269" s="203">
        <v>0.4995</v>
      </c>
      <c r="AT269" s="203">
        <v>1.087E-4</v>
      </c>
      <c r="AU269" s="202">
        <v>717.86</v>
      </c>
      <c r="AV269" s="202" t="s">
        <v>1623</v>
      </c>
      <c r="AW269" s="202">
        <v>28.8</v>
      </c>
      <c r="AX269" s="202" t="s">
        <v>1623</v>
      </c>
      <c r="AY269" s="202">
        <v>23.25</v>
      </c>
      <c r="AZ269" s="202" t="s">
        <v>1623</v>
      </c>
      <c r="BA269" s="204"/>
      <c r="BB269" s="155">
        <f t="shared" si="66"/>
        <v>550</v>
      </c>
      <c r="BC269" s="155">
        <f t="shared" si="67"/>
        <v>717860</v>
      </c>
      <c r="BE269" s="151">
        <v>550</v>
      </c>
      <c r="BF269" s="202" t="s">
        <v>593</v>
      </c>
      <c r="BG269" s="203">
        <v>86.9</v>
      </c>
      <c r="BH269" s="203">
        <v>3.848E-2</v>
      </c>
      <c r="BI269" s="202">
        <v>3.54</v>
      </c>
      <c r="BJ269" s="202" t="s">
        <v>1623</v>
      </c>
      <c r="BK269" s="202">
        <v>147.57</v>
      </c>
      <c r="BL269" s="202" t="s">
        <v>1563</v>
      </c>
      <c r="BM269" s="202">
        <v>0.18</v>
      </c>
      <c r="BN269" s="202" t="s">
        <v>1675</v>
      </c>
      <c r="BO269" s="204"/>
      <c r="BP269" s="155">
        <f t="shared" si="68"/>
        <v>550</v>
      </c>
      <c r="BQ269" s="155">
        <f t="shared" si="69"/>
        <v>3540</v>
      </c>
      <c r="BS269" s="151">
        <v>550</v>
      </c>
      <c r="BT269" s="202" t="s">
        <v>593</v>
      </c>
      <c r="BU269" s="203">
        <v>273.7</v>
      </c>
      <c r="BV269" s="203">
        <v>0.12280000000000001</v>
      </c>
      <c r="BW269" s="202">
        <v>1.1599999999999999</v>
      </c>
      <c r="BX269" s="202" t="s">
        <v>1623</v>
      </c>
      <c r="BY269" s="202">
        <v>47.16</v>
      </c>
      <c r="BZ269" s="202" t="s">
        <v>1675</v>
      </c>
      <c r="CA269" s="202">
        <v>10.91</v>
      </c>
      <c r="CB269" s="202" t="s">
        <v>1675</v>
      </c>
      <c r="CC269" s="204"/>
      <c r="CD269" s="155">
        <f t="shared" si="70"/>
        <v>550</v>
      </c>
      <c r="CE269" s="155">
        <f t="shared" si="71"/>
        <v>1160</v>
      </c>
      <c r="CG269" s="151">
        <v>550</v>
      </c>
      <c r="CH269" s="202" t="s">
        <v>593</v>
      </c>
      <c r="CI269" s="203">
        <v>375.1</v>
      </c>
      <c r="CJ269" s="203">
        <v>0.17369999999999999</v>
      </c>
      <c r="CK269" s="202">
        <v>843.53</v>
      </c>
      <c r="CL269" s="202" t="s">
        <v>1675</v>
      </c>
      <c r="CM269" s="202">
        <v>34.21</v>
      </c>
      <c r="CN269" s="202" t="s">
        <v>1675</v>
      </c>
      <c r="CO269" s="202">
        <v>7.52</v>
      </c>
      <c r="CP269" s="202" t="s">
        <v>1675</v>
      </c>
      <c r="CQ269" s="204"/>
      <c r="CR269" s="155">
        <f t="shared" si="72"/>
        <v>550</v>
      </c>
      <c r="CS269" s="155">
        <f t="shared" si="73"/>
        <v>843.53</v>
      </c>
      <c r="CU269" s="202">
        <v>550</v>
      </c>
      <c r="CV269" s="203" t="s">
        <v>593</v>
      </c>
      <c r="CW269" s="203">
        <v>1951</v>
      </c>
      <c r="CX269" s="203">
        <v>1.044</v>
      </c>
      <c r="CY269" s="202">
        <v>190.66</v>
      </c>
      <c r="CZ269" s="202" t="s">
        <v>1675</v>
      </c>
      <c r="DA269" s="202">
        <v>6.94</v>
      </c>
      <c r="DB269" s="202" t="s">
        <v>1675</v>
      </c>
      <c r="DC269" s="202">
        <v>1.65</v>
      </c>
      <c r="DD269" s="204" t="s">
        <v>1675</v>
      </c>
      <c r="DE269" s="204"/>
      <c r="DF269" s="155">
        <f t="shared" si="74"/>
        <v>550</v>
      </c>
      <c r="DG269" s="156">
        <f t="shared" si="75"/>
        <v>190.66</v>
      </c>
      <c r="DI269" s="202">
        <v>550</v>
      </c>
      <c r="DJ269" s="203" t="s">
        <v>593</v>
      </c>
      <c r="DK269" s="203">
        <v>1864</v>
      </c>
      <c r="DL269" s="203">
        <v>0.96579999999999999</v>
      </c>
      <c r="DM269" s="202">
        <v>203.46</v>
      </c>
      <c r="DN269" s="202" t="s">
        <v>1675</v>
      </c>
      <c r="DO269" s="202">
        <v>7.33</v>
      </c>
      <c r="DP269" s="202" t="s">
        <v>1675</v>
      </c>
      <c r="DQ269" s="202">
        <v>1.74</v>
      </c>
      <c r="DR269" s="204" t="s">
        <v>1675</v>
      </c>
      <c r="DS269" s="204"/>
      <c r="DT269" s="155">
        <f t="shared" si="76"/>
        <v>550</v>
      </c>
      <c r="DU269" s="156">
        <f t="shared" si="77"/>
        <v>203.46</v>
      </c>
    </row>
    <row r="270" spans="1:125" x14ac:dyDescent="0.2">
      <c r="A270" s="151">
        <v>600</v>
      </c>
      <c r="B270" s="202" t="s">
        <v>593</v>
      </c>
      <c r="C270" s="203">
        <v>438.1</v>
      </c>
      <c r="D270" s="203">
        <v>0.1923</v>
      </c>
      <c r="E270" s="202">
        <v>814.54</v>
      </c>
      <c r="F270" s="202" t="s">
        <v>1675</v>
      </c>
      <c r="G270" s="202">
        <v>32.08</v>
      </c>
      <c r="H270" s="202" t="s">
        <v>1675</v>
      </c>
      <c r="I270" s="202">
        <v>7.28</v>
      </c>
      <c r="J270" s="202" t="s">
        <v>1675</v>
      </c>
      <c r="K270" s="204"/>
      <c r="L270" s="155">
        <f t="shared" si="60"/>
        <v>600</v>
      </c>
      <c r="M270" s="155">
        <f t="shared" si="61"/>
        <v>814.54</v>
      </c>
      <c r="O270" s="151">
        <v>600</v>
      </c>
      <c r="P270" s="202" t="s">
        <v>593</v>
      </c>
      <c r="Q270" s="203">
        <v>313.7</v>
      </c>
      <c r="R270" s="203">
        <v>0.1386</v>
      </c>
      <c r="S270" s="202">
        <v>1.1000000000000001</v>
      </c>
      <c r="T270" s="202" t="s">
        <v>1623</v>
      </c>
      <c r="U270" s="202">
        <v>44.32</v>
      </c>
      <c r="V270" s="202" t="s">
        <v>1675</v>
      </c>
      <c r="W270" s="202">
        <v>10.28</v>
      </c>
      <c r="X270" s="202" t="s">
        <v>1675</v>
      </c>
      <c r="Y270" s="204"/>
      <c r="Z270" s="155">
        <f t="shared" si="62"/>
        <v>600</v>
      </c>
      <c r="AA270" s="155">
        <f t="shared" si="63"/>
        <v>1100</v>
      </c>
      <c r="AC270" s="151">
        <v>600</v>
      </c>
      <c r="AD270" s="202" t="s">
        <v>593</v>
      </c>
      <c r="AE270" s="203">
        <v>4.0679999999999996</v>
      </c>
      <c r="AF270" s="203">
        <v>1.4909999999999999E-3</v>
      </c>
      <c r="AG270" s="202">
        <v>85.01</v>
      </c>
      <c r="AH270" s="202" t="s">
        <v>1623</v>
      </c>
      <c r="AI270" s="202">
        <v>3.49</v>
      </c>
      <c r="AJ270" s="202" t="s">
        <v>1623</v>
      </c>
      <c r="AK270" s="202">
        <v>1.6</v>
      </c>
      <c r="AL270" s="202" t="s">
        <v>1623</v>
      </c>
      <c r="AM270" s="204"/>
      <c r="AN270" s="155">
        <f t="shared" si="64"/>
        <v>600</v>
      </c>
      <c r="AO270" s="155">
        <f t="shared" si="65"/>
        <v>85010</v>
      </c>
      <c r="AQ270" s="151">
        <v>600</v>
      </c>
      <c r="AR270" s="202" t="s">
        <v>593</v>
      </c>
      <c r="AS270" s="203">
        <v>0.48370000000000002</v>
      </c>
      <c r="AT270" s="203">
        <v>1.003E-4</v>
      </c>
      <c r="AU270" s="202">
        <v>819.4</v>
      </c>
      <c r="AV270" s="202" t="s">
        <v>1623</v>
      </c>
      <c r="AW270" s="202">
        <v>32.380000000000003</v>
      </c>
      <c r="AX270" s="202" t="s">
        <v>1623</v>
      </c>
      <c r="AY270" s="202">
        <v>26.18</v>
      </c>
      <c r="AZ270" s="202" t="s">
        <v>1623</v>
      </c>
      <c r="BA270" s="204"/>
      <c r="BB270" s="155">
        <f t="shared" si="66"/>
        <v>600</v>
      </c>
      <c r="BC270" s="155">
        <f t="shared" si="67"/>
        <v>819400</v>
      </c>
      <c r="BE270" s="151">
        <v>600</v>
      </c>
      <c r="BF270" s="202" t="s">
        <v>593</v>
      </c>
      <c r="BG270" s="203">
        <v>81.16</v>
      </c>
      <c r="BH270" s="203">
        <v>3.5560000000000001E-2</v>
      </c>
      <c r="BI270" s="202">
        <v>4.1399999999999997</v>
      </c>
      <c r="BJ270" s="202" t="s">
        <v>1623</v>
      </c>
      <c r="BK270" s="202">
        <v>170.25</v>
      </c>
      <c r="BL270" s="202" t="s">
        <v>1563</v>
      </c>
      <c r="BM270" s="202">
        <v>6.69</v>
      </c>
      <c r="BN270" s="202" t="s">
        <v>1675</v>
      </c>
      <c r="BO270" s="204"/>
      <c r="BP270" s="155">
        <f t="shared" si="68"/>
        <v>600</v>
      </c>
      <c r="BQ270" s="155">
        <f t="shared" si="69"/>
        <v>4140</v>
      </c>
      <c r="BS270" s="151">
        <v>600</v>
      </c>
      <c r="BT270" s="202" t="s">
        <v>593</v>
      </c>
      <c r="BU270" s="203">
        <v>255.5</v>
      </c>
      <c r="BV270" s="203">
        <v>0.1135</v>
      </c>
      <c r="BW270" s="202">
        <v>1.34</v>
      </c>
      <c r="BX270" s="202" t="s">
        <v>1623</v>
      </c>
      <c r="BY270" s="202">
        <v>54.31</v>
      </c>
      <c r="BZ270" s="202" t="s">
        <v>1675</v>
      </c>
      <c r="CA270" s="202">
        <v>12.6</v>
      </c>
      <c r="CB270" s="202" t="s">
        <v>1675</v>
      </c>
      <c r="CC270" s="204"/>
      <c r="CD270" s="155">
        <f t="shared" si="70"/>
        <v>600</v>
      </c>
      <c r="CE270" s="155">
        <f t="shared" si="71"/>
        <v>1340</v>
      </c>
      <c r="CG270" s="151">
        <v>600</v>
      </c>
      <c r="CH270" s="202" t="s">
        <v>593</v>
      </c>
      <c r="CI270" s="203">
        <v>352.2</v>
      </c>
      <c r="CJ270" s="203">
        <v>0.16059999999999999</v>
      </c>
      <c r="CK270" s="202">
        <v>981.05</v>
      </c>
      <c r="CL270" s="202" t="s">
        <v>1675</v>
      </c>
      <c r="CM270" s="202">
        <v>39.409999999999997</v>
      </c>
      <c r="CN270" s="202" t="s">
        <v>1675</v>
      </c>
      <c r="CO270" s="202">
        <v>8.67</v>
      </c>
      <c r="CP270" s="202" t="s">
        <v>1675</v>
      </c>
      <c r="CQ270" s="204"/>
      <c r="CR270" s="155">
        <f t="shared" si="72"/>
        <v>600</v>
      </c>
      <c r="CS270" s="155">
        <f t="shared" si="73"/>
        <v>981.05</v>
      </c>
      <c r="CU270" s="202">
        <v>600</v>
      </c>
      <c r="CV270" s="203" t="s">
        <v>593</v>
      </c>
      <c r="CW270" s="203">
        <v>1846</v>
      </c>
      <c r="CX270" s="203">
        <v>0.96619999999999995</v>
      </c>
      <c r="CY270" s="202">
        <v>217</v>
      </c>
      <c r="CZ270" s="202" t="s">
        <v>1675</v>
      </c>
      <c r="DA270" s="202">
        <v>7.89</v>
      </c>
      <c r="DB270" s="202" t="s">
        <v>1675</v>
      </c>
      <c r="DC270" s="202">
        <v>1.82</v>
      </c>
      <c r="DD270" s="204" t="s">
        <v>1675</v>
      </c>
      <c r="DE270" s="204"/>
      <c r="DF270" s="155">
        <f t="shared" si="74"/>
        <v>600</v>
      </c>
      <c r="DG270" s="156">
        <f t="shared" si="75"/>
        <v>217</v>
      </c>
      <c r="DI270" s="202">
        <v>600</v>
      </c>
      <c r="DJ270" s="203" t="s">
        <v>593</v>
      </c>
      <c r="DK270" s="203">
        <v>1763</v>
      </c>
      <c r="DL270" s="203">
        <v>0.89390000000000003</v>
      </c>
      <c r="DM270" s="202">
        <v>231.03</v>
      </c>
      <c r="DN270" s="202" t="s">
        <v>1675</v>
      </c>
      <c r="DO270" s="202">
        <v>8.31</v>
      </c>
      <c r="DP270" s="202" t="s">
        <v>1675</v>
      </c>
      <c r="DQ270" s="202">
        <v>1.91</v>
      </c>
      <c r="DR270" s="204" t="s">
        <v>1675</v>
      </c>
      <c r="DS270" s="204"/>
      <c r="DT270" s="155">
        <f t="shared" si="76"/>
        <v>600</v>
      </c>
      <c r="DU270" s="156">
        <f t="shared" si="77"/>
        <v>231.03</v>
      </c>
    </row>
    <row r="271" spans="1:125" x14ac:dyDescent="0.2">
      <c r="A271" s="151">
        <v>650</v>
      </c>
      <c r="B271" s="202" t="s">
        <v>593</v>
      </c>
      <c r="C271" s="203">
        <v>412.1</v>
      </c>
      <c r="D271" s="203">
        <v>0.1789</v>
      </c>
      <c r="E271" s="202">
        <v>932.19</v>
      </c>
      <c r="F271" s="202" t="s">
        <v>1675</v>
      </c>
      <c r="G271" s="202">
        <v>36.19</v>
      </c>
      <c r="H271" s="202" t="s">
        <v>1675</v>
      </c>
      <c r="I271" s="202">
        <v>8.24</v>
      </c>
      <c r="J271" s="202" t="s">
        <v>1675</v>
      </c>
      <c r="K271" s="204"/>
      <c r="L271" s="155">
        <f t="shared" si="60"/>
        <v>650</v>
      </c>
      <c r="M271" s="155">
        <f t="shared" si="61"/>
        <v>932.19</v>
      </c>
      <c r="O271" s="151">
        <v>650</v>
      </c>
      <c r="P271" s="202" t="s">
        <v>593</v>
      </c>
      <c r="Q271" s="203">
        <v>294.5</v>
      </c>
      <c r="R271" s="203">
        <v>0.12889999999999999</v>
      </c>
      <c r="S271" s="202">
        <v>1.26</v>
      </c>
      <c r="T271" s="202" t="s">
        <v>1623</v>
      </c>
      <c r="U271" s="202">
        <v>50.13</v>
      </c>
      <c r="V271" s="202" t="s">
        <v>1675</v>
      </c>
      <c r="W271" s="202">
        <v>11.73</v>
      </c>
      <c r="X271" s="202" t="s">
        <v>1675</v>
      </c>
      <c r="Y271" s="204"/>
      <c r="Z271" s="155">
        <f t="shared" si="62"/>
        <v>650</v>
      </c>
      <c r="AA271" s="155">
        <f t="shared" si="63"/>
        <v>1260</v>
      </c>
      <c r="AC271" s="151">
        <v>650</v>
      </c>
      <c r="AD271" s="202" t="s">
        <v>593</v>
      </c>
      <c r="AE271" s="203">
        <v>3.8540000000000001</v>
      </c>
      <c r="AF271" s="203">
        <v>1.3849999999999999E-3</v>
      </c>
      <c r="AG271" s="202">
        <v>97.63</v>
      </c>
      <c r="AH271" s="202" t="s">
        <v>1623</v>
      </c>
      <c r="AI271" s="202">
        <v>3.93</v>
      </c>
      <c r="AJ271" s="202" t="s">
        <v>1623</v>
      </c>
      <c r="AK271" s="202">
        <v>1.83</v>
      </c>
      <c r="AL271" s="202" t="s">
        <v>1623</v>
      </c>
      <c r="AM271" s="204"/>
      <c r="AN271" s="155">
        <f t="shared" si="64"/>
        <v>650</v>
      </c>
      <c r="AO271" s="155">
        <f t="shared" si="65"/>
        <v>97630</v>
      </c>
      <c r="AQ271" s="151">
        <v>650</v>
      </c>
      <c r="AR271" s="202" t="s">
        <v>593</v>
      </c>
      <c r="AS271" s="203">
        <v>0.47049999999999997</v>
      </c>
      <c r="AT271" s="203">
        <v>9.3179999999999999E-5</v>
      </c>
      <c r="AU271" s="202">
        <v>924.02</v>
      </c>
      <c r="AV271" s="202" t="s">
        <v>1623</v>
      </c>
      <c r="AW271" s="202">
        <v>35.79</v>
      </c>
      <c r="AX271" s="202" t="s">
        <v>1623</v>
      </c>
      <c r="AY271" s="202">
        <v>29.13</v>
      </c>
      <c r="AZ271" s="202" t="s">
        <v>1623</v>
      </c>
      <c r="BA271" s="204"/>
      <c r="BB271" s="155">
        <f t="shared" si="66"/>
        <v>650</v>
      </c>
      <c r="BC271" s="155">
        <f t="shared" si="67"/>
        <v>924020</v>
      </c>
      <c r="BE271" s="151">
        <v>650</v>
      </c>
      <c r="BF271" s="202" t="s">
        <v>593</v>
      </c>
      <c r="BG271" s="203">
        <v>76.23</v>
      </c>
      <c r="BH271" s="203">
        <v>3.3070000000000002E-2</v>
      </c>
      <c r="BI271" s="202">
        <v>4.7699999999999996</v>
      </c>
      <c r="BJ271" s="202" t="s">
        <v>1623</v>
      </c>
      <c r="BK271" s="202">
        <v>192.91</v>
      </c>
      <c r="BL271" s="202" t="s">
        <v>1564</v>
      </c>
      <c r="BM271" s="202">
        <v>3.62</v>
      </c>
      <c r="BN271" s="202" t="s">
        <v>1675</v>
      </c>
      <c r="BO271" s="204"/>
      <c r="BP271" s="155">
        <f t="shared" si="68"/>
        <v>650</v>
      </c>
      <c r="BQ271" s="155">
        <f t="shared" si="69"/>
        <v>4770</v>
      </c>
      <c r="BS271" s="151">
        <v>650</v>
      </c>
      <c r="BT271" s="202" t="s">
        <v>593</v>
      </c>
      <c r="BU271" s="203">
        <v>239.9</v>
      </c>
      <c r="BV271" s="203">
        <v>0.1056</v>
      </c>
      <c r="BW271" s="202">
        <v>1.55</v>
      </c>
      <c r="BX271" s="202" t="s">
        <v>1623</v>
      </c>
      <c r="BY271" s="202">
        <v>61.45</v>
      </c>
      <c r="BZ271" s="202" t="s">
        <v>1675</v>
      </c>
      <c r="CA271" s="202">
        <v>14.39</v>
      </c>
      <c r="CB271" s="202" t="s">
        <v>1675</v>
      </c>
      <c r="CC271" s="204"/>
      <c r="CD271" s="155">
        <f t="shared" si="70"/>
        <v>650</v>
      </c>
      <c r="CE271" s="155">
        <f t="shared" si="71"/>
        <v>1550</v>
      </c>
      <c r="CG271" s="151">
        <v>650</v>
      </c>
      <c r="CH271" s="202" t="s">
        <v>593</v>
      </c>
      <c r="CI271" s="203">
        <v>332.4</v>
      </c>
      <c r="CJ271" s="203">
        <v>0.14940000000000001</v>
      </c>
      <c r="CK271" s="202">
        <v>1.1299999999999999</v>
      </c>
      <c r="CL271" s="202" t="s">
        <v>1623</v>
      </c>
      <c r="CM271" s="202">
        <v>44.57</v>
      </c>
      <c r="CN271" s="202" t="s">
        <v>1675</v>
      </c>
      <c r="CO271" s="202">
        <v>9.8800000000000008</v>
      </c>
      <c r="CP271" s="202" t="s">
        <v>1675</v>
      </c>
      <c r="CQ271" s="204"/>
      <c r="CR271" s="155">
        <f t="shared" si="72"/>
        <v>650</v>
      </c>
      <c r="CS271" s="155">
        <f t="shared" si="73"/>
        <v>1130</v>
      </c>
      <c r="CU271" s="202">
        <v>650</v>
      </c>
      <c r="CV271" s="203" t="s">
        <v>593</v>
      </c>
      <c r="CW271" s="203">
        <v>1754</v>
      </c>
      <c r="CX271" s="203">
        <v>0.89980000000000004</v>
      </c>
      <c r="CY271" s="202">
        <v>244.78</v>
      </c>
      <c r="CZ271" s="202" t="s">
        <v>1675</v>
      </c>
      <c r="DA271" s="202">
        <v>8.82</v>
      </c>
      <c r="DB271" s="202" t="s">
        <v>1675</v>
      </c>
      <c r="DC271" s="202">
        <v>1.99</v>
      </c>
      <c r="DD271" s="204" t="s">
        <v>1675</v>
      </c>
      <c r="DE271" s="204"/>
      <c r="DF271" s="155">
        <f t="shared" si="74"/>
        <v>650</v>
      </c>
      <c r="DG271" s="156">
        <f t="shared" si="75"/>
        <v>244.78</v>
      </c>
      <c r="DI271" s="202">
        <v>650</v>
      </c>
      <c r="DJ271" s="203" t="s">
        <v>593</v>
      </c>
      <c r="DK271" s="203">
        <v>1673</v>
      </c>
      <c r="DL271" s="203">
        <v>0.83240000000000003</v>
      </c>
      <c r="DM271" s="202">
        <v>260.13</v>
      </c>
      <c r="DN271" s="202" t="s">
        <v>1675</v>
      </c>
      <c r="DO271" s="202">
        <v>9.2899999999999991</v>
      </c>
      <c r="DP271" s="202" t="s">
        <v>1675</v>
      </c>
      <c r="DQ271" s="202">
        <v>2.09</v>
      </c>
      <c r="DR271" s="204" t="s">
        <v>1675</v>
      </c>
      <c r="DS271" s="204"/>
      <c r="DT271" s="155">
        <f t="shared" si="76"/>
        <v>650</v>
      </c>
      <c r="DU271" s="156">
        <f t="shared" si="77"/>
        <v>260.13</v>
      </c>
    </row>
    <row r="272" spans="1:125" x14ac:dyDescent="0.2">
      <c r="A272" s="151">
        <v>700</v>
      </c>
      <c r="B272" s="202" t="s">
        <v>593</v>
      </c>
      <c r="C272" s="203">
        <v>388.9</v>
      </c>
      <c r="D272" s="203">
        <v>0.16739999999999999</v>
      </c>
      <c r="E272" s="202">
        <v>1.06</v>
      </c>
      <c r="F272" s="202" t="s">
        <v>1623</v>
      </c>
      <c r="G272" s="202">
        <v>40.32</v>
      </c>
      <c r="H272" s="202" t="s">
        <v>1675</v>
      </c>
      <c r="I272" s="202">
        <v>9.25</v>
      </c>
      <c r="J272" s="202" t="s">
        <v>1675</v>
      </c>
      <c r="K272" s="204"/>
      <c r="L272" s="155">
        <f t="shared" si="60"/>
        <v>700</v>
      </c>
      <c r="M272" s="155">
        <f t="shared" si="61"/>
        <v>1060</v>
      </c>
      <c r="O272" s="151">
        <v>700</v>
      </c>
      <c r="P272" s="202" t="s">
        <v>593</v>
      </c>
      <c r="Q272" s="203">
        <v>277.8</v>
      </c>
      <c r="R272" s="203">
        <v>0.1206</v>
      </c>
      <c r="S272" s="202">
        <v>1.44</v>
      </c>
      <c r="T272" s="202" t="s">
        <v>1623</v>
      </c>
      <c r="U272" s="202">
        <v>55.98</v>
      </c>
      <c r="V272" s="202" t="s">
        <v>1675</v>
      </c>
      <c r="W272" s="202">
        <v>13.27</v>
      </c>
      <c r="X272" s="202" t="s">
        <v>1675</v>
      </c>
      <c r="Y272" s="204"/>
      <c r="Z272" s="155">
        <f t="shared" si="62"/>
        <v>700</v>
      </c>
      <c r="AA272" s="155">
        <f t="shared" si="63"/>
        <v>1440</v>
      </c>
      <c r="AC272" s="151">
        <v>700</v>
      </c>
      <c r="AD272" s="202" t="s">
        <v>593</v>
      </c>
      <c r="AE272" s="203">
        <v>3.669</v>
      </c>
      <c r="AF272" s="203">
        <v>1.294E-3</v>
      </c>
      <c r="AG272" s="202">
        <v>110.91</v>
      </c>
      <c r="AH272" s="202" t="s">
        <v>1623</v>
      </c>
      <c r="AI272" s="202">
        <v>4.37</v>
      </c>
      <c r="AJ272" s="202" t="s">
        <v>1623</v>
      </c>
      <c r="AK272" s="202">
        <v>2.0699999999999998</v>
      </c>
      <c r="AL272" s="202" t="s">
        <v>1623</v>
      </c>
      <c r="AM272" s="204"/>
      <c r="AN272" s="155">
        <f t="shared" si="64"/>
        <v>700</v>
      </c>
      <c r="AO272" s="155">
        <f t="shared" si="65"/>
        <v>110910</v>
      </c>
      <c r="AQ272" s="151">
        <v>700</v>
      </c>
      <c r="AR272" s="202" t="s">
        <v>593</v>
      </c>
      <c r="AS272" s="203">
        <v>0.45929999999999999</v>
      </c>
      <c r="AT272" s="203">
        <v>8.7009999999999995E-5</v>
      </c>
      <c r="AU272" s="202">
        <v>1.03</v>
      </c>
      <c r="AV272" s="202" t="s">
        <v>144</v>
      </c>
      <c r="AW272" s="202">
        <v>39.08</v>
      </c>
      <c r="AX272" s="202" t="s">
        <v>1623</v>
      </c>
      <c r="AY272" s="202">
        <v>32.1</v>
      </c>
      <c r="AZ272" s="202" t="s">
        <v>1623</v>
      </c>
      <c r="BA272" s="204"/>
      <c r="BB272" s="155">
        <f t="shared" si="66"/>
        <v>700</v>
      </c>
      <c r="BC272" s="155">
        <f t="shared" si="67"/>
        <v>1030000</v>
      </c>
      <c r="BE272" s="151">
        <v>700</v>
      </c>
      <c r="BF272" s="202" t="s">
        <v>593</v>
      </c>
      <c r="BG272" s="203">
        <v>71.95</v>
      </c>
      <c r="BH272" s="203">
        <v>3.091E-2</v>
      </c>
      <c r="BI272" s="202">
        <v>5.45</v>
      </c>
      <c r="BJ272" s="202" t="s">
        <v>1623</v>
      </c>
      <c r="BK272" s="202">
        <v>215.64</v>
      </c>
      <c r="BL272" s="202" t="s">
        <v>1565</v>
      </c>
      <c r="BM272" s="202">
        <v>0.94</v>
      </c>
      <c r="BN272" s="202" t="s">
        <v>1675</v>
      </c>
      <c r="BO272" s="204"/>
      <c r="BP272" s="155">
        <f t="shared" si="68"/>
        <v>700</v>
      </c>
      <c r="BQ272" s="155">
        <f t="shared" si="69"/>
        <v>5450</v>
      </c>
      <c r="BS272" s="151">
        <v>700</v>
      </c>
      <c r="BT272" s="202" t="s">
        <v>593</v>
      </c>
      <c r="BU272" s="203">
        <v>226.2</v>
      </c>
      <c r="BV272" s="203">
        <v>9.8769999999999997E-2</v>
      </c>
      <c r="BW272" s="202">
        <v>1.76</v>
      </c>
      <c r="BX272" s="202" t="s">
        <v>1623</v>
      </c>
      <c r="BY272" s="202">
        <v>68.64</v>
      </c>
      <c r="BZ272" s="202" t="s">
        <v>1675</v>
      </c>
      <c r="CA272" s="202">
        <v>16.28</v>
      </c>
      <c r="CB272" s="202" t="s">
        <v>1675</v>
      </c>
      <c r="CC272" s="204"/>
      <c r="CD272" s="155">
        <f t="shared" si="70"/>
        <v>700</v>
      </c>
      <c r="CE272" s="155">
        <f t="shared" si="71"/>
        <v>1760</v>
      </c>
      <c r="CG272" s="151">
        <v>700</v>
      </c>
      <c r="CH272" s="202" t="s">
        <v>593</v>
      </c>
      <c r="CI272" s="203">
        <v>313.5</v>
      </c>
      <c r="CJ272" s="203">
        <v>0.13969999999999999</v>
      </c>
      <c r="CK272" s="202">
        <v>1.28</v>
      </c>
      <c r="CL272" s="202" t="s">
        <v>1623</v>
      </c>
      <c r="CM272" s="202">
        <v>49.72</v>
      </c>
      <c r="CN272" s="202" t="s">
        <v>1665</v>
      </c>
      <c r="CO272" s="202">
        <v>1.1499999999999999</v>
      </c>
      <c r="CP272" s="202" t="s">
        <v>1675</v>
      </c>
      <c r="CQ272" s="204"/>
      <c r="CR272" s="155">
        <f t="shared" si="72"/>
        <v>700</v>
      </c>
      <c r="CS272" s="155">
        <f t="shared" si="73"/>
        <v>1280</v>
      </c>
      <c r="CU272" s="202">
        <v>700</v>
      </c>
      <c r="CV272" s="203" t="s">
        <v>593</v>
      </c>
      <c r="CW272" s="203">
        <v>1672</v>
      </c>
      <c r="CX272" s="203">
        <v>0.84230000000000005</v>
      </c>
      <c r="CY272" s="202">
        <v>273.98</v>
      </c>
      <c r="CZ272" s="202" t="s">
        <v>1675</v>
      </c>
      <c r="DA272" s="202">
        <v>9.75</v>
      </c>
      <c r="DB272" s="202" t="s">
        <v>1675</v>
      </c>
      <c r="DC272" s="202">
        <v>2.1800000000000002</v>
      </c>
      <c r="DD272" s="204" t="s">
        <v>1675</v>
      </c>
      <c r="DE272" s="204"/>
      <c r="DF272" s="155">
        <f t="shared" si="74"/>
        <v>700</v>
      </c>
      <c r="DG272" s="156">
        <f t="shared" si="75"/>
        <v>273.98</v>
      </c>
      <c r="DI272" s="202">
        <v>700</v>
      </c>
      <c r="DJ272" s="203" t="s">
        <v>593</v>
      </c>
      <c r="DK272" s="203">
        <v>1593</v>
      </c>
      <c r="DL272" s="203">
        <v>0.7792</v>
      </c>
      <c r="DM272" s="202">
        <v>290.75</v>
      </c>
      <c r="DN272" s="202" t="s">
        <v>1675</v>
      </c>
      <c r="DO272" s="202">
        <v>10.26</v>
      </c>
      <c r="DP272" s="202" t="s">
        <v>1675</v>
      </c>
      <c r="DQ272" s="202">
        <v>2.2799999999999998</v>
      </c>
      <c r="DR272" s="204" t="s">
        <v>1675</v>
      </c>
      <c r="DS272" s="204"/>
      <c r="DT272" s="155">
        <f t="shared" si="76"/>
        <v>700</v>
      </c>
      <c r="DU272" s="156">
        <f t="shared" si="77"/>
        <v>290.75</v>
      </c>
    </row>
    <row r="273" spans="1:125" x14ac:dyDescent="0.2">
      <c r="A273" s="151">
        <v>800</v>
      </c>
      <c r="B273" s="202" t="s">
        <v>593</v>
      </c>
      <c r="C273" s="203">
        <v>350.2</v>
      </c>
      <c r="D273" s="203">
        <v>0.1484</v>
      </c>
      <c r="E273" s="202">
        <v>1.33</v>
      </c>
      <c r="F273" s="202" t="s">
        <v>1623</v>
      </c>
      <c r="G273" s="202">
        <v>55.74</v>
      </c>
      <c r="H273" s="202" t="s">
        <v>1665</v>
      </c>
      <c r="I273" s="202">
        <v>1.44</v>
      </c>
      <c r="J273" s="202" t="s">
        <v>1675</v>
      </c>
      <c r="K273" s="204"/>
      <c r="L273" s="155">
        <f t="shared" si="60"/>
        <v>800</v>
      </c>
      <c r="M273" s="155">
        <f t="shared" si="61"/>
        <v>1330</v>
      </c>
      <c r="O273" s="151">
        <v>800</v>
      </c>
      <c r="P273" s="202" t="s">
        <v>593</v>
      </c>
      <c r="Q273" s="203">
        <v>250.1</v>
      </c>
      <c r="R273" s="203">
        <v>0.1069</v>
      </c>
      <c r="S273" s="202">
        <v>1.82</v>
      </c>
      <c r="T273" s="202" t="s">
        <v>1623</v>
      </c>
      <c r="U273" s="202">
        <v>77.7</v>
      </c>
      <c r="V273" s="202" t="s">
        <v>1675</v>
      </c>
      <c r="W273" s="202">
        <v>16.59</v>
      </c>
      <c r="X273" s="202" t="s">
        <v>1675</v>
      </c>
      <c r="Y273" s="204"/>
      <c r="Z273" s="155">
        <f t="shared" si="62"/>
        <v>800</v>
      </c>
      <c r="AA273" s="155">
        <f t="shared" si="63"/>
        <v>1820</v>
      </c>
      <c r="AC273" s="151">
        <v>800</v>
      </c>
      <c r="AD273" s="202" t="s">
        <v>593</v>
      </c>
      <c r="AE273" s="203">
        <v>3.3660000000000001</v>
      </c>
      <c r="AF273" s="203">
        <v>1.1440000000000001E-3</v>
      </c>
      <c r="AG273" s="202">
        <v>139.35</v>
      </c>
      <c r="AH273" s="202" t="s">
        <v>1623</v>
      </c>
      <c r="AI273" s="202">
        <v>5.96</v>
      </c>
      <c r="AJ273" s="202" t="s">
        <v>1623</v>
      </c>
      <c r="AK273" s="202">
        <v>2.57</v>
      </c>
      <c r="AL273" s="202" t="s">
        <v>1623</v>
      </c>
      <c r="AM273" s="204"/>
      <c r="AN273" s="155">
        <f t="shared" si="64"/>
        <v>800</v>
      </c>
      <c r="AO273" s="155">
        <f t="shared" si="65"/>
        <v>139350</v>
      </c>
      <c r="AQ273" s="151">
        <v>800</v>
      </c>
      <c r="AR273" s="202" t="s">
        <v>593</v>
      </c>
      <c r="AS273" s="203">
        <v>0.44190000000000002</v>
      </c>
      <c r="AT273" s="203">
        <v>7.6890000000000004E-5</v>
      </c>
      <c r="AU273" s="202">
        <v>1.25</v>
      </c>
      <c r="AV273" s="202" t="s">
        <v>144</v>
      </c>
      <c r="AW273" s="202">
        <v>50.43</v>
      </c>
      <c r="AX273" s="202" t="s">
        <v>1623</v>
      </c>
      <c r="AY273" s="202">
        <v>38.06</v>
      </c>
      <c r="AZ273" s="202" t="s">
        <v>1623</v>
      </c>
      <c r="BA273" s="204"/>
      <c r="BB273" s="155">
        <f t="shared" si="66"/>
        <v>800</v>
      </c>
      <c r="BC273" s="155">
        <f t="shared" si="67"/>
        <v>1250000</v>
      </c>
      <c r="BE273" s="151">
        <v>800</v>
      </c>
      <c r="BF273" s="202" t="s">
        <v>593</v>
      </c>
      <c r="BG273" s="203">
        <v>64.89</v>
      </c>
      <c r="BH273" s="203">
        <v>2.7380000000000002E-2</v>
      </c>
      <c r="BI273" s="202">
        <v>6.91</v>
      </c>
      <c r="BJ273" s="202" t="s">
        <v>1623</v>
      </c>
      <c r="BK273" s="202">
        <v>299.67</v>
      </c>
      <c r="BL273" s="202" t="s">
        <v>1566</v>
      </c>
      <c r="BM273" s="202">
        <v>6.75</v>
      </c>
      <c r="BN273" s="202" t="s">
        <v>1675</v>
      </c>
      <c r="BO273" s="204"/>
      <c r="BP273" s="155">
        <f t="shared" si="68"/>
        <v>800</v>
      </c>
      <c r="BQ273" s="155">
        <f t="shared" si="69"/>
        <v>6910</v>
      </c>
      <c r="BS273" s="151">
        <v>800</v>
      </c>
      <c r="BT273" s="202" t="s">
        <v>593</v>
      </c>
      <c r="BU273" s="203">
        <v>203.7</v>
      </c>
      <c r="BV273" s="203">
        <v>8.7529999999999997E-2</v>
      </c>
      <c r="BW273" s="202">
        <v>2.23</v>
      </c>
      <c r="BX273" s="202" t="s">
        <v>1623</v>
      </c>
      <c r="BY273" s="202">
        <v>95.35</v>
      </c>
      <c r="BZ273" s="202" t="s">
        <v>1675</v>
      </c>
      <c r="CA273" s="202">
        <v>20.38</v>
      </c>
      <c r="CB273" s="202" t="s">
        <v>1675</v>
      </c>
      <c r="CC273" s="204"/>
      <c r="CD273" s="155">
        <f t="shared" si="70"/>
        <v>800</v>
      </c>
      <c r="CE273" s="155">
        <f t="shared" si="71"/>
        <v>2230</v>
      </c>
      <c r="CG273" s="151">
        <v>800</v>
      </c>
      <c r="CH273" s="202" t="s">
        <v>593</v>
      </c>
      <c r="CI273" s="203">
        <v>282.2</v>
      </c>
      <c r="CJ273" s="203">
        <v>0.1239</v>
      </c>
      <c r="CK273" s="202">
        <v>1.62</v>
      </c>
      <c r="CL273" s="202" t="s">
        <v>1623</v>
      </c>
      <c r="CM273" s="202">
        <v>68.930000000000007</v>
      </c>
      <c r="CN273" s="202" t="s">
        <v>1665</v>
      </c>
      <c r="CO273" s="202">
        <v>3.91</v>
      </c>
      <c r="CP273" s="202" t="s">
        <v>1675</v>
      </c>
      <c r="CQ273" s="204"/>
      <c r="CR273" s="155">
        <f t="shared" si="72"/>
        <v>800</v>
      </c>
      <c r="CS273" s="155">
        <f t="shared" si="73"/>
        <v>1620</v>
      </c>
      <c r="CU273" s="202">
        <v>800</v>
      </c>
      <c r="CV273" s="203" t="s">
        <v>593</v>
      </c>
      <c r="CW273" s="203">
        <v>1532</v>
      </c>
      <c r="CX273" s="203">
        <v>0.74770000000000003</v>
      </c>
      <c r="CY273" s="202">
        <v>336.46</v>
      </c>
      <c r="CZ273" s="202" t="s">
        <v>1675</v>
      </c>
      <c r="DA273" s="202">
        <v>13.18</v>
      </c>
      <c r="DB273" s="202" t="s">
        <v>1675</v>
      </c>
      <c r="DC273" s="202">
        <v>2.57</v>
      </c>
      <c r="DD273" s="204" t="s">
        <v>1675</v>
      </c>
      <c r="DE273" s="204"/>
      <c r="DF273" s="155">
        <f t="shared" si="74"/>
        <v>800</v>
      </c>
      <c r="DG273" s="156">
        <f t="shared" si="75"/>
        <v>336.46</v>
      </c>
      <c r="DI273" s="202">
        <v>800</v>
      </c>
      <c r="DJ273" s="203" t="s">
        <v>593</v>
      </c>
      <c r="DK273" s="203">
        <v>1454</v>
      </c>
      <c r="DL273" s="203">
        <v>0.69169999999999998</v>
      </c>
      <c r="DM273" s="202">
        <v>356.46</v>
      </c>
      <c r="DN273" s="202" t="s">
        <v>1675</v>
      </c>
      <c r="DO273" s="202">
        <v>13.86</v>
      </c>
      <c r="DP273" s="202" t="s">
        <v>1675</v>
      </c>
      <c r="DQ273" s="202">
        <v>2.68</v>
      </c>
      <c r="DR273" s="204" t="s">
        <v>1675</v>
      </c>
      <c r="DS273" s="204"/>
      <c r="DT273" s="155">
        <f t="shared" si="76"/>
        <v>800</v>
      </c>
      <c r="DU273" s="156">
        <f t="shared" si="77"/>
        <v>356.46</v>
      </c>
    </row>
    <row r="274" spans="1:125" x14ac:dyDescent="0.2">
      <c r="A274" s="151">
        <v>900</v>
      </c>
      <c r="B274" s="202" t="s">
        <v>593</v>
      </c>
      <c r="C274" s="203">
        <v>319.39999999999998</v>
      </c>
      <c r="D274" s="203">
        <v>0.13339999999999999</v>
      </c>
      <c r="E274" s="202">
        <v>1.63</v>
      </c>
      <c r="F274" s="202" t="s">
        <v>1623</v>
      </c>
      <c r="G274" s="202">
        <v>70.069999999999993</v>
      </c>
      <c r="H274" s="202" t="s">
        <v>1665</v>
      </c>
      <c r="I274" s="202">
        <v>3.83</v>
      </c>
      <c r="J274" s="202" t="s">
        <v>1675</v>
      </c>
      <c r="K274" s="204"/>
      <c r="L274" s="155">
        <f>IF((B274="GeV"),A274*1000,IF((B274="keV"),A274*0.001,A274))</f>
        <v>900</v>
      </c>
      <c r="M274" s="155">
        <f>IF((F274="m"),E274*1000000,IF((F274="mm"),E274*1000,IF((F274="A"),E274*0.0001,E274)))</f>
        <v>1630</v>
      </c>
      <c r="O274" s="151">
        <v>900</v>
      </c>
      <c r="P274" s="202" t="s">
        <v>593</v>
      </c>
      <c r="Q274" s="203">
        <v>228.1</v>
      </c>
      <c r="R274" s="203">
        <v>9.6079999999999999E-2</v>
      </c>
      <c r="S274" s="202">
        <v>2.2400000000000002</v>
      </c>
      <c r="T274" s="202" t="s">
        <v>1623</v>
      </c>
      <c r="U274" s="202">
        <v>97.86</v>
      </c>
      <c r="V274" s="202" t="s">
        <v>1675</v>
      </c>
      <c r="W274" s="202">
        <v>20.23</v>
      </c>
      <c r="X274" s="202" t="s">
        <v>1675</v>
      </c>
      <c r="Y274" s="204"/>
      <c r="Z274" s="155">
        <f>IF((P274="GeV"),O274*1000,IF((P274="keV"),O274*0.001,O274))</f>
        <v>900</v>
      </c>
      <c r="AA274" s="155">
        <f>IF((T274="m"),S274*1000000,IF((T274="mm"),S274*1000,IF((T274="A"),S274*0.0001,S274)))</f>
        <v>2240</v>
      </c>
      <c r="AC274" s="151">
        <v>900</v>
      </c>
      <c r="AD274" s="202" t="s">
        <v>593</v>
      </c>
      <c r="AE274" s="203">
        <v>3.1280000000000001</v>
      </c>
      <c r="AF274" s="203">
        <v>1.0269999999999999E-3</v>
      </c>
      <c r="AG274" s="202">
        <v>170.15</v>
      </c>
      <c r="AH274" s="202" t="s">
        <v>1623</v>
      </c>
      <c r="AI274" s="202">
        <v>7.41</v>
      </c>
      <c r="AJ274" s="202" t="s">
        <v>1623</v>
      </c>
      <c r="AK274" s="202">
        <v>3.1</v>
      </c>
      <c r="AL274" s="202" t="s">
        <v>1623</v>
      </c>
      <c r="AM274" s="204"/>
      <c r="AN274" s="155">
        <f>IF((AD274="GeV"),AC274*1000,IF((AD274="keV"),AC274*0.001,AC274))</f>
        <v>900</v>
      </c>
      <c r="AO274" s="155">
        <f>IF((AH274="m"),AG274*1000000,IF((AH274="mm"),AG274*1000,IF((AH274="A"),AG274*0.0001,AG274)))</f>
        <v>170150</v>
      </c>
      <c r="AQ274" s="151">
        <v>900</v>
      </c>
      <c r="AR274" s="202" t="s">
        <v>593</v>
      </c>
      <c r="AS274" s="203">
        <v>0.4289</v>
      </c>
      <c r="AT274" s="203">
        <v>6.8949999999999995E-5</v>
      </c>
      <c r="AU274" s="202">
        <v>1.48</v>
      </c>
      <c r="AV274" s="202" t="s">
        <v>144</v>
      </c>
      <c r="AW274" s="202">
        <v>60.29</v>
      </c>
      <c r="AX274" s="202" t="s">
        <v>1623</v>
      </c>
      <c r="AY274" s="202">
        <v>44.01</v>
      </c>
      <c r="AZ274" s="202" t="s">
        <v>1623</v>
      </c>
      <c r="BA274" s="204"/>
      <c r="BB274" s="155">
        <f>IF((AR274="GeV"),AQ274*1000,IF((AR274="keV"),AQ274*0.001,AQ274))</f>
        <v>900</v>
      </c>
      <c r="BC274" s="155">
        <f>IF((AV274="m"),AU274*1000000,IF((AV274="mm"),AU274*1000,IF((AV274="A"),AU274*0.0001,AU274)))</f>
        <v>1480000</v>
      </c>
      <c r="BE274" s="151">
        <v>900</v>
      </c>
      <c r="BF274" s="202" t="s">
        <v>593</v>
      </c>
      <c r="BG274" s="203">
        <v>59.29</v>
      </c>
      <c r="BH274" s="203">
        <v>2.4590000000000001E-2</v>
      </c>
      <c r="BI274" s="202">
        <v>8.52</v>
      </c>
      <c r="BJ274" s="202" t="s">
        <v>1623</v>
      </c>
      <c r="BK274" s="202">
        <v>377.35</v>
      </c>
      <c r="BL274" s="202" t="s">
        <v>1567</v>
      </c>
      <c r="BM274" s="202">
        <v>4.04</v>
      </c>
      <c r="BN274" s="202" t="s">
        <v>1675</v>
      </c>
      <c r="BO274" s="204"/>
      <c r="BP274" s="155">
        <f>IF((BF274="GeV"),BE274*1000,IF((BF274="keV"),BE274*0.001,BE274))</f>
        <v>900</v>
      </c>
      <c r="BQ274" s="155">
        <f>IF((BJ274="m"),BI274*1000000,IF((BJ274="mm"),BI274*1000,IF((BJ274="A"),BI274*0.0001,BI274)))</f>
        <v>8520</v>
      </c>
      <c r="BS274" s="151">
        <v>900</v>
      </c>
      <c r="BT274" s="202" t="s">
        <v>593</v>
      </c>
      <c r="BU274" s="203">
        <v>185.7</v>
      </c>
      <c r="BV274" s="203">
        <v>7.8670000000000004E-2</v>
      </c>
      <c r="BW274" s="202">
        <v>2.74</v>
      </c>
      <c r="BX274" s="202" t="s">
        <v>1623</v>
      </c>
      <c r="BY274" s="202">
        <v>120.12</v>
      </c>
      <c r="BZ274" s="202" t="s">
        <v>1675</v>
      </c>
      <c r="CA274" s="202">
        <v>24.87</v>
      </c>
      <c r="CB274" s="202" t="s">
        <v>1675</v>
      </c>
      <c r="CC274" s="204"/>
      <c r="CD274" s="155">
        <f>IF((BT274="GeV"),BS274*1000,IF((BT274="keV"),BS274*0.001,BS274))</f>
        <v>900</v>
      </c>
      <c r="CE274" s="155">
        <f>IF((BX274="m"),BW274*1000000,IF((BX274="mm"),BW274*1000,IF((BX274="A"),BW274*0.0001,BW274)))</f>
        <v>2740</v>
      </c>
      <c r="CG274" s="151">
        <v>900</v>
      </c>
      <c r="CH274" s="202" t="s">
        <v>593</v>
      </c>
      <c r="CI274" s="203">
        <v>257.2</v>
      </c>
      <c r="CJ274" s="203">
        <v>0.1114</v>
      </c>
      <c r="CK274" s="202">
        <v>1.99</v>
      </c>
      <c r="CL274" s="202" t="s">
        <v>1623</v>
      </c>
      <c r="CM274" s="202">
        <v>86.78</v>
      </c>
      <c r="CN274" s="202" t="s">
        <v>1665</v>
      </c>
      <c r="CO274" s="202">
        <v>6.93</v>
      </c>
      <c r="CP274" s="202" t="s">
        <v>1675</v>
      </c>
      <c r="CQ274" s="204"/>
      <c r="CR274" s="155">
        <f>IF((CH274="GeV"),CG274*1000,IF((CH274="keV"),CG274*0.001,CG274))</f>
        <v>900</v>
      </c>
      <c r="CS274" s="155">
        <f>IF((CL274="m"),CK274*1000000,IF((CL274="mm"),CK274*1000,IF((CL274="A"),CK274*0.0001,CK274)))</f>
        <v>1990</v>
      </c>
      <c r="CU274" s="202">
        <v>900</v>
      </c>
      <c r="CV274" s="203" t="s">
        <v>593</v>
      </c>
      <c r="CW274" s="203">
        <v>1416</v>
      </c>
      <c r="CX274" s="203">
        <v>0.67300000000000004</v>
      </c>
      <c r="CY274" s="202">
        <v>404.33</v>
      </c>
      <c r="CZ274" s="202" t="s">
        <v>1675</v>
      </c>
      <c r="DA274" s="202">
        <v>16.32</v>
      </c>
      <c r="DB274" s="202" t="s">
        <v>1675</v>
      </c>
      <c r="DC274" s="202">
        <v>2.99</v>
      </c>
      <c r="DD274" s="204" t="s">
        <v>1675</v>
      </c>
      <c r="DE274" s="204"/>
      <c r="DF274" s="155">
        <f>IF((CV274="GeV"),CU274*1000,IF((CV274="keV"),CU274*0.001,CU274))</f>
        <v>900</v>
      </c>
      <c r="DG274" s="156">
        <f>IF((CZ274="m"),CY274*1000000,IF((CZ274="mm"),CY274*1000,IF((CZ274="A"),CY274*0.0001,CY274)))</f>
        <v>404.33</v>
      </c>
      <c r="DI274" s="202">
        <v>900</v>
      </c>
      <c r="DJ274" s="203" t="s">
        <v>593</v>
      </c>
      <c r="DK274" s="203">
        <v>1341</v>
      </c>
      <c r="DL274" s="203">
        <v>0.62250000000000005</v>
      </c>
      <c r="DM274" s="202">
        <v>428.05</v>
      </c>
      <c r="DN274" s="202" t="s">
        <v>1675</v>
      </c>
      <c r="DO274" s="202">
        <v>17.18</v>
      </c>
      <c r="DP274" s="202" t="s">
        <v>1675</v>
      </c>
      <c r="DQ274" s="202">
        <v>3.11</v>
      </c>
      <c r="DR274" s="204" t="s">
        <v>1675</v>
      </c>
      <c r="DS274" s="204"/>
      <c r="DT274" s="155">
        <f>IF((DJ274="GeV"),DI274*1000,IF((DJ274="keV"),DI274*0.001,DI274))</f>
        <v>900</v>
      </c>
      <c r="DU274" s="156">
        <f>IF((DN274="m"),DM274*1000000,IF((DN274="mm"),DM274*1000,IF((DN274="A"),DM274*0.0001,DM274)))</f>
        <v>428.05</v>
      </c>
    </row>
    <row r="275" spans="1:125" x14ac:dyDescent="0.2">
      <c r="A275" s="151">
        <v>1</v>
      </c>
      <c r="B275" s="202" t="s">
        <v>1625</v>
      </c>
      <c r="C275" s="203">
        <v>294.2</v>
      </c>
      <c r="D275" s="203">
        <v>0.12130000000000001</v>
      </c>
      <c r="E275" s="202">
        <v>1.95</v>
      </c>
      <c r="F275" s="202" t="s">
        <v>1623</v>
      </c>
      <c r="G275" s="202">
        <v>84.01</v>
      </c>
      <c r="H275" s="202" t="s">
        <v>1665</v>
      </c>
      <c r="I275" s="202">
        <v>6.42</v>
      </c>
      <c r="J275" s="202" t="s">
        <v>1675</v>
      </c>
      <c r="K275" s="204"/>
      <c r="L275" s="155">
        <f>IF((B275="GeV"),A275*1000,IF((B275="keV"),A275*0.001,A275))</f>
        <v>1000</v>
      </c>
      <c r="M275" s="155">
        <f>IF((F275="m"),E275*1000000,IF((F275="mm"),E275*1000,IF((F275="A"),E275*0.0001,E275)))</f>
        <v>1950</v>
      </c>
      <c r="O275" s="151">
        <v>1</v>
      </c>
      <c r="P275" s="202" t="s">
        <v>1625</v>
      </c>
      <c r="Q275" s="203">
        <v>210.1</v>
      </c>
      <c r="R275" s="203">
        <v>8.7340000000000001E-2</v>
      </c>
      <c r="S275" s="202">
        <v>2.69</v>
      </c>
      <c r="T275" s="202" t="s">
        <v>1623</v>
      </c>
      <c r="U275" s="202">
        <v>117.44</v>
      </c>
      <c r="V275" s="202" t="s">
        <v>1675</v>
      </c>
      <c r="W275" s="202">
        <v>24.18</v>
      </c>
      <c r="X275" s="202" t="s">
        <v>1675</v>
      </c>
      <c r="Y275" s="204"/>
      <c r="Z275" s="155">
        <f>IF((P275="GeV"),O275*1000,IF((P275="keV"),O275*0.001,O275))</f>
        <v>1000</v>
      </c>
      <c r="AA275" s="155">
        <f>IF((T275="m"),S275*1000000,IF((T275="mm"),S275*1000,IF((T275="A"),S275*0.0001,S275)))</f>
        <v>2690</v>
      </c>
      <c r="AC275" s="151">
        <v>1</v>
      </c>
      <c r="AD275" s="202" t="s">
        <v>1625</v>
      </c>
      <c r="AE275" s="203">
        <v>2.9369999999999998</v>
      </c>
      <c r="AF275" s="203">
        <v>9.3159999999999998E-4</v>
      </c>
      <c r="AG275" s="202">
        <v>203.12</v>
      </c>
      <c r="AH275" s="202" t="s">
        <v>1623</v>
      </c>
      <c r="AI275" s="202">
        <v>8.7799999999999994</v>
      </c>
      <c r="AJ275" s="202" t="s">
        <v>1623</v>
      </c>
      <c r="AK275" s="202">
        <v>3.67</v>
      </c>
      <c r="AL275" s="202" t="s">
        <v>1623</v>
      </c>
      <c r="AM275" s="204"/>
      <c r="AN275" s="155">
        <f>IF((AD275="GeV"),AC275*1000,IF((AD275="keV"),AC275*0.001,AC275))</f>
        <v>1000</v>
      </c>
      <c r="AO275" s="155">
        <f>IF((AH275="m"),AG275*1000000,IF((AH275="mm"),AG275*1000,IF((AH275="A"),AG275*0.0001,AG275)))</f>
        <v>203120</v>
      </c>
      <c r="AQ275" s="151">
        <v>1</v>
      </c>
      <c r="AR275" s="202" t="s">
        <v>1625</v>
      </c>
      <c r="AS275" s="203">
        <v>0.41909999999999997</v>
      </c>
      <c r="AT275" s="203">
        <v>6.2529999999999999E-5</v>
      </c>
      <c r="AU275" s="202">
        <v>1.72</v>
      </c>
      <c r="AV275" s="202" t="s">
        <v>144</v>
      </c>
      <c r="AW275" s="202">
        <v>69.2</v>
      </c>
      <c r="AX275" s="202" t="s">
        <v>1623</v>
      </c>
      <c r="AY275" s="202">
        <v>49.91</v>
      </c>
      <c r="AZ275" s="202" t="s">
        <v>1623</v>
      </c>
      <c r="BA275" s="204"/>
      <c r="BB275" s="155">
        <f>IF((AR275="GeV"),AQ275*1000,IF((AR275="keV"),AQ275*0.001,AQ275))</f>
        <v>1000</v>
      </c>
      <c r="BC275" s="155">
        <f>IF((AV275="m"),AU275*1000000,IF((AV275="mm"),AU275*1000,IF((AV275="A"),AU275*0.0001,AU275)))</f>
        <v>1720000</v>
      </c>
      <c r="BE275" s="151">
        <v>1</v>
      </c>
      <c r="BF275" s="202" t="s">
        <v>1625</v>
      </c>
      <c r="BG275" s="203">
        <v>54.74</v>
      </c>
      <c r="BH275" s="203">
        <v>2.2339999999999999E-2</v>
      </c>
      <c r="BI275" s="202">
        <v>10.28</v>
      </c>
      <c r="BJ275" s="202" t="s">
        <v>1623</v>
      </c>
      <c r="BK275" s="202">
        <v>452.54</v>
      </c>
      <c r="BL275" s="202" t="s">
        <v>1568</v>
      </c>
      <c r="BM275" s="202">
        <v>2.72</v>
      </c>
      <c r="BN275" s="202" t="s">
        <v>1675</v>
      </c>
      <c r="BO275" s="204"/>
      <c r="BP275" s="155">
        <f>IF((BF275="GeV"),BE275*1000,IF((BF275="keV"),BE275*0.001,BE275))</f>
        <v>1000</v>
      </c>
      <c r="BQ275" s="155">
        <f>IF((BJ275="m"),BI275*1000000,IF((BJ275="mm"),BI275*1000,IF((BJ275="A"),BI275*0.0001,BI275)))</f>
        <v>10280</v>
      </c>
      <c r="BS275" s="151">
        <v>1</v>
      </c>
      <c r="BT275" s="202" t="s">
        <v>1625</v>
      </c>
      <c r="BU275" s="203">
        <v>171</v>
      </c>
      <c r="BV275" s="203">
        <v>7.1499999999999994E-2</v>
      </c>
      <c r="BW275" s="202">
        <v>3.3</v>
      </c>
      <c r="BX275" s="202" t="s">
        <v>1623</v>
      </c>
      <c r="BY275" s="202">
        <v>144.19</v>
      </c>
      <c r="BZ275" s="202" t="s">
        <v>1675</v>
      </c>
      <c r="CA275" s="202">
        <v>29.74</v>
      </c>
      <c r="CB275" s="202" t="s">
        <v>1675</v>
      </c>
      <c r="CC275" s="204"/>
      <c r="CD275" s="155">
        <f>IF((BT275="GeV"),BS275*1000,IF((BT275="keV"),BS275*0.001,BS275))</f>
        <v>1000</v>
      </c>
      <c r="CE275" s="155">
        <f>IF((BX275="m"),BW275*1000000,IF((BX275="mm"),BW275*1000,IF((BX275="A"),BW275*0.0001,BW275)))</f>
        <v>3300</v>
      </c>
      <c r="CG275" s="151">
        <v>1</v>
      </c>
      <c r="CH275" s="202" t="s">
        <v>1625</v>
      </c>
      <c r="CI275" s="203">
        <v>236.8</v>
      </c>
      <c r="CJ275" s="203">
        <v>0.1012</v>
      </c>
      <c r="CK275" s="202">
        <v>2.39</v>
      </c>
      <c r="CL275" s="202" t="s">
        <v>1623</v>
      </c>
      <c r="CM275" s="202">
        <v>104.13</v>
      </c>
      <c r="CN275" s="202" t="s">
        <v>1561</v>
      </c>
      <c r="CO275" s="202">
        <v>0.21</v>
      </c>
      <c r="CP275" s="202" t="s">
        <v>1675</v>
      </c>
      <c r="CQ275" s="204"/>
      <c r="CR275" s="155">
        <f>IF((CH275="GeV"),CG275*1000,IF((CH275="keV"),CG275*0.001,CG275))</f>
        <v>1000</v>
      </c>
      <c r="CS275" s="155">
        <f>IF((CL275="m"),CK275*1000000,IF((CL275="mm"),CK275*1000,IF((CL275="A"),CK275*0.0001,CK275)))</f>
        <v>2390</v>
      </c>
      <c r="CU275" s="202">
        <v>1</v>
      </c>
      <c r="CV275" s="203" t="s">
        <v>1625</v>
      </c>
      <c r="CW275" s="203">
        <v>1317</v>
      </c>
      <c r="CX275" s="203">
        <v>0.61250000000000004</v>
      </c>
      <c r="CY275" s="202">
        <v>477.53</v>
      </c>
      <c r="CZ275" s="202" t="s">
        <v>1675</v>
      </c>
      <c r="DA275" s="202">
        <v>19.350000000000001</v>
      </c>
      <c r="DB275" s="202" t="s">
        <v>1675</v>
      </c>
      <c r="DC275" s="202">
        <v>3.44</v>
      </c>
      <c r="DD275" s="204" t="s">
        <v>1675</v>
      </c>
      <c r="DE275" s="204"/>
      <c r="DF275" s="155">
        <f>IF((CV275="GeV"),CU275*1000,IF((CV275="keV"),CU275*0.001,CU275))</f>
        <v>1000</v>
      </c>
      <c r="DG275" s="156">
        <f>IF((CZ275="m"),CY275*1000000,IF((CZ275="mm"),CY275*1000,IF((CZ275="A"),CY275*0.0001,CY275)))</f>
        <v>477.53</v>
      </c>
      <c r="DI275" s="202">
        <v>1</v>
      </c>
      <c r="DJ275" s="203" t="s">
        <v>1625</v>
      </c>
      <c r="DK275" s="203">
        <v>1248</v>
      </c>
      <c r="DL275" s="203">
        <v>0.5665</v>
      </c>
      <c r="DM275" s="202">
        <v>505.35</v>
      </c>
      <c r="DN275" s="202" t="s">
        <v>1675</v>
      </c>
      <c r="DO275" s="202">
        <v>20.39</v>
      </c>
      <c r="DP275" s="202" t="s">
        <v>1675</v>
      </c>
      <c r="DQ275" s="202">
        <v>3.58</v>
      </c>
      <c r="DR275" s="204" t="s">
        <v>1675</v>
      </c>
      <c r="DS275" s="204"/>
      <c r="DT275" s="155">
        <f>IF((DJ275="GeV"),DI275*1000,IF((DJ275="keV"),DI275*0.001,DI275))</f>
        <v>1000</v>
      </c>
      <c r="DU275" s="156">
        <f>IF((DN275="m"),DM275*1000000,IF((DN275="mm"),DM275*1000,IF((DN275="A"),DM275*0.0001,DM275)))</f>
        <v>505.35</v>
      </c>
    </row>
    <row r="276" spans="1:125" x14ac:dyDescent="0.2">
      <c r="A276" s="264">
        <v>1.1000000000000001</v>
      </c>
      <c r="B276" s="205" t="s">
        <v>1625</v>
      </c>
      <c r="C276" s="206">
        <v>273.10000000000002</v>
      </c>
      <c r="D276" s="206">
        <v>0.1113</v>
      </c>
      <c r="E276" s="205">
        <v>2.31</v>
      </c>
      <c r="F276" s="205" t="s">
        <v>1623</v>
      </c>
      <c r="G276" s="205">
        <v>97.83</v>
      </c>
      <c r="H276" s="205" t="s">
        <v>1665</v>
      </c>
      <c r="I276" s="205">
        <v>9.2100000000000009</v>
      </c>
      <c r="J276" s="205" t="s">
        <v>1675</v>
      </c>
      <c r="K276" s="204"/>
      <c r="L276" s="157">
        <f>IF((B276="GeV"),A276*1000,IF((B276="keV"),A276*0.001,A276))</f>
        <v>1100</v>
      </c>
      <c r="M276" s="157">
        <f>IF((F276="m"),E276*1000000,IF((F276="mm"),E276*1000,IF((F276="A"),E276*0.0001,E276)))</f>
        <v>2310</v>
      </c>
      <c r="O276" s="264">
        <v>1.1000000000000001</v>
      </c>
      <c r="P276" s="205" t="s">
        <v>1625</v>
      </c>
      <c r="Q276" s="206">
        <v>195.1</v>
      </c>
      <c r="R276" s="206">
        <v>8.0110000000000001E-2</v>
      </c>
      <c r="S276" s="205">
        <v>3.19</v>
      </c>
      <c r="T276" s="205" t="s">
        <v>1623</v>
      </c>
      <c r="U276" s="205">
        <v>136.83000000000001</v>
      </c>
      <c r="V276" s="205" t="s">
        <v>1675</v>
      </c>
      <c r="W276" s="205">
        <v>28.43</v>
      </c>
      <c r="X276" s="205" t="s">
        <v>1675</v>
      </c>
      <c r="Y276" s="204"/>
      <c r="Z276" s="157">
        <f>IF((P276="GeV"),O276*1000,IF((P276="keV"),O276*0.001,O276))</f>
        <v>1100</v>
      </c>
      <c r="AA276" s="157">
        <f>IF((T276="m"),S276*1000000,IF((T276="mm"),S276*1000,IF((T276="A"),S276*0.0001,S276)))</f>
        <v>3190</v>
      </c>
      <c r="AC276" s="264">
        <v>1.1000000000000001</v>
      </c>
      <c r="AD276" s="205" t="s">
        <v>1625</v>
      </c>
      <c r="AE276" s="206">
        <v>2.7789999999999999</v>
      </c>
      <c r="AF276" s="206">
        <v>8.5320000000000003E-4</v>
      </c>
      <c r="AG276" s="205">
        <v>238.11</v>
      </c>
      <c r="AH276" s="205" t="s">
        <v>1623</v>
      </c>
      <c r="AI276" s="205">
        <v>10.11</v>
      </c>
      <c r="AJ276" s="205" t="s">
        <v>1623</v>
      </c>
      <c r="AK276" s="205">
        <v>4.26</v>
      </c>
      <c r="AL276" s="205" t="s">
        <v>1623</v>
      </c>
      <c r="AM276" s="204"/>
      <c r="AN276" s="157">
        <f>IF((AD276="GeV"),AC276*1000,IF((AD276="keV"),AC276*0.001,AC276))</f>
        <v>1100</v>
      </c>
      <c r="AO276" s="157">
        <f>IF((AH276="m"),AG276*1000000,IF((AH276="mm"),AG276*1000,IF((AH276="A"),AG276*0.0001,AG276)))</f>
        <v>238110</v>
      </c>
      <c r="AQ276" s="264">
        <v>1.1000000000000001</v>
      </c>
      <c r="AR276" s="205" t="s">
        <v>1625</v>
      </c>
      <c r="AS276" s="206">
        <v>0.41149999999999998</v>
      </c>
      <c r="AT276" s="206">
        <v>5.7250000000000002E-5</v>
      </c>
      <c r="AU276" s="205">
        <v>1.96</v>
      </c>
      <c r="AV276" s="205" t="s">
        <v>144</v>
      </c>
      <c r="AW276" s="205">
        <v>77.42</v>
      </c>
      <c r="AX276" s="205" t="s">
        <v>1623</v>
      </c>
      <c r="AY276" s="205">
        <v>55.75</v>
      </c>
      <c r="AZ276" s="205" t="s">
        <v>1623</v>
      </c>
      <c r="BA276" s="204"/>
      <c r="BB276" s="157">
        <f>IF((AR276="GeV"),AQ276*1000,IF((AR276="keV"),AQ276*0.001,AQ276))</f>
        <v>1100</v>
      </c>
      <c r="BC276" s="157">
        <f>IF((AV276="m"),AU276*1000000,IF((AV276="mm"),AU276*1000,IF((AV276="A"),AU276*0.0001,AU276)))</f>
        <v>1960000</v>
      </c>
      <c r="BE276" s="264">
        <v>1.1000000000000001</v>
      </c>
      <c r="BF276" s="205" t="s">
        <v>1625</v>
      </c>
      <c r="BG276" s="206">
        <v>50.97</v>
      </c>
      <c r="BH276" s="206">
        <v>2.0480000000000002E-2</v>
      </c>
      <c r="BI276" s="205">
        <v>12.17</v>
      </c>
      <c r="BJ276" s="205" t="s">
        <v>1623</v>
      </c>
      <c r="BK276" s="205">
        <v>526.73</v>
      </c>
      <c r="BL276" s="205" t="s">
        <v>1569</v>
      </c>
      <c r="BM276" s="205">
        <v>2.74</v>
      </c>
      <c r="BN276" s="205" t="s">
        <v>1675</v>
      </c>
      <c r="BO276" s="204"/>
      <c r="BP276" s="157">
        <f>IF((BF276="GeV"),BE276*1000,IF((BF276="keV"),BE276*0.001,BE276))</f>
        <v>1100</v>
      </c>
      <c r="BQ276" s="157">
        <f>IF((BJ276="m"),BI276*1000000,IF((BJ276="mm"),BI276*1000,IF((BJ276="A"),BI276*0.0001,BI276)))</f>
        <v>12170</v>
      </c>
      <c r="BS276" s="264">
        <v>1.1000000000000001</v>
      </c>
      <c r="BT276" s="205" t="s">
        <v>1625</v>
      </c>
      <c r="BU276" s="206">
        <v>158.80000000000001</v>
      </c>
      <c r="BV276" s="206">
        <v>6.5570000000000003E-2</v>
      </c>
      <c r="BW276" s="205">
        <v>3.91</v>
      </c>
      <c r="BX276" s="205" t="s">
        <v>1623</v>
      </c>
      <c r="BY276" s="205">
        <v>168.02</v>
      </c>
      <c r="BZ276" s="205" t="s">
        <v>1675</v>
      </c>
      <c r="CA276" s="205">
        <v>34.97</v>
      </c>
      <c r="CB276" s="205" t="s">
        <v>1675</v>
      </c>
      <c r="CC276" s="204"/>
      <c r="CD276" s="157">
        <f>IF((BT276="GeV"),BS276*1000,IF((BT276="keV"),BS276*0.001,BS276))</f>
        <v>1100</v>
      </c>
      <c r="CE276" s="157">
        <f>IF((BX276="m"),BW276*1000000,IF((BX276="mm"),BW276*1000,IF((BX276="A"),BW276*0.0001,BW276)))</f>
        <v>3910</v>
      </c>
      <c r="CG276" s="264">
        <v>1.1000000000000001</v>
      </c>
      <c r="CH276" s="205" t="s">
        <v>1625</v>
      </c>
      <c r="CI276" s="206">
        <v>219.9</v>
      </c>
      <c r="CJ276" s="206">
        <v>9.2850000000000002E-2</v>
      </c>
      <c r="CK276" s="205">
        <v>2.83</v>
      </c>
      <c r="CL276" s="205" t="s">
        <v>1623</v>
      </c>
      <c r="CM276" s="205">
        <v>121.33</v>
      </c>
      <c r="CN276" s="205" t="s">
        <v>1561</v>
      </c>
      <c r="CO276" s="205">
        <v>3.74</v>
      </c>
      <c r="CP276" s="205" t="s">
        <v>1675</v>
      </c>
      <c r="CQ276" s="204"/>
      <c r="CR276" s="157">
        <f>IF((CH276="GeV"),CG276*1000,IF((CH276="keV"),CG276*0.001,CG276))</f>
        <v>1100</v>
      </c>
      <c r="CS276" s="157">
        <f>IF((CL276="m"),CK276*1000000,IF((CL276="mm"),CK276*1000,IF((CL276="A"),CK276*0.0001,CK276)))</f>
        <v>2830</v>
      </c>
      <c r="CU276" s="205">
        <v>1.1000000000000001</v>
      </c>
      <c r="CV276" s="206" t="s">
        <v>1625</v>
      </c>
      <c r="CW276" s="206">
        <v>1230</v>
      </c>
      <c r="CX276" s="206">
        <v>0.56240000000000001</v>
      </c>
      <c r="CY276" s="205">
        <v>556.05999999999995</v>
      </c>
      <c r="CZ276" s="205" t="s">
        <v>1675</v>
      </c>
      <c r="DA276" s="205">
        <v>22.33</v>
      </c>
      <c r="DB276" s="205" t="s">
        <v>1675</v>
      </c>
      <c r="DC276" s="205">
        <v>3.92</v>
      </c>
      <c r="DD276" s="204" t="s">
        <v>1675</v>
      </c>
      <c r="DE276" s="204"/>
      <c r="DF276" s="155">
        <f>IF((CV276="GeV"),CU276*1000,IF((CV276="keV"),CU276*0.001,CU276))</f>
        <v>1100</v>
      </c>
      <c r="DG276" s="156">
        <f>IF((CZ276="m"),CY276*1000000,IF((CZ276="mm"),CY276*1000,IF((CZ276="A"),CY276*0.0001,CY276)))</f>
        <v>556.05999999999995</v>
      </c>
      <c r="DI276" s="205">
        <v>1.1000000000000001</v>
      </c>
      <c r="DJ276" s="206" t="s">
        <v>1625</v>
      </c>
      <c r="DK276" s="206">
        <v>1170</v>
      </c>
      <c r="DL276" s="206">
        <v>0.52010000000000001</v>
      </c>
      <c r="DM276" s="205">
        <v>588.1</v>
      </c>
      <c r="DN276" s="205" t="s">
        <v>1675</v>
      </c>
      <c r="DO276" s="205">
        <v>23.53</v>
      </c>
      <c r="DP276" s="205" t="s">
        <v>1675</v>
      </c>
      <c r="DQ276" s="205">
        <v>4.07</v>
      </c>
      <c r="DR276" s="204" t="s">
        <v>1675</v>
      </c>
      <c r="DS276" s="204"/>
      <c r="DT276" s="155">
        <f>IF((DJ276="GeV"),DI276*1000,IF((DJ276="keV"),DI276*0.001,DI276))</f>
        <v>1100</v>
      </c>
      <c r="DU276" s="156">
        <f>IF((DN276="m"),DM276*1000000,IF((DN276="mm"),DM276*1000,IF((DN276="A"),DM276*0.0001,DM276)))</f>
        <v>588.1</v>
      </c>
    </row>
  </sheetData>
  <phoneticPr fontId="6" type="noConversion"/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Instructions</vt:lpstr>
      <vt:lpstr>Reaction</vt:lpstr>
      <vt:lpstr>Kinematic Curves</vt:lpstr>
      <vt:lpstr>S1103</vt:lpstr>
      <vt:lpstr>Target</vt:lpstr>
      <vt:lpstr>Yield</vt:lpstr>
      <vt:lpstr>Rutherford Scattering</vt:lpstr>
      <vt:lpstr>E loss</vt:lpstr>
      <vt:lpstr>SRIM Data</vt:lpstr>
      <vt:lpstr>Detectors</vt:lpstr>
      <vt:lpstr>Gamow Peak</vt:lpstr>
      <vt:lpstr>Kin Curves with Eloss</vt:lpstr>
      <vt:lpstr>Masses</vt:lpstr>
      <vt:lpstr>A_values</vt:lpstr>
      <vt:lpstr>'SRIM Data'!Beryllium_in__H__C</vt:lpstr>
      <vt:lpstr>Delta_values</vt:lpstr>
      <vt:lpstr>Symbol_values</vt:lpstr>
      <vt:lpstr>Z_values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Chillery</cp:lastModifiedBy>
  <dcterms:created xsi:type="dcterms:W3CDTF">2008-11-06T12:25:58Z</dcterms:created>
  <dcterms:modified xsi:type="dcterms:W3CDTF">2018-02-22T18:15:19Z</dcterms:modified>
</cp:coreProperties>
</file>